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mc:AlternateContent xmlns:mc="http://schemas.openxmlformats.org/markup-compatibility/2006">
    <mc:Choice Requires="x15">
      <x15ac:absPath xmlns:x15ac="http://schemas.microsoft.com/office/spreadsheetml/2010/11/ac" url="https://acted.sharepoint.com/sites/IMPACTUKR/Documents partages/ISU/HNMU/UKR2403_MSNA/02_Data/03_Data_Analysis/01_Frequency_Tables/MSNA_Displacement_output/01_For publication/"/>
    </mc:Choice>
  </mc:AlternateContent>
  <xr:revisionPtr revIDLastSave="188" documentId="13_ncr:1_{74F41187-F9ED-4E38-8000-C03623C295BF}" xr6:coauthVersionLast="47" xr6:coauthVersionMax="47" xr10:uidLastSave="{689396C3-F464-4948-9502-C75025F1FADC}"/>
  <bookViews>
    <workbookView xWindow="-108" yWindow="-108" windowWidth="23256" windowHeight="12456" xr2:uid="{00000000-000D-0000-FFFF-FFFF00000000}"/>
  </bookViews>
  <sheets>
    <sheet name="READ_ME" sheetId="3" r:id="rId1"/>
    <sheet name="Table_of_content" sheetId="1" r:id="rId2"/>
    <sheet name="Data" sheetId="2" r:id="rId3"/>
  </sheets>
  <definedNames>
    <definedName name="_xlnm._FilterDatabase" localSheetId="2" hidden="1">Data!$D$1:$D$9774</definedName>
    <definedName name="Slicer_Indicator">#N/A</definedName>
    <definedName name="Slicer_Sector">#N/A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32" i="1" l="1"/>
  <c r="E830" i="1"/>
  <c r="E828" i="1"/>
  <c r="E826" i="1"/>
  <c r="E824" i="1"/>
  <c r="E822" i="1"/>
  <c r="E820" i="1"/>
  <c r="E818" i="1"/>
  <c r="E934" i="1"/>
  <c r="E933" i="1"/>
  <c r="E932" i="1"/>
  <c r="E931" i="1"/>
  <c r="E930" i="1"/>
  <c r="E418" i="1"/>
  <c r="E417" i="1"/>
  <c r="E416" i="1"/>
  <c r="E415" i="1"/>
  <c r="E414" i="1"/>
  <c r="E413" i="1"/>
  <c r="E940" i="1"/>
  <c r="E939" i="1"/>
  <c r="E938" i="1"/>
  <c r="E937" i="1"/>
  <c r="E936" i="1"/>
  <c r="E935" i="1"/>
  <c r="E381" i="1"/>
  <c r="E380" i="1"/>
  <c r="E379" i="1"/>
  <c r="E378" i="1"/>
  <c r="E377" i="1"/>
  <c r="E376" i="1"/>
  <c r="E351" i="1"/>
  <c r="E350" i="1"/>
  <c r="E349" i="1"/>
  <c r="E348" i="1"/>
  <c r="E347" i="1"/>
  <c r="E346" i="1"/>
  <c r="E333" i="1"/>
  <c r="E332" i="1"/>
  <c r="E331" i="1"/>
  <c r="E330" i="1"/>
  <c r="E329" i="1"/>
  <c r="E328" i="1"/>
  <c r="E929" i="1" l="1"/>
  <c r="E928" i="1"/>
  <c r="E927" i="1"/>
  <c r="E926" i="1"/>
  <c r="E925" i="1"/>
  <c r="E924" i="1"/>
  <c r="E923" i="1"/>
  <c r="E922" i="1"/>
  <c r="E921" i="1"/>
  <c r="E920" i="1"/>
  <c r="E919" i="1"/>
  <c r="E918" i="1"/>
  <c r="E917" i="1"/>
  <c r="E916" i="1"/>
  <c r="E915" i="1"/>
  <c r="E914" i="1"/>
  <c r="E913" i="1"/>
  <c r="E912" i="1"/>
  <c r="E911" i="1"/>
  <c r="E910" i="1"/>
  <c r="E909" i="1"/>
  <c r="E908" i="1"/>
  <c r="E907" i="1"/>
  <c r="E906" i="1"/>
  <c r="E905" i="1"/>
  <c r="E904" i="1"/>
  <c r="E903" i="1"/>
  <c r="E902" i="1"/>
  <c r="E901" i="1"/>
  <c r="E900" i="1"/>
  <c r="E899" i="1"/>
  <c r="E898" i="1"/>
  <c r="E897" i="1"/>
  <c r="E896" i="1"/>
  <c r="E895" i="1"/>
  <c r="E894" i="1"/>
  <c r="E893" i="1"/>
  <c r="E892" i="1"/>
  <c r="E891" i="1"/>
  <c r="E890" i="1"/>
  <c r="E889" i="1"/>
  <c r="E888" i="1"/>
  <c r="E887" i="1"/>
  <c r="E886" i="1"/>
  <c r="E885" i="1"/>
  <c r="E884" i="1"/>
  <c r="E883" i="1"/>
  <c r="E882" i="1"/>
  <c r="E881" i="1"/>
  <c r="E880" i="1"/>
  <c r="E879" i="1"/>
  <c r="E878" i="1"/>
  <c r="E877" i="1"/>
  <c r="E876" i="1"/>
  <c r="E875" i="1"/>
  <c r="E874" i="1"/>
  <c r="E873" i="1"/>
  <c r="E872" i="1"/>
  <c r="E871" i="1"/>
  <c r="E870" i="1"/>
  <c r="E869" i="1"/>
  <c r="E868" i="1"/>
  <c r="E867" i="1"/>
  <c r="E866" i="1"/>
  <c r="E865" i="1"/>
  <c r="E864" i="1"/>
  <c r="E863" i="1"/>
  <c r="E862" i="1"/>
  <c r="E861" i="1"/>
  <c r="E860" i="1"/>
  <c r="E859" i="1"/>
  <c r="E858" i="1"/>
  <c r="E857" i="1"/>
  <c r="E856" i="1"/>
  <c r="E855" i="1"/>
  <c r="E854" i="1"/>
  <c r="E853" i="1"/>
  <c r="E852" i="1"/>
  <c r="E851" i="1"/>
  <c r="E850" i="1"/>
  <c r="E849" i="1"/>
  <c r="E848" i="1"/>
  <c r="E847" i="1"/>
  <c r="E846" i="1"/>
  <c r="E845" i="1"/>
  <c r="E844" i="1"/>
  <c r="E843" i="1"/>
  <c r="E842" i="1"/>
  <c r="E841" i="1"/>
  <c r="E840" i="1"/>
  <c r="E839" i="1"/>
  <c r="E838" i="1"/>
  <c r="E837" i="1"/>
  <c r="E836" i="1"/>
  <c r="E835" i="1"/>
  <c r="E834" i="1"/>
  <c r="E833" i="1"/>
  <c r="E831" i="1"/>
  <c r="E829" i="1"/>
  <c r="E827" i="1"/>
  <c r="E825" i="1"/>
  <c r="E823" i="1"/>
  <c r="E821" i="1"/>
  <c r="E819" i="1"/>
  <c r="E817" i="1"/>
  <c r="E816" i="1"/>
  <c r="E815" i="1"/>
  <c r="E814" i="1"/>
  <c r="E813" i="1"/>
  <c r="E812" i="1"/>
  <c r="E811" i="1"/>
  <c r="E810" i="1"/>
  <c r="E809" i="1"/>
  <c r="E808" i="1"/>
  <c r="E807" i="1"/>
  <c r="E806" i="1"/>
  <c r="E805" i="1"/>
  <c r="E804" i="1"/>
  <c r="E803" i="1"/>
  <c r="E802" i="1"/>
  <c r="E801" i="1"/>
  <c r="E800" i="1"/>
  <c r="E799" i="1"/>
  <c r="E798" i="1"/>
  <c r="E797" i="1"/>
  <c r="E796" i="1"/>
  <c r="E795" i="1"/>
  <c r="E794" i="1"/>
  <c r="E793" i="1"/>
  <c r="E792" i="1"/>
  <c r="E791" i="1"/>
  <c r="E790" i="1"/>
  <c r="E789" i="1"/>
  <c r="E788" i="1"/>
  <c r="E787" i="1"/>
  <c r="E786" i="1"/>
  <c r="E785" i="1"/>
  <c r="E784" i="1"/>
  <c r="E783" i="1"/>
  <c r="E782" i="1"/>
  <c r="E781" i="1"/>
  <c r="E780" i="1"/>
  <c r="E779" i="1"/>
  <c r="E778" i="1"/>
  <c r="E777" i="1"/>
  <c r="E776" i="1"/>
  <c r="E775" i="1"/>
  <c r="E774" i="1"/>
  <c r="E773" i="1"/>
  <c r="E772" i="1"/>
  <c r="E771" i="1"/>
  <c r="E770" i="1"/>
  <c r="E769" i="1"/>
  <c r="E768" i="1"/>
  <c r="E767" i="1"/>
  <c r="E766" i="1"/>
  <c r="E765" i="1"/>
  <c r="E764" i="1"/>
  <c r="E763" i="1"/>
  <c r="E762" i="1"/>
  <c r="E761" i="1"/>
  <c r="E760" i="1"/>
  <c r="E759" i="1"/>
  <c r="E758" i="1"/>
  <c r="E757" i="1"/>
  <c r="E756" i="1"/>
  <c r="E755" i="1"/>
  <c r="E754" i="1"/>
  <c r="E753" i="1"/>
  <c r="E752" i="1"/>
  <c r="E751" i="1"/>
  <c r="E750" i="1"/>
  <c r="E749" i="1"/>
  <c r="E748" i="1"/>
  <c r="E747" i="1"/>
  <c r="E746" i="1"/>
  <c r="E745" i="1"/>
  <c r="E744" i="1"/>
  <c r="E743" i="1"/>
  <c r="E742" i="1"/>
  <c r="E741" i="1"/>
  <c r="E740" i="1"/>
  <c r="E739" i="1"/>
  <c r="E738" i="1"/>
  <c r="E737" i="1"/>
  <c r="E736" i="1"/>
  <c r="E735" i="1"/>
  <c r="E734" i="1"/>
  <c r="E733" i="1"/>
  <c r="E732" i="1"/>
  <c r="E731" i="1"/>
  <c r="E730" i="1"/>
  <c r="E729" i="1"/>
  <c r="E728" i="1"/>
  <c r="E727" i="1"/>
  <c r="E726" i="1"/>
  <c r="E725" i="1"/>
  <c r="E724" i="1"/>
  <c r="E723" i="1"/>
  <c r="E722" i="1"/>
  <c r="E721" i="1"/>
  <c r="E720" i="1"/>
  <c r="E719" i="1"/>
  <c r="E718" i="1"/>
  <c r="E717" i="1"/>
  <c r="E716" i="1"/>
  <c r="E715" i="1"/>
  <c r="E714" i="1"/>
  <c r="E713" i="1"/>
  <c r="E712" i="1"/>
  <c r="E711" i="1"/>
  <c r="E710" i="1"/>
  <c r="E709" i="1"/>
  <c r="E708" i="1"/>
  <c r="E707" i="1"/>
  <c r="E706" i="1"/>
  <c r="E705" i="1"/>
  <c r="E704" i="1"/>
  <c r="E703" i="1"/>
  <c r="E702" i="1"/>
  <c r="E701"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75" i="1"/>
  <c r="E374" i="1"/>
  <c r="E373" i="1"/>
  <c r="E372" i="1"/>
  <c r="E371" i="1"/>
  <c r="E370" i="1"/>
  <c r="E369" i="1"/>
  <c r="E368" i="1"/>
  <c r="E367" i="1"/>
  <c r="E366" i="1"/>
  <c r="E365" i="1"/>
  <c r="E364" i="1"/>
  <c r="E363" i="1"/>
  <c r="E362" i="1"/>
  <c r="E361" i="1"/>
  <c r="E360" i="1"/>
  <c r="E359" i="1"/>
  <c r="E358" i="1"/>
  <c r="E357" i="1"/>
  <c r="E356" i="1"/>
  <c r="E355" i="1"/>
  <c r="E354" i="1"/>
  <c r="E353" i="1"/>
  <c r="E352" i="1"/>
  <c r="E345" i="1"/>
  <c r="E344" i="1"/>
  <c r="E343" i="1"/>
  <c r="E342" i="1"/>
  <c r="E341" i="1"/>
  <c r="E340" i="1"/>
  <c r="E339" i="1"/>
  <c r="E338" i="1"/>
  <c r="E337" i="1"/>
  <c r="E336" i="1"/>
  <c r="E335" i="1"/>
  <c r="E334"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alcChain>
</file>

<file path=xl/sharedStrings.xml><?xml version="1.0" encoding="utf-8"?>
<sst xmlns="http://schemas.openxmlformats.org/spreadsheetml/2006/main" count="37917" uniqueCount="1986">
  <si>
    <t>REACH Ukraine | Multisectoral Needs Assessment (MSNA) 2024 | NATIONAL Frequency Tables - DISPLACEMENT DATASET</t>
  </si>
  <si>
    <t>Items</t>
  </si>
  <si>
    <t>Description</t>
  </si>
  <si>
    <t>Inclusion of population groups</t>
  </si>
  <si>
    <t xml:space="preserve">Both returnee and IDP HHs are included in this dataset. </t>
  </si>
  <si>
    <t xml:space="preserve">Background &amp; Rationale </t>
  </si>
  <si>
    <t>More than two years since the escalation of the war in Ukraine in February 2022, the humanitarian crisis continues to impact the population in the country, leaving 14.7 million people in need of humanitarian assistance in 2024. 
As of February 2024, the International Organization for Migration (IOM) estimated that 3.41 million people were internally displaced within Ukraine – a notable decrease from the previous year’s estimation (5.4 million). However, of those that were still displaced at the end of 2023, 70% reported having been displaced for at least one year. Thus, while people were decreasingly becoming newly displaced, millions of individuals' displacement was continuing for one year or more. Further, large numbers of people have returned to their communities of origin since the early months of the war, as well. The estimated population of returnees (4.5 million) is now higher than those currently displaced within Ukraine. This return has been accompanied by difficulties finding a suitable job (predominantly in rural areas) and lack of availability of basic services due to consequences of the conflict, alongside other impacts. 
The impacts of the escalation of the war for the entire population, regardless of displacement status, are particularly intense in areas close to the frontline and border of the Russian Federation. Active hostilities continue in Northern, Eastern and Southern Ukraine, with continuous reports of civilian casualties and damage to civilian infrastructure. There were more than 47,000 incidents involving armed clashes, airstrikes, and other attacks across Ukraine in 2023, an increase of more than 12,000 compared to 2022.  Intensified strikes since the start of 2024 have damaged houses and critical civilian infrastructure, leading to major disruptions of essential services, such as electricity and heating, and reduced access to health and education. The conflict has specifically led to deterioration in the socioeconomic situation of the Ukrainian population. Damage to and destruction of productive assets, as well as the bombings of Ukrainian ports and grain infrastructure points by the Russian Federation, have severely jeopardized the socioeconomic stability of Ukraine, particularly in the agriculture sector. Alongside protection, livelihood challenges were one of the key drivers of severe or higher multi-sectoral needs in Ukraine, reported by 56% of households nationwide in the 2023 MSNA. In this context, previously vulnerable groups living in Ukraine have also been facing exacerbated difficulties accessing basic services, including healthcare, primary education and social protection, as well.
Household-level vulnerabilities vary according to sector, according to key demographic and vulnerability factors, and across geographic area. In light of the ongoing hostilities, the dynamic situation and intensifying impacts in frontline regions, and increasing evidence that the needs are ongoing and diverging according to specific population groups, the multi-sectoral needs analysis (MSNA) will contribute to continued efforts to gather accurate information for the ongoing humanitarian response in the Ukraine. The MSNA intends to enhance the understanding of the current humanitarian situation in Ukraine to inform strategic decision-making, including funding allocations, and ongoing or planned humanitarian interventions. REACH, in partnership with World Food Programme (WFP) and Kyiv International Institute of Sociology (KIIS), conducted the 2024 MSNA building upon the 2023 and 2022 Ukraine MSNA, in collaboration with the HCT, Inter-Cluster Coordination Group (ICCG) and United Nations Office for the Coordination of Humanitarian Affairs (OCHA).
The MSNA intends to enhance the understanding of the current humanitarian situation in Ukraine to inform strategic decision-making, including funding allocations, and ongoing or planned humanitarian interventions. The MSNA serves as a baseline upon which humanitarian aid providers in Ukraine can better understand: 1) the humanitarian situation in Ukraine and the multi-sectoral needs of the people in Ukraine, 2) how to address these needs and thus improve the humanitarian response, and 3) where further inquiry is required. In terms of direct applications of the MSNA, the findings of the MSNA will directly feed into the People-in-Need (PiN) and severity calculations and inform strategic planning for the 2025 HNRP. Through its contribution to the HNRP, the MSNA will provide a shared understanding of the crisis and inform joint strategic response prioritization and planning in Ukraine. The MSNA also aims to better clarify how household-level needs vary according to geographic area, across key demographics (e.g. gender, disability) and displacement status (e.g. returnee households, IDP households, and non-displaced households). Understanding how needs vary across such groups will improve humanitarian aid providers’ ability to specify and target their aid.</t>
  </si>
  <si>
    <t>Methodology</t>
  </si>
  <si>
    <t xml:space="preserve">This assessment employed a quantitative data collection methodology, including face-to-face (F2F) and computer-assisted telephone interview (CATI) surveys conducted at the household level. This dataset is composed of households where at least one head of household was reported as being a returnee or displaced. This includes households from the General Population MSNA dataset, as well as a separate displacement-specific research component where displaced and returnee households were specifically sampled for and interviewed via CATI identifed through random digital dialing by the MSNA third-party service provider Kiev International Institute of Sociology (KIIS).   
REACH developed a sampling strategy designed to allow for disaggregation by geographic areas and population groups, balanced against time, access, and resource constraints. REACH’s sampling approach was guided by the aim of conducting more targeted data collection for displaced persons and returnees, for whom results from the 2023 MSNA suggested more more severe, as well as at times localised needs profiles. The sampling approach is therefore comprised of several complimentary sampling methods, with a precision of 90% confidence level and 10% margin of error across all stratum for this specific Displacement Dataset. The first approach is representative for displaced persons at the oblast level for all oblasts located in the North, East and South macroregions, and at the macroregional level for the West and Center macroregions. The second approach is representative for returnees at the macroregional level in the West, North, South and East macroregions. Due to challenges reaching households where the head of household was either displaced or was a returnee, REACH was unable to collect a representative sample for displaced households in Zhytomyrska Oblast, as well as a representative returnee sample for the Center macroregion.
This dataset combines 1) those households identified in the main dataset as having at least one head of household who was reported to be either displaced or a returnee and 2) the second research component where households in Ukraine within the geographic scope of coverage were randomly screened through random digital dialing by KIIS to meet this aforementioned criteria. Please see the main dataset containing all households for the REACH Ukraine 2024 MSNA Dataset - Displacement. 
Please see the MSNA 2024 Terms of Reference for more details: https://repository.impact-initiatives.org/document/repository/ad883447/REACH_UKR_TOR_UKR2403_May-2024-external-1-1.pdf. </t>
  </si>
  <si>
    <t>Limitations</t>
  </si>
  <si>
    <t xml:space="preserve">1) The Displacement Dataset combines two research components. First, it includes the returnee and displaced households randomly sampled in the General Population Dataset. Second, it also includes a separate reseach component whereby households were screened for whether they were displaced or returnee households. Since these two components deployed different sampling approaches (i.e. the sample for the General Population was distributed according to settlement population (face-to-face modality) and according to random digital dialing in particular (less accessible) raions (CATI modaility), while the sample for latter component was distributed purely by oblast, for displaced households, and by macroregion for IDP and returnee households achieved through random digital dialing), the final displaced and returnee sample might have oversampled or undersampled some raions within particular oblasts. Given that existing raion-specific population estimates for returnee and displaced households in Ukraine are unreliable, this dataset may potentially misrepresent the severity of needs of these households. This is particularly true for those oblasts that are close to the frontline, where the needs of population that lives in raions close to the frontline are notably different from the needs of those who live in the same oblast but in raions away from the frontline (MSNA 2023).
2) For weighting the returnee and displaced households in this dataset, the updated International Organization of Migration (IOM) returnee and IDP dataset on Population Statistics estimates per raion (Round 17) were used. Estimation of distribution of displaced groups across Ukraine is very hard to assess, given the complex and constantly evolving movement of the population within the country. Thus, the estimates of  displaced groups might not be particularly precise, leading to a potential overrepresentation or underrepresentation of the severity or quality of needs in certain raions where there is less precision. 
3) It is important to note that comparison of displaced groups from the MSNA displacement dataset and non-displaced population from MSNA general population dataset are only indicative, since different weights have been applied to both datasets. More precise comparison of needs between non-displaced population and displaced populations can be achieved using the REACH Ukraine 2024 MSNA General Population Dataset, but these findings are only indicative, as well. </t>
  </si>
  <si>
    <t>Product Navigation and Disaggregations</t>
  </si>
  <si>
    <r>
      <rPr>
        <sz val="10"/>
        <color rgb="FF000000"/>
        <rFont val="Arial Narrow"/>
      </rPr>
      <t xml:space="preserve">This REACH product presents frequency tables of </t>
    </r>
    <r>
      <rPr>
        <b/>
        <sz val="10"/>
        <color rgb="FF000000"/>
        <rFont val="Arial Narrow"/>
      </rPr>
      <t>2024 MSNA indicators at the national level</t>
    </r>
    <r>
      <rPr>
        <sz val="10"/>
        <color rgb="FF000000"/>
        <rFont val="Arial Narrow"/>
      </rPr>
      <t xml:space="preserve">. </t>
    </r>
    <r>
      <rPr>
        <b/>
        <sz val="10"/>
        <color rgb="FF000000"/>
        <rFont val="Arial Narrow"/>
      </rPr>
      <t>The frequency tables are grouped by Sector and Indicator,</t>
    </r>
    <r>
      <rPr>
        <sz val="10"/>
        <color rgb="FF000000"/>
        <rFont val="Arial Narrow"/>
      </rPr>
      <t xml:space="preserve"> and can be navigated using the relevant link in the "Table of Content" tab. Frequency tables disaggregations include the following:
•	</t>
    </r>
    <r>
      <rPr>
        <b/>
        <sz val="10"/>
        <color rgb="FF000000"/>
        <rFont val="Arial Narrow"/>
      </rPr>
      <t xml:space="preserve">By rural/urban: </t>
    </r>
    <r>
      <rPr>
        <sz val="10"/>
        <color rgb="FF000000"/>
        <rFont val="Arial Narrow"/>
      </rPr>
      <t xml:space="preserve">Rural HHs, Urban HHs
•	</t>
    </r>
    <r>
      <rPr>
        <b/>
        <sz val="10"/>
        <color rgb="FF000000"/>
        <rFont val="Arial Narrow"/>
      </rPr>
      <t>By displacement status: I</t>
    </r>
    <r>
      <rPr>
        <sz val="10"/>
        <color rgb="FF000000"/>
        <rFont val="Arial Narrow"/>
      </rPr>
      <t>DP HHs, Returnee HHs
•</t>
    </r>
    <r>
      <rPr>
        <b/>
        <sz val="10"/>
        <color rgb="FF000000"/>
        <rFont val="Arial Narrow"/>
      </rPr>
      <t xml:space="preserve">	By proximity to the Frontline / Russian border:</t>
    </r>
    <r>
      <rPr>
        <sz val="10"/>
        <color rgb="FF000000"/>
        <rFont val="Arial Narrow"/>
      </rPr>
      <t xml:space="preserve"> HHs living in settlements away from the frontline or Russian border, HHs living in settlements within 3km of the frontline or Russian border, and HHs living in settlements within 30 to 100km of the frontline or the Russian border
•	</t>
    </r>
    <r>
      <rPr>
        <b/>
        <sz val="10"/>
        <color rgb="FF000000"/>
        <rFont val="Arial Narrow"/>
      </rPr>
      <t xml:space="preserve">By WGSS disability: </t>
    </r>
    <r>
      <rPr>
        <sz val="10"/>
        <color rgb="FF000000"/>
        <rFont val="Arial Narrow"/>
      </rPr>
      <t xml:space="preserve">HHs with a member with a disability (Washington Group Severity Score 3 or 4), HHs without a member with a disability
•	</t>
    </r>
    <r>
      <rPr>
        <b/>
        <sz val="10"/>
        <color rgb="FF000000"/>
        <rFont val="Arial Narrow"/>
      </rPr>
      <t xml:space="preserve">By HH size: </t>
    </r>
    <r>
      <rPr>
        <sz val="10"/>
        <color rgb="FF000000"/>
        <rFont val="Arial Narrow"/>
      </rPr>
      <t xml:space="preserve">Single HH member, HHs with 2-4 members, HHs with 5+ members
•	</t>
    </r>
    <r>
      <rPr>
        <b/>
        <sz val="10"/>
        <color rgb="FF000000"/>
        <rFont val="Arial Narrow"/>
      </rPr>
      <t>By single/joint-headed HHs:</t>
    </r>
    <r>
      <rPr>
        <sz val="10"/>
        <color rgb="FF000000"/>
        <rFont val="Arial Narrow"/>
      </rPr>
      <t xml:space="preserve"> Joint-headed households, Single-headed female households, Single-headed male households
•	</t>
    </r>
    <r>
      <rPr>
        <b/>
        <sz val="10"/>
        <color rgb="FF000000"/>
        <rFont val="Arial Narrow"/>
      </rPr>
      <t xml:space="preserve">By gender of respondent: </t>
    </r>
    <r>
      <rPr>
        <sz val="10"/>
        <color rgb="FF000000"/>
        <rFont val="Arial Narrow"/>
      </rPr>
      <t>Men-respondent, Women-respondent
•</t>
    </r>
    <r>
      <rPr>
        <b/>
        <sz val="10"/>
        <color rgb="FF000000"/>
        <rFont val="Arial Narrow"/>
      </rPr>
      <t xml:space="preserve">	By age of respondents: </t>
    </r>
    <r>
      <rPr>
        <sz val="10"/>
        <color rgb="FF000000"/>
        <rFont val="Arial Narrow"/>
      </rPr>
      <t xml:space="preserve">18-29 y.o. respondents, 30-44 y.o. respondents, 45-59 y.o. respondents, 60+ y.o. respondents.
•	</t>
    </r>
    <r>
      <rPr>
        <b/>
        <sz val="10"/>
        <color rgb="FF000000"/>
        <rFont val="Arial Narrow"/>
      </rPr>
      <t xml:space="preserve">By presence of children: </t>
    </r>
    <r>
      <rPr>
        <sz val="10"/>
        <color rgb="FF000000"/>
        <rFont val="Arial Narrow"/>
      </rPr>
      <t xml:space="preserve">HHs with children (HH member &lt;18 years old), HHs without children
•	</t>
    </r>
    <r>
      <rPr>
        <b/>
        <sz val="10"/>
        <color rgb="FF000000"/>
        <rFont val="Arial Narrow"/>
      </rPr>
      <t>By employment status:</t>
    </r>
    <r>
      <rPr>
        <sz val="10"/>
        <color rgb="FF000000"/>
        <rFont val="Arial Narrow"/>
      </rPr>
      <t xml:space="preserve"> HHs without any working-age members, HHs with both employed and unemployed working-age members, HHs with only employed working-age members, HHs with only unemployed working-age members
•	</t>
    </r>
    <r>
      <rPr>
        <b/>
        <sz val="10"/>
        <color rgb="FF000000"/>
        <rFont val="Arial Narrow"/>
      </rPr>
      <t xml:space="preserve">By income per capita: </t>
    </r>
    <r>
      <rPr>
        <sz val="10"/>
        <color rgb="FF000000"/>
        <rFont val="Arial Narrow"/>
      </rPr>
      <t xml:space="preserve">HHs with 0-25% income, HHs with 25-50% income, HHs with 50-75% income, HHs with 75-100% income
•	</t>
    </r>
    <r>
      <rPr>
        <b/>
        <sz val="10"/>
        <color rgb="FF000000"/>
        <rFont val="Arial Narrow"/>
      </rPr>
      <t>By age of HH members:</t>
    </r>
    <r>
      <rPr>
        <sz val="10"/>
        <color rgb="FF000000"/>
        <rFont val="Arial Narrow"/>
      </rPr>
      <t xml:space="preserve"> Mixed HHs (both 60+ and under), Non-elderly HHs, Elderly HHs
•	</t>
    </r>
    <r>
      <rPr>
        <b/>
        <sz val="10"/>
        <color rgb="FF000000"/>
        <rFont val="Arial Narrow"/>
      </rPr>
      <t>By gender of HH members</t>
    </r>
    <r>
      <rPr>
        <sz val="10"/>
        <color rgb="FF000000"/>
        <rFont val="Arial Narrow"/>
      </rPr>
      <t xml:space="preserve">: Men, Women
•	</t>
    </r>
    <r>
      <rPr>
        <b/>
        <sz val="10"/>
        <color rgb="FF000000"/>
        <rFont val="Arial Narrow"/>
      </rPr>
      <t>By care provider status</t>
    </r>
    <r>
      <rPr>
        <sz val="10"/>
        <color rgb="FF000000"/>
        <rFont val="Arial Narrow"/>
      </rPr>
      <t xml:space="preserve">: Single female care providers (children in HH but only adult is a woman), Joint care providers (children in HH but multiple adults), Single male care providers (children in HH but only adult is a man), Not care provider (no children in HH)
</t>
    </r>
  </si>
  <si>
    <t>Contacts (Name &amp; email address)</t>
  </si>
  <si>
    <t>Cailean Mallon cailean.mallon@impact-initiatives.org</t>
  </si>
  <si>
    <t>Mackenzie Seaman mackenzie.seaman@impact-initiatives.org </t>
  </si>
  <si>
    <t>Sheets</t>
  </si>
  <si>
    <t>Sheet 1 - READ_ME</t>
  </si>
  <si>
    <t>Project description</t>
  </si>
  <si>
    <t>Sheet 2 - Table of content</t>
  </si>
  <si>
    <t xml:space="preserve">The Table of Contents displays the links to relevant Frequency Tables. To filter the tables of interest, select the (i) sector, and (ii) indicator of interest, using the slicers above the table. Click the links in the "Link to Frequency Table" column to access the data. </t>
  </si>
  <si>
    <t>Sheet 3 - Data</t>
  </si>
  <si>
    <t>The Data sheet contains the Frequency Tables.</t>
  </si>
  <si>
    <r>
      <rPr>
        <b/>
        <sz val="20"/>
        <color rgb="FF000000"/>
        <rFont val="Arial Narrow"/>
      </rPr>
      <t xml:space="preserve">REACH Ukraine | Multisectoral Needs Assessment (MSNA) 2024 | Table of Content for National Frequency Tables - </t>
    </r>
    <r>
      <rPr>
        <b/>
        <sz val="20"/>
        <color rgb="FFFF0000"/>
        <rFont val="Arial Narrow"/>
      </rPr>
      <t>DISPLACEMENT</t>
    </r>
  </si>
  <si>
    <t>TO FILTER RELEVANT FREQUENCY TABLES:</t>
  </si>
  <si>
    <r>
      <t xml:space="preserve">STEP 1: SELECT THE </t>
    </r>
    <r>
      <rPr>
        <b/>
        <sz val="14"/>
        <color rgb="FFFF0000"/>
        <rFont val="Calibri"/>
        <family val="2"/>
        <scheme val="minor"/>
      </rPr>
      <t>SECTOR</t>
    </r>
  </si>
  <si>
    <r>
      <t xml:space="preserve">STEP 2: SELECT THE </t>
    </r>
    <r>
      <rPr>
        <b/>
        <sz val="14"/>
        <color rgb="FFFF0000"/>
        <rFont val="Calibri"/>
        <family val="2"/>
        <scheme val="minor"/>
      </rPr>
      <t>INDICATOR OF INTEREST</t>
    </r>
  </si>
  <si>
    <r>
      <rPr>
        <u/>
        <sz val="12"/>
        <color theme="1"/>
        <rFont val="Calibri"/>
        <family val="2"/>
        <scheme val="minor"/>
      </rPr>
      <t>Applicable</t>
    </r>
    <r>
      <rPr>
        <sz val="12"/>
        <color theme="1"/>
        <rFont val="Calibri"/>
        <family val="2"/>
        <scheme val="minor"/>
      </rPr>
      <t xml:space="preserve"> indicators by sector will appear in red in the slicer </t>
    </r>
  </si>
  <si>
    <t>Sector</t>
  </si>
  <si>
    <t>Indicator</t>
  </si>
  <si>
    <t>Table ID</t>
  </si>
  <si>
    <t>Link to Frequency Table</t>
  </si>
  <si>
    <t>Demographics</t>
  </si>
  <si>
    <t xml:space="preserve">Age of Respondents </t>
  </si>
  <si>
    <t xml:space="preserve">Percentage of Respondents Reportedly being Head of the Household (HoH) </t>
  </si>
  <si>
    <t>Household Size</t>
  </si>
  <si>
    <t>Age of Household members</t>
  </si>
  <si>
    <t>Percentage of household members by gender</t>
  </si>
  <si>
    <t>Percentage of Heads of Households, by highest level of education achieved</t>
  </si>
  <si>
    <t>Percentage of household members, by empoyment status</t>
  </si>
  <si>
    <t>Percentage of household members who have been looking for a job</t>
  </si>
  <si>
    <t>Percentage of household members who have been looking for a job, by barriers encountered</t>
  </si>
  <si>
    <t>Health</t>
  </si>
  <si>
    <t>Percentage of Medical Facility where a newborn was born, by type</t>
  </si>
  <si>
    <t>Percentage of HHs members who reported having a medical problem in the last 3 months and needed to access health care</t>
  </si>
  <si>
    <t>Percentage of HHs members reporting being able to obtain healthcare</t>
  </si>
  <si>
    <t>Percentage of Household members with healthcare needs, by type of need</t>
  </si>
  <si>
    <t>Distance (minutes) to the nearest medical facility</t>
  </si>
  <si>
    <t>Percentage of HHs who sought any medicine in the last 3 months</t>
  </si>
  <si>
    <t>Percentage of Households that were able to obtain the medicine sought in the last 3 months</t>
  </si>
  <si>
    <t>Percentage of households unable to access medicines, by type of medicine sought</t>
  </si>
  <si>
    <t>Percentage of households unable to obtain medicine from Affordable Medicine Program</t>
  </si>
  <si>
    <t>Percentage of Households by reported reasons for not being able to obtain medicine from Affordable Medicine Program</t>
  </si>
  <si>
    <t>Percentage of Households reporting barriers while accessing healthcare/medication, by barrier</t>
  </si>
  <si>
    <t>Percentage of Households where women (12-49 y.o.) know where to get information sexual and reproductive health services</t>
  </si>
  <si>
    <t>Health - MHPSS</t>
  </si>
  <si>
    <t>Percentage of Households experiencing notable stress in the last 6 months</t>
  </si>
  <si>
    <t>Percentage of Households experiencing depressed mood in the last 6 months</t>
  </si>
  <si>
    <t>Percentage of Households experiencing at least 2 weeks of anxiety in the last 6 months</t>
  </si>
  <si>
    <t>Percentage of Households with at least 1 member with registered disability status, by disability group</t>
  </si>
  <si>
    <t>Percentage of Households with at least 1 member who has difficulties seeing</t>
  </si>
  <si>
    <t>Percentage of Households with at least 1 member who has difficulties hearing</t>
  </si>
  <si>
    <t>Percentage of Households with at least 1 member who has difficulties walking</t>
  </si>
  <si>
    <t>Percentage of Households with at least 1 member who has difficulties concentrating</t>
  </si>
  <si>
    <t>Percentage of Households with at least 1 member who has difficulties with self-care</t>
  </si>
  <si>
    <t>Percentage of Households with at least 1 member who has difficulties communicating</t>
  </si>
  <si>
    <t>Displacement</t>
  </si>
  <si>
    <t>Percentage of households separated for three months or more due to reasons related to the war</t>
  </si>
  <si>
    <t>Percentage of former refugees households</t>
  </si>
  <si>
    <t>Percentage of households which are IDPs, by length of displacement</t>
  </si>
  <si>
    <t>Percentage of households reporting reasons for return, by reason</t>
  </si>
  <si>
    <t>Percentage of households reporting their movement intentions for the next 12 months</t>
  </si>
  <si>
    <t>Percentage of households that have registered IDP members</t>
  </si>
  <si>
    <t>Education</t>
  </si>
  <si>
    <t>Percentage of children (5-18 y.o) from assessed HHs who attended school or early education program during 2023-2024 years</t>
  </si>
  <si>
    <t>Percentage of children (5-18 y.o) from assessed HHs who attended school during 2023-2024, by learning modality</t>
  </si>
  <si>
    <t>Percentage of children  (5-18 y.o) from assessed HHs who attended school, by grade</t>
  </si>
  <si>
    <t>Percentage of children (5 to 18 y.o.) NOT attending school or any early childhood education program at any time during the 2023-2024 school year, by main reason</t>
  </si>
  <si>
    <t>Percentage of Households with school-aged children (5-18 y.o) that reported education disruption because of displacement/evacuation</t>
  </si>
  <si>
    <t>Percentage of Households with school-aged children (5-18 y.o) that reported education disruption because of school damage</t>
  </si>
  <si>
    <t>Percentage of Households with school-aged children (5-18 y.o) that reported education disruption because of home damage</t>
  </si>
  <si>
    <t>Percentage of Households with school-aged children (5-18 y.o) that reported education disruption because of missile attack</t>
  </si>
  <si>
    <t>Time spent supporting children with education</t>
  </si>
  <si>
    <t>Livelihoods</t>
  </si>
  <si>
    <t>Households reporting types of expenditures they had in the last 30 days, by type</t>
  </si>
  <si>
    <t>Household Domestic Expenditure over the last 30 days, by type and amount</t>
  </si>
  <si>
    <t>Average Household Expenditure on Heating</t>
  </si>
  <si>
    <t>Households reporting types of expenditures they had in the last 6 months, by type</t>
  </si>
  <si>
    <t>Household Domestic Expenditure over the last 6 months by type and amount</t>
  </si>
  <si>
    <t>Total monthly expenditure PER CAPITA among those who reported any expenditure</t>
  </si>
  <si>
    <t>Total monthly expenditure among those who reported any expenditure</t>
  </si>
  <si>
    <t>SNFI</t>
  </si>
  <si>
    <t>Percentage of household missing essential non-food items, by item</t>
  </si>
  <si>
    <t>Prevalence of Primary Income Sources Reported by Households Over the Last 30 Days Prior to DC</t>
  </si>
  <si>
    <t>Household income over the 30 days prior to data collection, by types of income source</t>
  </si>
  <si>
    <t>Total income per capita among those who reported any income</t>
  </si>
  <si>
    <t>Total income per household among those who reported any income</t>
  </si>
  <si>
    <t>Percentage of households currently indebted</t>
  </si>
  <si>
    <t>Percentage of households currently indebted, by reason</t>
  </si>
  <si>
    <t>Percentange of households facing barriers to access marketplaces, by barrier</t>
  </si>
  <si>
    <t>Percentage of households adopting Livelihood Coping Strategies, by strategy</t>
  </si>
  <si>
    <t>Prevalence of Reported reasons for adopting Livelihood Coping Strategies</t>
  </si>
  <si>
    <t>Livelihood Coping Strategy - Essential Needs (LCS-EN)</t>
  </si>
  <si>
    <t>Protection</t>
  </si>
  <si>
    <t>Percentage of Households reporting security factors affecting their sense of safety, by factor</t>
  </si>
  <si>
    <t>Percentage of households reporting social tension and/or discrimination within the community, by reason</t>
  </si>
  <si>
    <t>Percentage of households reporting being concerned about having any HH member engaging in risky activities due to the economic needs</t>
  </si>
  <si>
    <t>Percentage of households that reported being concerned about being forced to flee their home</t>
  </si>
  <si>
    <t>Percentage of households reporting safety and security concerns for women, by concern</t>
  </si>
  <si>
    <t>Percentage of households reporting at least one female member of the household felt unsafe walking in their community, by frequency</t>
  </si>
  <si>
    <t>Prevalence of places women avoid because of security concerns</t>
  </si>
  <si>
    <t>Percentage of households reporting safety and security concerns for men, by concern</t>
  </si>
  <si>
    <t>Percentage of households reporting safety and security concerns for children, by concern</t>
  </si>
  <si>
    <t>Percentage of households reporting HLP (housing/land/property) concerns, by concern</t>
  </si>
  <si>
    <t>Protection - Mine Action</t>
  </si>
  <si>
    <t>Frequency of training on safe behaviours towards Explosive Ordnances</t>
  </si>
  <si>
    <t>Percentage of communities with Explosive Ordnances present</t>
  </si>
  <si>
    <t>Percentage of Households Reporting that Explosive Ordnance Affect the Livelihoods of People within their Community</t>
  </si>
  <si>
    <t>Percentage of Households, by shelter situation</t>
  </si>
  <si>
    <t>Percentage of Households, by shelter type</t>
  </si>
  <si>
    <t>Average shelter size</t>
  </si>
  <si>
    <t>Average number of individuals sharing a shelter</t>
  </si>
  <si>
    <t>Shelter overcrowding</t>
  </si>
  <si>
    <t>Prevalence of Shelter Occupancy Arrangement reported, by type</t>
  </si>
  <si>
    <t>Percentage of households feeling at risk of eviction</t>
  </si>
  <si>
    <t>Percentage of households reporting shelter issues that were NOT caused by the war, by issue</t>
  </si>
  <si>
    <t>Percentage of Households reporting shelter damage due to war, by type</t>
  </si>
  <si>
    <t>Percentage of Households reporting shelter damage due to war, by severity</t>
  </si>
  <si>
    <t>Percentage of Households experiencing issues while cooking</t>
  </si>
  <si>
    <t>Percentage of Households experiencing issues while sleeping</t>
  </si>
  <si>
    <t>Prevalence of main heating source, by type</t>
  </si>
  <si>
    <t>Percentage of Households experiencing issues while storing food</t>
  </si>
  <si>
    <t>Percentage of Households experiencing issues with electricity</t>
  </si>
  <si>
    <t>Percentage of Households reporting utility interruptions, by utility</t>
  </si>
  <si>
    <t>Percentage of households by access to alternative source of power</t>
  </si>
  <si>
    <t>Percentage of households having access to the Internet, by frequency</t>
  </si>
  <si>
    <t>Percentange of households accessing to internet, by source</t>
  </si>
  <si>
    <t>Distance to nearest bomb shelter</t>
  </si>
  <si>
    <t>Percentage of Households reporting damage to the shelter in the area of origin, by damage type</t>
  </si>
  <si>
    <t>Percentage of Households reporting damage to the shelter in the area of origin, by severity</t>
  </si>
  <si>
    <t>WASH</t>
  </si>
  <si>
    <t>Prevalence of reported main sources of drinking water, by type</t>
  </si>
  <si>
    <t>Average time (minutes) to fetch water</t>
  </si>
  <si>
    <t>Percentage of HHs assessing drinking water, by quality</t>
  </si>
  <si>
    <t>Percentage of HHs treating drinking water</t>
  </si>
  <si>
    <t>Average number of days without sufficient drinking water</t>
  </si>
  <si>
    <t>Prevalence of water sources for domestic purposes, by type</t>
  </si>
  <si>
    <t>Percentage of HHs reporting having enough water for technical needs</t>
  </si>
  <si>
    <t>Percentage of HHs reporting having issues with performing personal hyigiene</t>
  </si>
  <si>
    <t>Percentage of HHs reporting having issues with performing personal hyigiene, by reported reason</t>
  </si>
  <si>
    <t>Prevalence of handwashing facilities used, by type</t>
  </si>
  <si>
    <t>Percentage of Households having soap in their household</t>
  </si>
  <si>
    <t>Prevalence of toilet facilities used, by type</t>
  </si>
  <si>
    <t>Percentage of households sharing sanitation facilities</t>
  </si>
  <si>
    <t>Average number of households sharing sanitation facilities</t>
  </si>
  <si>
    <t>Percentage of households with access to adequate toilets</t>
  </si>
  <si>
    <t>Prevalence of garbage disposal method, by type</t>
  </si>
  <si>
    <t>Prevalence of reported issues with sewage, by type</t>
  </si>
  <si>
    <t>Percentage of Households reportedly struggling to obtain enough money to cover household daily needs</t>
  </si>
  <si>
    <t>Percentage of Household reporting Challenges to Obtain Money to Meet Basic Needs, by challenge</t>
  </si>
  <si>
    <t>Food Security</t>
  </si>
  <si>
    <t>Percentage of households adopting reduced coping strategies, by strategy (rCSI)</t>
  </si>
  <si>
    <t>Household Hunger Scale (HHS)</t>
  </si>
  <si>
    <t>AAP</t>
  </si>
  <si>
    <t>Prevalence of most significant challenges reported by HHs, by type</t>
  </si>
  <si>
    <t>Prevalence of preferred support from aid actors reported by HHs, by type</t>
  </si>
  <si>
    <t>Prevalence of preferred modality of assistance reported by HHs</t>
  </si>
  <si>
    <t>Prevalence of preferred modality of assistance per aid type</t>
  </si>
  <si>
    <t>Percentage of Households who have received humanitarian assistance</t>
  </si>
  <si>
    <t>Prevalence of reported barriers to accessing aid in the last 12 months</t>
  </si>
  <si>
    <t>Percentage of HHs who were satisfied with the aid received</t>
  </si>
  <si>
    <t>Prevalence of preferred information from aid provider, by type</t>
  </si>
  <si>
    <t>Prevalence of preferred mean of communication from aid provider, by type</t>
  </si>
  <si>
    <t>Percentage of HH reporting feeling involved in aid distribution</t>
  </si>
  <si>
    <t>Prevalence of preferred language of communication with aid providers</t>
  </si>
  <si>
    <t>Percentage of HH reporting cuts in assistance from the governments, by type</t>
  </si>
  <si>
    <t>Percentage of HHs  requiring legal assistance, by type</t>
  </si>
  <si>
    <t>Percentage of HHs requiring social or services provided by the government</t>
  </si>
  <si>
    <t>Percentage of HHs reportedly facing barriers while accessing services provided by the government, by barrier</t>
  </si>
  <si>
    <t>Percentage of households reporting available services for women in their community, by type</t>
  </si>
  <si>
    <t>Percentage of households reporting needed services related to children's well-being, by type</t>
  </si>
  <si>
    <t xml:space="preserve">rCSI - reduced Consumption-based Coping Strategy Index </t>
  </si>
  <si>
    <t>Household income per Capita, by types of income source</t>
  </si>
  <si>
    <t>Age of respondents broken down by rural / urban on the admin of overall</t>
  </si>
  <si>
    <t>admin_category</t>
  </si>
  <si>
    <t>disaggregations_category_1</t>
  </si>
  <si>
    <t>disaggregations_category_2</t>
  </si>
  <si>
    <t>disaggregations_2</t>
  </si>
  <si>
    <t>mean</t>
  </si>
  <si>
    <t>median</t>
  </si>
  <si>
    <t>min</t>
  </si>
  <si>
    <t>max</t>
  </si>
  <si>
    <t>sample_count</t>
  </si>
  <si>
    <t>full_count</t>
  </si>
  <si>
    <t xml:space="preserve"> Overall</t>
  </si>
  <si>
    <t>IDP HHs</t>
  </si>
  <si>
    <t>rural</t>
  </si>
  <si>
    <t>by rural / urban</t>
  </si>
  <si>
    <t>urban</t>
  </si>
  <si>
    <t>Returnee HHs</t>
  </si>
  <si>
    <t>Total</t>
  </si>
  <si>
    <t>Age of respondents broken down by proximity to the Frontline / Russian border on the admin of overall</t>
  </si>
  <si>
    <t>HHs living in settlements away from the frontline or russian border</t>
  </si>
  <si>
    <t>by proximity to the Frontline / Russian border</t>
  </si>
  <si>
    <t>HHs living in settlements from 30 to 100 km from the frontline or russian border</t>
  </si>
  <si>
    <t>HHs living in settlements up to 30 km to the frontline or russian border</t>
  </si>
  <si>
    <t>Age of respondents broken down by member with WGSS disability on the admin of overall</t>
  </si>
  <si>
    <t>HHs with a member with a WG disability</t>
  </si>
  <si>
    <t>by member with WGSS disability</t>
  </si>
  <si>
    <t>HHs without members with a WG disability</t>
  </si>
  <si>
    <t>Age of respondents broken down by displacement status of HoH on the admin of overall</t>
  </si>
  <si>
    <t>Age of respondents broken down by household size on the admin of overall</t>
  </si>
  <si>
    <t>HHs with 2-4 members</t>
  </si>
  <si>
    <t>by household size</t>
  </si>
  <si>
    <t>Single HH member</t>
  </si>
  <si>
    <t>With 5+ members</t>
  </si>
  <si>
    <t>Age of respondents broken down by single/joint headed HHs on the admin of overall</t>
  </si>
  <si>
    <t>Joint-headed households</t>
  </si>
  <si>
    <t>by single/joint headed HHs</t>
  </si>
  <si>
    <t>Single headed female houseohlds</t>
  </si>
  <si>
    <t>Single headed male households</t>
  </si>
  <si>
    <t>Age of respondents broken down by gender of respondent on the admin of overall</t>
  </si>
  <si>
    <t>Men-respondents</t>
  </si>
  <si>
    <t>by gender of respondent</t>
  </si>
  <si>
    <t>Women-respondents</t>
  </si>
  <si>
    <t>A_18 Respondents Reportedly being Head of the Household (HoH)  broken down by gender of respondent on the admin of overall</t>
  </si>
  <si>
    <t>No</t>
  </si>
  <si>
    <t>Yes</t>
  </si>
  <si>
    <t>A_18 Respondents Reportedly being Head of the Household (HoH)  broken down by age of respondents on the admin of overall</t>
  </si>
  <si>
    <t>18-29 y.o. respondents</t>
  </si>
  <si>
    <t>30-44 y.o. respondents</t>
  </si>
  <si>
    <t>45-59 y.o. respondents</t>
  </si>
  <si>
    <t>60+ y.o. respondents</t>
  </si>
  <si>
    <t>B_2 Household size broken down by rural / urban on the admin of overall</t>
  </si>
  <si>
    <t>B_2 Household size broken down by proximity to the Frontline / Russian border on the admin of overall</t>
  </si>
  <si>
    <t>B_2 Household size broken down by member with WGSS disability on the admin of overall</t>
  </si>
  <si>
    <t>B_2 Household size broken down by displacement status of HoH on the admin of overall</t>
  </si>
  <si>
    <t>B_2 Household size broken down by single/joint headed HHs on the admin of overall</t>
  </si>
  <si>
    <t>B_2 Household size broken down by gender of respondent on the admin of overall</t>
  </si>
  <si>
    <t>B_5 Age of Household members broken down by rural / urban on the admin of overall</t>
  </si>
  <si>
    <t>B_5 Age of Household members broken down by proximity to the Frontline / Russian border on the admin of overall</t>
  </si>
  <si>
    <t>B_5 Age of Household members broken down by member with WGSS disability on the admin of overall</t>
  </si>
  <si>
    <t>B_5 Age of Household members broken down by displacement status of HoH on the admin of overall</t>
  </si>
  <si>
    <t>B_5 Age of Household members broken down by household size on the admin of overall</t>
  </si>
  <si>
    <t>B_5 Age of Household members broken down by single/joint headed HHs on the admin of overall</t>
  </si>
  <si>
    <t>B_7 Gender of Household members broken down by rural / urban on the admin of overall</t>
  </si>
  <si>
    <t>Man / boy</t>
  </si>
  <si>
    <t>Prefer not to answer</t>
  </si>
  <si>
    <t>Woman / girl</t>
  </si>
  <si>
    <t>B_7 Gender of Household members broken down by proximity to the Frontline / Russian border on the admin of overall</t>
  </si>
  <si>
    <t>B_7 Gender of Household members broken down by member with WGSS disability on the admin of overall</t>
  </si>
  <si>
    <t>B_7 Gender of Household members broken down by displacement status of HoH on the admin of overall</t>
  </si>
  <si>
    <t>B_7 Gender of Household members broken down by household size on the admin of overall</t>
  </si>
  <si>
    <t>B_7 Gender of Household members broken down by single/joint headed HHs on the admin of overall</t>
  </si>
  <si>
    <t>B_12 Education of Heads of Households broken down by rural / urban on the admin of overall</t>
  </si>
  <si>
    <t>Basic general secondary</t>
  </si>
  <si>
    <t>Complete general secondary</t>
  </si>
  <si>
    <t>Do not know</t>
  </si>
  <si>
    <t>Doctor of Sciences</t>
  </si>
  <si>
    <t>No education completed</t>
  </si>
  <si>
    <t>PhD</t>
  </si>
  <si>
    <t>Primary school</t>
  </si>
  <si>
    <t>University degree</t>
  </si>
  <si>
    <t>Vocational, technical education</t>
  </si>
  <si>
    <t>B_12 Education of Heads of Households broken down by proximity to the Frontline / Russian border on the admin of overall</t>
  </si>
  <si>
    <t>B_12 Education of Heads of Households broken down by member with WGSS disability on the admin of overall</t>
  </si>
  <si>
    <t>B_12 Education of Heads of Households broken down by displacement status of HoH on the admin of overall</t>
  </si>
  <si>
    <t>B_12 Education of Heads of Households broken down by household size on the admin of overall</t>
  </si>
  <si>
    <t>B_12 Education of Heads of Households broken down by single/joint headed HHs on the admin of overall</t>
  </si>
  <si>
    <t>E_2 Employment status of Household members broken down by age of household members of employment age on the admin of overall</t>
  </si>
  <si>
    <t>Daily or casual labor</t>
  </si>
  <si>
    <t>Informal employment</t>
  </si>
  <si>
    <t>Military service</t>
  </si>
  <si>
    <t>Military service and serving away from the settlement</t>
  </si>
  <si>
    <t>Other (specify)</t>
  </si>
  <si>
    <t>Own business</t>
  </si>
  <si>
    <t>Permanent job with annual / monthly / weekly wage</t>
  </si>
  <si>
    <t>Permanently sick or disabled (can't work)</t>
  </si>
  <si>
    <t>Retired</t>
  </si>
  <si>
    <t>Self-employed/freelance</t>
  </si>
  <si>
    <t>Student /student and working</t>
  </si>
  <si>
    <t>Student /student but not working</t>
  </si>
  <si>
    <t>Temporary job/seasonal job with annual / monthly / weekly wage</t>
  </si>
  <si>
    <t>Unemployed</t>
  </si>
  <si>
    <t>Unpaid work (e.g. looking after children, looking after the elderly, housework, etc.)</t>
  </si>
  <si>
    <t>15-17 y.o.</t>
  </si>
  <si>
    <t>18-29 y.o.</t>
  </si>
  <si>
    <t>30-44 y.o.</t>
  </si>
  <si>
    <t>45-59 y.o.</t>
  </si>
  <si>
    <t>60+ y.o.</t>
  </si>
  <si>
    <t>E_2 Employment status of Household members broken down by gender and age of household members of employment age on the admin of overall</t>
  </si>
  <si>
    <t>disaggregations_category_3</t>
  </si>
  <si>
    <t>Men</t>
  </si>
  <si>
    <t>Women</t>
  </si>
  <si>
    <t>E_2 Employment status of Household members broken down by rural / urban on the admin of overall</t>
  </si>
  <si>
    <t>E_2 Employment status of Household members broken down by proximity to the Frontline / Russian border on the admin of overall</t>
  </si>
  <si>
    <t>E_2 Employment status of Household members broken down by member with WGSS disability on the admin of overall</t>
  </si>
  <si>
    <t>E_2 Employment status of Household members broken down by displacement status of HoH on the admin of overall</t>
  </si>
  <si>
    <t>E_2 Employment status of Household members broken down by household size on the admin of overall</t>
  </si>
  <si>
    <t>E_2 Employment status of Household members broken down by single/joint headed HHs on the admin of overall</t>
  </si>
  <si>
    <t>E_2 Employment status of Household members broken down by presence of children on the admin of overall</t>
  </si>
  <si>
    <t>HHs with children</t>
  </si>
  <si>
    <t>HHs without children</t>
  </si>
  <si>
    <t>E_2 Employment status of Household members broken down by single care provider on the admin of overall</t>
  </si>
  <si>
    <t>Female single care provider</t>
  </si>
  <si>
    <t>Joint care providers</t>
  </si>
  <si>
    <t>Male single care provider</t>
  </si>
  <si>
    <t>No care providers</t>
  </si>
  <si>
    <t>E_3 Household members who reportedly sought job in the past 4 weeks  broken down by age of household members of employment age on the admin of overall</t>
  </si>
  <si>
    <t>No, not looking for a job</t>
  </si>
  <si>
    <t>Yes, and ready to start within 2 weeks</t>
  </si>
  <si>
    <t>Yes, but not ready to start within 2 weeks</t>
  </si>
  <si>
    <t>E_3 Household members who reportedly sought job in the past 4 weeks  broken down by gender and age of household members of employment age on the admin of overall</t>
  </si>
  <si>
    <t>E_3 Household members who reportedly sought job in the past 4 weeks  broken down by rural / urban on the admin of overall</t>
  </si>
  <si>
    <t>E_3 Household members who reportedly sought job in the past 4 weeks  broken down by proximity to the Frontline / Russian border on the admin of overall</t>
  </si>
  <si>
    <t>E_3 Household members who reportedly sought job in the past 4 weeks  broken down by member with WGSS disability on the admin of overall</t>
  </si>
  <si>
    <t>E_3 Household members who reportedly sought job in the past 4 weeks  broken down by displacement status of HoH on the admin of overall</t>
  </si>
  <si>
    <t>E_3 Household members who reportedly sought job in the past 4 weeks  broken down by household size on the admin of overall</t>
  </si>
  <si>
    <t>E_3 Household members who reportedly sought job in the past 4 weeks  broken down by single/joint headed HHs on the admin of overall</t>
  </si>
  <si>
    <t>E_3 Household members who reportedly sought job in the past 4 weeks  broken down by presence of children on the admin of overall</t>
  </si>
  <si>
    <t>E_3 Household members who reportedly sought job in the past 4 weeks  broken down by single care provider on the admin of overall</t>
  </si>
  <si>
    <t>E_4 Employment barriers faced by household members that sought job in the last 4 weeks broken down by age of household members of employment age on the admin of overall</t>
  </si>
  <si>
    <t>Discrimination</t>
  </si>
  <si>
    <t>Lack of ability to invest in own business</t>
  </si>
  <si>
    <t>Lack of means of transportation</t>
  </si>
  <si>
    <t>Lack of necessary documents</t>
  </si>
  <si>
    <t>Lack of opportunities in the area</t>
  </si>
  <si>
    <t>Lack of qualification</t>
  </si>
  <si>
    <t>Need to care for children / sick / elderly family member</t>
  </si>
  <si>
    <t xml:space="preserve">None </t>
  </si>
  <si>
    <t>Not satisfied with salaries / working conditions</t>
  </si>
  <si>
    <t>Sickness or disability</t>
  </si>
  <si>
    <t>E_4 Employment barriers faced by household members that sought job in the last 4 weeks broken down by gender and age of household members of employment age on the admin of overall</t>
  </si>
  <si>
    <t>E_4 Employment barriers faced by household members that sought job in the last 4 weeks broken down by rural / urban on the admin of overall</t>
  </si>
  <si>
    <t>E_4 Employment barriers faced by household members that sought job in the last 4 weeks broken down by proximity to the Frontline / Russian border on the admin of overall</t>
  </si>
  <si>
    <t>E_4 Employment barriers faced by household members that sought job in the last 4 weeks broken down by member with WGSS disability on the admin of overall</t>
  </si>
  <si>
    <t>E_4 Employment barriers faced by household members that sought job in the last 4 weeks broken down by displacement status of HoH on the admin of overall</t>
  </si>
  <si>
    <t>E_4 Employment barriers faced by household members that sought job in the last 4 weeks broken down by household size on the admin of overall</t>
  </si>
  <si>
    <t>E_4 Employment barriers faced by household members that sought job in the last 4 weeks broken down by single/joint headed HHs on the admin of overall</t>
  </si>
  <si>
    <t>E_4 Employment barriers faced by household members that sought job in the last 4 weeks broken down by presence of children on the admin of overall</t>
  </si>
  <si>
    <t>E_4 Employment barriers faced by household members that sought job in the last 4 weeks broken down by single care provider on the admin of overall</t>
  </si>
  <si>
    <t>B_8 Medical Facility where a newborn was born broken down by rural / urban on the admin of overall</t>
  </si>
  <si>
    <t>At home (relative/friend)</t>
  </si>
  <si>
    <t>In government hospital/health center or post (doctor/nurse/midwife)</t>
  </si>
  <si>
    <t>Private hospital or clinic (doctor/nurse/midwife )</t>
  </si>
  <si>
    <t>B_8 Medical Facility where a newborn was born broken down by proximity to the Frontline / Russian border on the admin of overall</t>
  </si>
  <si>
    <t>B_8 Medical Facility where a newborn was born broken down by member with WGSS disability on the admin of overall</t>
  </si>
  <si>
    <t>B_8 Medical Facility where a newborn was born broken down by displacement status of HoH on the admin of overall</t>
  </si>
  <si>
    <t>B_8 Medical Facility where a newborn was born broken down by household size on the admin of overall</t>
  </si>
  <si>
    <t>B_8 Medical Facility where a newborn was born broken down by single/joint headed HHs on the admin of overall</t>
  </si>
  <si>
    <t>B_8 Medical Facility where a newborn was born broken down by income per capita (by quartiles) on the admin of overall</t>
  </si>
  <si>
    <t>HHs with 0-25% income</t>
  </si>
  <si>
    <t>HHs with 25-50% income</t>
  </si>
  <si>
    <t>HHs with 50-75% income</t>
  </si>
  <si>
    <t>HHs with 75-100% income</t>
  </si>
  <si>
    <t>D_3 Household members that had a medical problem in the last 3 months and needed to access healthcare broken down by age of household members on the admin of overall</t>
  </si>
  <si>
    <t>1-4 y.o.</t>
  </si>
  <si>
    <t>55-59 y.o.</t>
  </si>
  <si>
    <t>50-54 y.o.</t>
  </si>
  <si>
    <t>5-9 y.o.</t>
  </si>
  <si>
    <t>45-49 y.o.</t>
  </si>
  <si>
    <t>40-44 y.o.</t>
  </si>
  <si>
    <t>35-39 y.o.</t>
  </si>
  <si>
    <t>30-34 y.o.</t>
  </si>
  <si>
    <t>25-29 y.o.</t>
  </si>
  <si>
    <t>18-24 y.o.</t>
  </si>
  <si>
    <t>10-14 y.o.</t>
  </si>
  <si>
    <t>D_3 Household members that had a medical problem in the last 3 months and needed to access healthcare broken down by age and gender of household members on the admin of overall</t>
  </si>
  <si>
    <t>D_3 Household members that had a medical problem in the last 3 months and needed to access healthcare broken down by rural / urban on the admin of overall</t>
  </si>
  <si>
    <t>D_3 Household members that had a medical problem in the last 3 months and needed to access healthcare broken down by proximity to the Frontline / Russian border on the admin of overall</t>
  </si>
  <si>
    <t>D_3 Household members that had a medical problem in the last 3 months and needed to access healthcare broken down by member with WGSS disability on the admin of overall</t>
  </si>
  <si>
    <t>D_3 Household members that had a medical problem in the last 3 months and needed to access healthcare broken down by displacement status of HoH on the admin of overall</t>
  </si>
  <si>
    <t>D_3 Household members that had a medical problem in the last 3 months and needed to access healthcare broken down by household size on the admin of overall</t>
  </si>
  <si>
    <t>D_3 Household members that had a medical problem in the last 3 months and needed to access healthcare broken down by single/joint headed HHs on the admin of overall</t>
  </si>
  <si>
    <t>D_3 Household members that had a medical problem in the last 3 months and needed to access healthcare broken down by income per capita (by quartiles) on the admin of overall</t>
  </si>
  <si>
    <t>D_5 Household members by reported ability to obtain healthcare when they needed it broken down by age of household members on the admin of overall</t>
  </si>
  <si>
    <t>D_5 Household members by reported ability to obtain healthcare when they needed it broken down by age and gender of household members on the admin of overall</t>
  </si>
  <si>
    <t>D_5 Household members by reported ability to obtain healthcare when they needed it broken down by rural / urban on the admin of overall</t>
  </si>
  <si>
    <t>D_5 Household members by reported ability to obtain healthcare when they needed it broken down by proximity to the Frontline / Russian border on the admin of overall</t>
  </si>
  <si>
    <t>D_5 Household members by reported ability to obtain healthcare when they needed it broken down by member with WGSS disability on the admin of overall</t>
  </si>
  <si>
    <t>D_5 Household members by reported ability to obtain healthcare when they needed it broken down by displacement status of HoH on the admin of overall</t>
  </si>
  <si>
    <t>D_5 Household members by reported ability to obtain healthcare when they needed it broken down by household size on the admin of overall</t>
  </si>
  <si>
    <t>D_5 Household members by reported ability to obtain healthcare when they needed it broken down by single/joint headed HHs on the admin of overall</t>
  </si>
  <si>
    <t>D_5 Household members by reported ability to obtain healthcare when they needed it broken down by income per capita (by quartiles) on the admin of overall</t>
  </si>
  <si>
    <t>D_4 Household members that reportedly needed healthcare by type of need broken down by age of household members on the admin of overall</t>
  </si>
  <si>
    <t>Ante-natal or post-natal services</t>
  </si>
  <si>
    <t>Consultation or drugs for acute illness (fever, diarrhoea, cough, etc.)</t>
  </si>
  <si>
    <t xml:space="preserve">Consultation or drugs for chronic illness (diabetes, hypertension, etc.) </t>
  </si>
  <si>
    <t>Consultation or drugs for other illnesses</t>
  </si>
  <si>
    <t>Elective, non-life saving surgery</t>
  </si>
  <si>
    <t>Emergency, life saving surgery</t>
  </si>
  <si>
    <t>Preventative consultation / check-up</t>
  </si>
  <si>
    <t>Safe delivery services</t>
  </si>
  <si>
    <t>Trauma care (injury, accident, conflict-related wounds)</t>
  </si>
  <si>
    <t>D_4 Household members that reportedly needed healthcare by type of need broken down by age and gender of household members on the admin of overall</t>
  </si>
  <si>
    <t>D_4 Household members that reportedly needed healthcare by type of need broken down by rural / urban on the admin of overall</t>
  </si>
  <si>
    <t>D_4 Household members that reportedly needed healthcare by type of need broken down by proximity to the Frontline / Russian border on the admin of overall</t>
  </si>
  <si>
    <t>D_4 Household members that reportedly needed healthcare by type of need broken down by member with WGSS disability on the admin of overall</t>
  </si>
  <si>
    <t>D_4 Household members that reportedly needed healthcare by type of need broken down by displacement status of HoH on the admin of overall</t>
  </si>
  <si>
    <t>D_4 Household members that reportedly needed healthcare by type of need broken down by household size on the admin of overall</t>
  </si>
  <si>
    <t>D_4 Household members that reportedly needed healthcare by type of need broken down by single/joint headed HHs on the admin of overall</t>
  </si>
  <si>
    <t>D_4 Household members that reportedly needed healthcare by type of need broken down by income per capita (by quartiles) on the admin of overall</t>
  </si>
  <si>
    <t>Distance to the nearest medical facility broken down by rural / urban on the admin of overall</t>
  </si>
  <si>
    <t>Distance to the nearest medical facility broken down by proximity to the Frontline / Russian border on the admin of overall</t>
  </si>
  <si>
    <t>Distance to the nearest medical facility broken down by member with WGSS disability on the admin of overall</t>
  </si>
  <si>
    <t>Distance to the nearest medical facility broken down by displacement status of HoH on the admin of overall</t>
  </si>
  <si>
    <t>Distance to the nearest medical facility broken down by household size on the admin of overall</t>
  </si>
  <si>
    <t>Distance to the nearest medical facility broken down by single/joint headed HHs on the admin of overall</t>
  </si>
  <si>
    <t>Households that reportedly sought any medicine in the last 3 months broken down by rural / urban on the admin of overall</t>
  </si>
  <si>
    <t>Households that reportedly sought any medicine in the last 3 months broken down by proximity to the Frontline / Russian border on the admin of overall</t>
  </si>
  <si>
    <t>Households that reportedly sought any medicine in the last 3 months broken down by member with WGSS disability on the admin of overall</t>
  </si>
  <si>
    <t>Households that reportedly sought any medicine in the last 3 months broken down by displacement status of HoH on the admin of overall</t>
  </si>
  <si>
    <t>Households that reportedly sought any medicine in the last 3 months broken down by household size on the admin of overall</t>
  </si>
  <si>
    <t>Households that reportedly sought any medicine in the last 3 months broken down by single/joint headed HHs on the admin of overall</t>
  </si>
  <si>
    <t>Households that were able to obtaine the medicine they sought in the last 3 months broken down by rural / urban on the admin of overall</t>
  </si>
  <si>
    <t>Households that were able to obtaine the medicine they sought in the last 3 months broken down by proximity to the Frontline / Russian border on the admin of overall</t>
  </si>
  <si>
    <t>Households that were able to obtaine the medicine they sought in the last 3 months broken down by member with WGSS disability on the admin of overall</t>
  </si>
  <si>
    <t>Households that were able to obtaine the medicine they sought in the last 3 months broken down by displacement status of HoH on the admin of overall</t>
  </si>
  <si>
    <t>Households that were able to obtaine the medicine they sought in the last 3 months broken down by household size on the admin of overall</t>
  </si>
  <si>
    <t>Households that were able to obtaine the medicine they sought in the last 3 months broken down by single/joint headed HHs on the admin of overall</t>
  </si>
  <si>
    <t>Households by types of medicines sought in the last 3 months broken down by rural / urban on the admin of overall</t>
  </si>
  <si>
    <t>Medicines for allergies</t>
  </si>
  <si>
    <t>Medicines for birth control</t>
  </si>
  <si>
    <t xml:space="preserve">Medicines for high blood pressure </t>
  </si>
  <si>
    <t>Medicines for infections</t>
  </si>
  <si>
    <t>Medicines for long-term lung problems (like asthma)</t>
  </si>
  <si>
    <t>Medicines for mental health conditions</t>
  </si>
  <si>
    <t>Medicines for pain</t>
  </si>
  <si>
    <t>Medicines for the neurologic/nervous system diseases e.g. epilepsy and others</t>
  </si>
  <si>
    <t>Medicines for thyroid problems</t>
  </si>
  <si>
    <t>Medicines to prevent or treat cancer</t>
  </si>
  <si>
    <t xml:space="preserve">Medicines to prevent or treat heart problems </t>
  </si>
  <si>
    <t>Medicines to regulate blood sugar</t>
  </si>
  <si>
    <t>Other  (specify)</t>
  </si>
  <si>
    <t>Households by types of medicines sought in the last 3 months broken down by proximity to the Frontline / Russian border on the admin of overall</t>
  </si>
  <si>
    <t>Households by types of medicines sought in the last 3 months broken down by member with WGSS disability on the admin of overall</t>
  </si>
  <si>
    <t>Households by types of medicines sought in the last 3 months broken down by displacement status of HoH on the admin of overall</t>
  </si>
  <si>
    <t>Households by types of medicines sought in the last 3 months broken down by household size on the admin of overall</t>
  </si>
  <si>
    <t>Households by types of medicines sought in the last 3 months broken down by single/joint headed HHs on the admin of overall</t>
  </si>
  <si>
    <t>Households that reportedly were unable to obtain medicine from Affordable Medicine Program broken down by rural / urban on the admin of overall</t>
  </si>
  <si>
    <t>Households that reportedly were unable to obtain medicine from Affordable Medicine Program broken down by proximity to the Frontline / Russian border on the admin of overall</t>
  </si>
  <si>
    <t>Households that reportedly were unable to obtain medicine from Affordable Medicine Program broken down by member with WGSS disability on the admin of overall</t>
  </si>
  <si>
    <t>Households that reportedly were unable to obtain medicine from Affordable Medicine Program broken down by displacement status of HoH on the admin of overall</t>
  </si>
  <si>
    <t>Households that reportedly were unable to obtain medicine from Affordable Medicine Program broken down by household size on the admin of overall</t>
  </si>
  <si>
    <t>Households that reportedly were unable to obtain medicine from Affordable Medicine Program broken down by single/joint headed HHs on the admin of overall</t>
  </si>
  <si>
    <t>Households by reported reasons for not being able to obtain medicine from Affordable Medicine Program broken down by rural / urban on the admin of overall</t>
  </si>
  <si>
    <t>Medicine was not available in the pharmacy</t>
  </si>
  <si>
    <t xml:space="preserve">Problems with the prescription </t>
  </si>
  <si>
    <t xml:space="preserve">Security concern (either getting to/from or being in the pharmacy) </t>
  </si>
  <si>
    <t>Households by reported reasons for not being able to obtain medicine from Affordable Medicine Program broken down by proximity to the Frontline / Russian border on the admin of overall</t>
  </si>
  <si>
    <t>Households by reported reasons for not being able to obtain medicine from Affordable Medicine Program broken down by member with WGSS disability on the admin of overall</t>
  </si>
  <si>
    <t>Households by reported reasons for not being able to obtain medicine from Affordable Medicine Program broken down by displacement status of HoH on the admin of overall</t>
  </si>
  <si>
    <t>Households by reported reasons for not being able to obtain medicine from Affordable Medicine Program broken down by household size on the admin of overall</t>
  </si>
  <si>
    <t>Households by reported reasons for not being able to obtain medicine from Affordable Medicine Program broken down by single/joint headed HHs on the admin of overall</t>
  </si>
  <si>
    <t>Households reporting barriers while accessing healthcare/medication broken down by rural / urban on the admin of overall</t>
  </si>
  <si>
    <t>Cost of medicine</t>
  </si>
  <si>
    <t>Cost of treatment</t>
  </si>
  <si>
    <t xml:space="preserve">Did not have the needed documents </t>
  </si>
  <si>
    <t>Lack of medical facilities / facilities difficult to access</t>
  </si>
  <si>
    <t>Lack of pharmacies / pharmacies difficult to access</t>
  </si>
  <si>
    <t>Refusal to provide service / medicine</t>
  </si>
  <si>
    <t>Security concerns (during travel or while being in the facility / seeking medicine)</t>
  </si>
  <si>
    <t>The need for unofficial payments</t>
  </si>
  <si>
    <t xml:space="preserve">The needed services/ medicine were not available </t>
  </si>
  <si>
    <t>Time necessary to access the services and/or access medicine</t>
  </si>
  <si>
    <t>Transport necessary to get to the services / access medicine</t>
  </si>
  <si>
    <t>Households reporting barriers while accessing healthcare/medication broken down by proximity to the Frontline / Russian border on the admin of overall</t>
  </si>
  <si>
    <t>Households reporting barriers while accessing healthcare/medication broken down by member with WGSS disability on the admin of overall</t>
  </si>
  <si>
    <t>Households reporting barriers while accessing healthcare/medication broken down by displacement status of HoH on the admin of overall</t>
  </si>
  <si>
    <t>Households reporting barriers while accessing healthcare/medication broken down by household size on the admin of overall</t>
  </si>
  <si>
    <t>Households reporting barriers while accessing healthcare/medication broken down by single/joint headed HHs on the admin of overall</t>
  </si>
  <si>
    <t>Households with women (12-49 y.o.) reportedly having the information on where to access sexual and reproductive health services broken down by rural / urban on the admin of overall</t>
  </si>
  <si>
    <t>Households with women (12-49 y.o.) reportedly having the information on where to access sexual and reproductive health services broken down by proximity to the Frontline / Russian border on the admin of overall</t>
  </si>
  <si>
    <t>Households with women (12-49 y.o.) reportedly having the information on where to access sexual and reproductive health services broken down by member with WGSS disability on the admin of overall</t>
  </si>
  <si>
    <t>Households with women (12-49 y.o.) reportedly having the information on where to access sexual and reproductive health services broken down by displacement status of HoH on the admin of overall</t>
  </si>
  <si>
    <t>Households with women (12-49 y.o.) reportedly having the information on where to access sexual and reproductive health services broken down by household size on the admin of overall</t>
  </si>
  <si>
    <t>Households with women (12-49 y.o.) reportedly having the information on where to access sexual and reproductive health services broken down by single/joint headed HHs on the admin of overall</t>
  </si>
  <si>
    <t>Households reportedly experiencing at least 2 weeks of notable stress in the last 6 months broken down by rural / urban on the admin of overall</t>
  </si>
  <si>
    <t>Households reportedly experiencing at least 2 weeks of notable stress in the last 6 months broken down by proximity to the Frontline / Russian border on the admin of overall</t>
  </si>
  <si>
    <t>Households reportedly experiencing at least 2 weeks of notable stress in the last 6 months broken down by member with WGSS disability on the admin of overall</t>
  </si>
  <si>
    <t>Households reportedly experiencing at least 2 weeks of notable stress in the last 6 months broken down by displacement status of HoH on the admin of overall</t>
  </si>
  <si>
    <t>Households reportedly experiencing at least 2 weeks of notable stress in the last 6 months broken down by household size on the admin of overall</t>
  </si>
  <si>
    <t>Households reportedly experiencing at least 2 weeks of notable stress in the last 6 months broken down by single/joint headed HHs on the admin of overall</t>
  </si>
  <si>
    <t>Households reportedly experiencing at least 2 weeks of depressed mood in the last 6 months broken down by rural / urban on the admin of overall</t>
  </si>
  <si>
    <t>Households reportedly experiencing at least 2 weeks of depressed mood in the last 6 months broken down by proximity to the Frontline / Russian border on the admin of overall</t>
  </si>
  <si>
    <t>Households reportedly experiencing at least 2 weeks of depressed mood in the last 6 months broken down by member with WGSS disability on the admin of overall</t>
  </si>
  <si>
    <t>Households reportedly experiencing at least 2 weeks of depressed mood in the last 6 months broken down by displacement status of HoH on the admin of overall</t>
  </si>
  <si>
    <t>Households reportedly experiencing at least 2 weeks of depressed mood in the last 6 months broken down by household size on the admin of overall</t>
  </si>
  <si>
    <t>Households reportedly experiencing at least 2 weeks of depressed mood in the last 6 months broken down by single/joint headed HHs on the admin of overall</t>
  </si>
  <si>
    <t>Households reportedly experiencing at least 2 weeks of anxiety in the last 6 months broken down by rural / urban on the admin of overall</t>
  </si>
  <si>
    <t>Households reportedly experiencing at least 2 weeks of anxiety in the last 6 months broken down by proximity to the Frontline / Russian border on the admin of overall</t>
  </si>
  <si>
    <t>Households reportedly experiencing at least 2 weeks of anxiety in the last 6 months broken down by member with WGSS disability on the admin of overall</t>
  </si>
  <si>
    <t>Households reportedly experiencing at least 2 weeks of anxiety in the last 6 months broken down by displacement status of HoH on the admin of overall</t>
  </si>
  <si>
    <t>Households reportedly experiencing at least 2 weeks of anxiety in the last 6 months broken down by household size on the admin of overall</t>
  </si>
  <si>
    <t>Households reportedly experiencing at least 2 weeks of anxiety in the last 6 months broken down by single/joint headed HHs on the admin of overall</t>
  </si>
  <si>
    <t>Households that reportedly have at least 1 member that has registered disability broken down by rural / urban on the admin of overall</t>
  </si>
  <si>
    <t>Yes, but unsure which group</t>
  </si>
  <si>
    <t>Yes, group I</t>
  </si>
  <si>
    <t>Yes, group II</t>
  </si>
  <si>
    <t>Yes, group III</t>
  </si>
  <si>
    <t>Households that reportedly have at least 1 member that has registered disability broken down by proximity to the Frontline / Russian border on the admin of overall</t>
  </si>
  <si>
    <t>Households that reportedly have at least 1 member that has registered disability broken down by member with WGSS disability on the admin of overall</t>
  </si>
  <si>
    <t>Households that reportedly have at least 1 member that has registered disability broken down by displacement status of HoH on the admin of overall</t>
  </si>
  <si>
    <t>Households that reportedly have at least 1 member that has registered disability broken down by household size on the admin of overall</t>
  </si>
  <si>
    <t>Households that reportedly have at least 1 member that has registered disability broken down by single/joint headed HHs on the admin of overall</t>
  </si>
  <si>
    <t>Households that reportedly have at least 1 member that has difficulties seeing broken down by rural / urban on the admin of overall</t>
  </si>
  <si>
    <t>A lot of difficulty</t>
  </si>
  <si>
    <t>Cannot do at all</t>
  </si>
  <si>
    <t>No household members have any difficulties</t>
  </si>
  <si>
    <t>Some difficulty</t>
  </si>
  <si>
    <t>Households that reportedly have at least 1 member that has difficulties seeing broken down by proximity to the Frontline / Russian border on the admin of overall</t>
  </si>
  <si>
    <t>Households that reportedly have at least 1 member that has difficulties seeing broken down by member with WGSS disability on the admin of overall</t>
  </si>
  <si>
    <t>Households that reportedly have at least 1 member that has difficulties seeing broken down by displacement status of HoH on the admin of overall</t>
  </si>
  <si>
    <t>Households that reportedly have at least 1 member that has difficulties seeing broken down by household size on the admin of overall</t>
  </si>
  <si>
    <t>Households that reportedly have at least 1 member that has difficulties seeing broken down by single/joint headed HHs on the admin of overall</t>
  </si>
  <si>
    <t>Households that reportedly have at least 1 member that has difficulties hearing broken down by rural / urban on the admin of overall</t>
  </si>
  <si>
    <t>Households that reportedly have at least 1 member that has difficulties hearing broken down by proximity to the Frontline / Russian border on the admin of overall</t>
  </si>
  <si>
    <t>Households that reportedly have at least 1 member that has difficulties hearing broken down by member with WGSS disability on the admin of overall</t>
  </si>
  <si>
    <t>Households that reportedly have at least 1 member that has difficulties hearing broken down by displacement status of HoH on the admin of overall</t>
  </si>
  <si>
    <t>Households that reportedly have at least 1 member that has difficulties hearing broken down by household size on the admin of overall</t>
  </si>
  <si>
    <t>Households that reportedly have at least 1 member that has difficulties hearing broken down by single/joint headed HHs on the admin of overall</t>
  </si>
  <si>
    <t>Households that reportedly have at least 1 member that has difficulties walking broken down by rural / urban on the admin of overall</t>
  </si>
  <si>
    <t>Households that reportedly have at least 1 member that has difficulties walking broken down by proximity to the Frontline / Russian border on the admin of overall</t>
  </si>
  <si>
    <t>Households that reportedly have at least 1 member that has difficulties walking broken down by member with WGSS disability on the admin of overall</t>
  </si>
  <si>
    <t>Households that reportedly have at least 1 member that has difficulties walking broken down by displacement status of HoH on the admin of overall</t>
  </si>
  <si>
    <t>Households that reportedly have at least 1 member that has difficulties walking broken down by household size on the admin of overall</t>
  </si>
  <si>
    <t>Households that reportedly have at least 1 member that has difficulties walking broken down by single/joint headed HHs on the admin of overall</t>
  </si>
  <si>
    <t>Households that reportedly have at least 1 member that has difficulties concentrating broken down by rural / urban on the admin of overall</t>
  </si>
  <si>
    <t>Households that reportedly have at least 1 member that has difficulties concentrating broken down by proximity to the Frontline / Russian border on the admin of overall</t>
  </si>
  <si>
    <t>Households that reportedly have at least 1 member that has difficulties concentrating broken down by member with WGSS disability on the admin of overall</t>
  </si>
  <si>
    <t>Households that reportedly have at least 1 member that has difficulties concentrating broken down by displacement status of HoH on the admin of overall</t>
  </si>
  <si>
    <t>Households that reportedly have at least 1 member that has difficulties concentrating broken down by household size on the admin of overall</t>
  </si>
  <si>
    <t>Households that reportedly have at least 1 member that has difficulties concentrating broken down by single/joint headed HHs on the admin of overall</t>
  </si>
  <si>
    <t>Households that reportedly have at least 1 member that has difficulties with self-care broken down by rural / urban on the admin of overall</t>
  </si>
  <si>
    <t>Households that reportedly have at least 1 member that has difficulties with self-care broken down by proximity to the Frontline / Russian border on the admin of overall</t>
  </si>
  <si>
    <t>Households that reportedly have at least 1 member that has difficulties with self-care broken down by member with WGSS disability on the admin of overall</t>
  </si>
  <si>
    <t>Households that reportedly have at least 1 member that has difficulties with self-care broken down by displacement status of HoH on the admin of overall</t>
  </si>
  <si>
    <t>Households that reportedly have at least 1 member that has difficulties with self-care broken down by household size on the admin of overall</t>
  </si>
  <si>
    <t>Households that reportedly have at least 1 member that has difficulties with self-care broken down by single/joint headed HHs on the admin of overall</t>
  </si>
  <si>
    <t>Households that reportedly have at least 1 member that has difficulties communicating broken down by rural / urban on the admin of overall</t>
  </si>
  <si>
    <t>Households that reportedly have at least 1 member that has difficulties communicating broken down by proximity to the Frontline / Russian border on the admin of overall</t>
  </si>
  <si>
    <t>Households that reportedly have at least 1 member that has difficulties communicating broken down by member with WGSS disability on the admin of overall</t>
  </si>
  <si>
    <t>Households that reportedly have at least 1 member that has difficulties communicating broken down by displacement status of HoH on the admin of overall</t>
  </si>
  <si>
    <t>Households that reportedly have at least 1 member that has difficulties communicating broken down by household size on the admin of overall</t>
  </si>
  <si>
    <t>Households that reportedly have at least 1 member that has difficulties communicating broken down by single/joint headed HHs on the admin of overall</t>
  </si>
  <si>
    <t>Households separated for three months or more due to reasons related to the war broken down by rural / urban on the admin of overall</t>
  </si>
  <si>
    <t>No, no member of the household was separated at any point.</t>
  </si>
  <si>
    <t>Yes, at least one household member was separated for at least 3 months and is still not back in the household to this day;</t>
  </si>
  <si>
    <t>Yes, at least one household member was separated for at least 3 months but is now back in the household;</t>
  </si>
  <si>
    <t>Households separated for three months or more due to reasons related to the war broken down by proximity to the Frontline / Russian border on the admin of overall</t>
  </si>
  <si>
    <t>Households separated for three months or more due to reasons related to the war broken down by member with WGSS disability on the admin of overall</t>
  </si>
  <si>
    <t>Households separated for three months or more due to reasons related to the war broken down by displacement status of HoH on the admin of overall</t>
  </si>
  <si>
    <t>Households separated for three months or more due to reasons related to the war broken down by household size on the admin of overall</t>
  </si>
  <si>
    <t>Households separated for three months or more due to reasons related to the war broken down by single/joint headed HHs on the admin of overall</t>
  </si>
  <si>
    <t>Households that moved abroad for at least 14 days broken down by rural / urban on the admin of overall</t>
  </si>
  <si>
    <t>Households that moved abroad for at least 14 days broken down by proximity to the Frontline / Russian border on the admin of overall</t>
  </si>
  <si>
    <t>Households that moved abroad for at least 14 days broken down by member with WGSS disability on the admin of overall</t>
  </si>
  <si>
    <t>Households that moved abroad for at least 14 days broken down by displacement status of HoH on the admin of overall</t>
  </si>
  <si>
    <t>Households that moved abroad for at least 14 days broken down by household size on the admin of overall</t>
  </si>
  <si>
    <t>Households that moved abroad for at least 14 days broken down by single/joint headed HHs on the admin of overall</t>
  </si>
  <si>
    <t>IDP households and households displaced within settlement duration in current place of residence broken down by displacement status of HoH on the admin of overall</t>
  </si>
  <si>
    <t>1 month or more but less than 3 months</t>
  </si>
  <si>
    <t>12 months or more</t>
  </si>
  <si>
    <t>3 months or more but less than 6 months</t>
  </si>
  <si>
    <t>6 months or more but less than 9 months</t>
  </si>
  <si>
    <t>9 months or more but less than 12 months</t>
  </si>
  <si>
    <t>&lt; 1 month</t>
  </si>
  <si>
    <t>Households reporting reasons for return to their habitual place of residence broken down by rural / urban on the admin of overall</t>
  </si>
  <si>
    <t>Accommodation challenges in location of displacement (i.e. unable to access adequate and/or affordable accommodation in previous area)</t>
  </si>
  <si>
    <t>Discrimination in location of displacement</t>
  </si>
  <si>
    <t xml:space="preserve">Do not know </t>
  </si>
  <si>
    <t xml:space="preserve">Economic challenges in location of displacement (i.e., unable to access adequate employment opportunities) </t>
  </si>
  <si>
    <t>Economic opportunities in location of origin (i.e., return to old workplace/ available vacancies)</t>
  </si>
  <si>
    <t>Educational reasons  (difficulty accessing such services)</t>
  </si>
  <si>
    <t xml:space="preserve">Loss access to IDP benefits </t>
  </si>
  <si>
    <t>Medical reasons (difficulty accessing such services)</t>
  </si>
  <si>
    <t xml:space="preserve">Need to secure personal housing. land or property in location of origin </t>
  </si>
  <si>
    <t xml:space="preserve">Obtaining new or replacing old documentation </t>
  </si>
  <si>
    <t>Personal reasons (family reunification)</t>
  </si>
  <si>
    <t>Security situation improved in location of origin</t>
  </si>
  <si>
    <t xml:space="preserve">Security situation worsened in location of displacement </t>
  </si>
  <si>
    <t>Households reporting reasons for return to their habitual place of residence broken down by proximity to the Frontline / Russian border on the admin of overall</t>
  </si>
  <si>
    <t>Households reporting reasons for return to their habitual place of residence broken down by member with WGSS disability on the admin of overall</t>
  </si>
  <si>
    <t>Households reporting reasons for return to their habitual place of residence broken down by household size on the admin of overall</t>
  </si>
  <si>
    <t>Households reporting reasons for return to their habitual place of residence broken down by single/joint headed HHs on the admin of overall</t>
  </si>
  <si>
    <t>Households reporting their movement intentions for the next 12 months broken down by rural / urban on the admin of overall</t>
  </si>
  <si>
    <t>Plan to go abroad</t>
  </si>
  <si>
    <t>Plan to move elsewhere in the country (not place of origin)</t>
  </si>
  <si>
    <t>Plan to move to a different place in same city/area (not within the same neighbourhood)</t>
  </si>
  <si>
    <t>Plan to move to a different place within the same neighbourhood</t>
  </si>
  <si>
    <t>Plan to return to habitual place of residence</t>
  </si>
  <si>
    <t>Plan to stay and live/work in this location</t>
  </si>
  <si>
    <t>Uncertain</t>
  </si>
  <si>
    <t>Households reporting their movement intentions for the next 12 months broken down by proximity to the Frontline / Russian border on the admin of overall</t>
  </si>
  <si>
    <t>Households reporting their movement intentions for the next 12 months broken down by member with WGSS disability on the admin of overall</t>
  </si>
  <si>
    <t>Households reporting their movement intentions for the next 12 months broken down by displacement status of HoH on the admin of overall</t>
  </si>
  <si>
    <t>Households reporting their movement intentions for the next 12 months broken down by household size on the admin of overall</t>
  </si>
  <si>
    <t>Households reporting their movement intentions for the next 12 months broken down by single/joint headed HHs on the admin of overall</t>
  </si>
  <si>
    <t>Households that reportedly have registered IDP members broken down by rural / urban on the admin of overall</t>
  </si>
  <si>
    <t>No, none</t>
  </si>
  <si>
    <t>Yes, all</t>
  </si>
  <si>
    <t>Yes, some</t>
  </si>
  <si>
    <t>Households that reportedly have registered IDP members broken down by proximity to the Frontline / Russian border on the admin of overall</t>
  </si>
  <si>
    <t>Households that reportedly have registered IDP members broken down by member with WGSS disability on the admin of overall</t>
  </si>
  <si>
    <t>Households that reportedly have registered IDP members broken down by displacement status of HoH on the admin of overall</t>
  </si>
  <si>
    <t>Households that reportedly have registered IDP members broken down by household size on the admin of overall</t>
  </si>
  <si>
    <t>Households that reportedly have registered IDP members broken down by single/joint headed HHs on the admin of overall</t>
  </si>
  <si>
    <t>Household members (5-18 y.o) reportedly attending school or early education program during 2023-2024 years broken down by rural / urban on the admin of overall</t>
  </si>
  <si>
    <t>Household members (5-18 y.o) reportedly attending school or early education program during 2023-2024 years broken down by proximity to the Frontline / Russian border on the admin of overall</t>
  </si>
  <si>
    <t>Household members (5-18 y.o) reportedly attending school or early education program during 2023-2024 years broken down by member with WGSS disability on the admin of overall</t>
  </si>
  <si>
    <t>Household members (5-18 y.o) reportedly attending school or early education program during 2023-2024 years broken down by displacement status of HoH on the admin of overall</t>
  </si>
  <si>
    <t>Household members (5-18 y.o) reportedly attending school or early education program during 2023-2024 years broken down by household size on the admin of overall</t>
  </si>
  <si>
    <t>Household members (5-18 y.o) reportedly attending school or early education program during 2023-2024 years broken down by age of school-aged children on the admin of overall</t>
  </si>
  <si>
    <t>13-17 y.o.</t>
  </si>
  <si>
    <t>18 y.o.</t>
  </si>
  <si>
    <t>5-6 y.o.</t>
  </si>
  <si>
    <t>7-12 y.o.</t>
  </si>
  <si>
    <t>Household members (5-18 y.o) reportedly attending school or early education program during 2023-2024 years broken down by gender and age of school-aged children on the admin of overall</t>
  </si>
  <si>
    <t>Household members (5-18 y.o) reportedly attending school or early education program during 2023-2024 years broken down by single care provider on the admin of overall</t>
  </si>
  <si>
    <t>Household members (5-18 y.o) reportedly attending school or early education program during 2023-2024 years broken down by income per capita (by quartiles) on the admin of overall</t>
  </si>
  <si>
    <t>Household members (5-18 y.o) reportedly attending school or early education program during 2023-2024 years broken down by single/joint headed HHs on the admin of overall</t>
  </si>
  <si>
    <t>Household members (5-18 y.o) who attended school by learning modality broken down by rural / urban on the admin of overall</t>
  </si>
  <si>
    <t>Blended (remote and in-person)</t>
  </si>
  <si>
    <t>In-person</t>
  </si>
  <si>
    <t>Remote</t>
  </si>
  <si>
    <t>Household members (5-18 y.o) who attended school by learning modality broken down by proximity to the Frontline / Russian border on the admin of overall</t>
  </si>
  <si>
    <t>Household members (5-18 y.o) who attended school by learning modality broken down by member with WGSS disability on the admin of overall</t>
  </si>
  <si>
    <t>Household members (5-18 y.o) who attended school by learning modality broken down by displacement status of HoH on the admin of overall</t>
  </si>
  <si>
    <t>Household members (5-18 y.o) who attended school by learning modality broken down by household size on the admin of overall</t>
  </si>
  <si>
    <t>Household members (5-18 y.o) who attended school by learning modality broken down by age of school-aged children on the admin of overall</t>
  </si>
  <si>
    <t>Household members (5-18 y.o) who attended school by learning modality broken down by gender and age of school-aged children on the admin of overall</t>
  </si>
  <si>
    <t>Household members (5-18 y.o) who attended school by learning modality broken down by single care provider on the admin of overall</t>
  </si>
  <si>
    <t>Household members (5-18 y.o) who attended school by learning modality broken down by income per capita (by quartiles) on the admin of overall</t>
  </si>
  <si>
    <t>Household members (5-18 y.o) who attended school by learning modality broken down by single/joint headed HHs on the admin of overall</t>
  </si>
  <si>
    <t>Household members (5-18 y.o) who attended school by grade broken down by rural / urban on the admin of overall</t>
  </si>
  <si>
    <t>High school - grade 11</t>
  </si>
  <si>
    <t>High school -grade 10</t>
  </si>
  <si>
    <t>Preschool</t>
  </si>
  <si>
    <t>Primary school -grade 1</t>
  </si>
  <si>
    <t>Primary school -grade 2</t>
  </si>
  <si>
    <t>Primary school -grade 3</t>
  </si>
  <si>
    <t>Primary school -grade 4</t>
  </si>
  <si>
    <t>Secondary school - grade 5</t>
  </si>
  <si>
    <t>Secondary school - grade 6</t>
  </si>
  <si>
    <t>Secondary school - grade 7</t>
  </si>
  <si>
    <t>Secondary school - grade 8</t>
  </si>
  <si>
    <t>Secondary school - grade 9</t>
  </si>
  <si>
    <t>University</t>
  </si>
  <si>
    <t>Vocational Education and Training (VET)</t>
  </si>
  <si>
    <t>Household members (5-18 y.o) who attended school by grade broken down by proximity to the Frontline / Russian border on the admin of overall</t>
  </si>
  <si>
    <t>Household members (5-18 y.o) who attended school by grade broken down by member with WGSS disability on the admin of overall</t>
  </si>
  <si>
    <t>Household members (5-18 y.o) who attended school by grade broken down by displacement status of HoH on the admin of overall</t>
  </si>
  <si>
    <t>Household members (5-18 y.o) who attended school by grade broken down by household size on the admin of overall</t>
  </si>
  <si>
    <t>Household members (5-18 y.o) who attended school by grade broken down by age of school-aged children on the admin of overall</t>
  </si>
  <si>
    <t>Household members (5-18 y.o) who attended school by grade broken down by gender and age of school-aged children on the admin of overall</t>
  </si>
  <si>
    <t>Household members (5-18 y.o) who attended school by grade broken down by single care provider on the admin of overall</t>
  </si>
  <si>
    <t>Household members (5-18 y.o) who attended school by grade broken down by income per capita (by quartiles) on the admin of overall</t>
  </si>
  <si>
    <t>Household members (5-18 y.o) who attended school by grade broken down by single/joint headed HHs on the admin of overall</t>
  </si>
  <si>
    <t>Household members (5-18 y.o) reporting reasons for not attending schools broken down by rural / urban on the admin of overall</t>
  </si>
  <si>
    <t>Cannot afford the direct costs of education (e.g. tuition, supplies, transportation)</t>
  </si>
  <si>
    <t>Discrimination or stigmatization of the child for any reason</t>
  </si>
  <si>
    <t>Inadequate or damaged infrastructure for learning in a safe environment (e.g. no or damaged school facilities, no or inadequate bomb shelter)</t>
  </si>
  <si>
    <t>Lack of or poor quality of teachers</t>
  </si>
  <si>
    <t xml:space="preserve">Lack of quiet and safe space to attend or listen to online learning classes </t>
  </si>
  <si>
    <t xml:space="preserve">Prefer not to answer </t>
  </si>
  <si>
    <t>Protection risks while at or traveling to the school (e.g. missile attacks)</t>
  </si>
  <si>
    <t>The child has already completed compulsory school grades / too young to attend school</t>
  </si>
  <si>
    <t>The child's disability or other health issues prevents them from accessing school</t>
  </si>
  <si>
    <t>The quality of learning for the child is lower than with face-to-face classes</t>
  </si>
  <si>
    <t>There is a lack of interest/Education is not a priority either for the child or the household</t>
  </si>
  <si>
    <t>Unable to enrol in school due to lack of enrolment space</t>
  </si>
  <si>
    <t>Unable to enrol in school due to recent displacement/evacuation/return</t>
  </si>
  <si>
    <t>Household members (5-18 y.o) reporting reasons for not attending schools broken down by proximity to the Frontline / Russian border on the admin of overall</t>
  </si>
  <si>
    <t>Household members (5-18 y.o) reporting reasons for not attending schools broken down by member with WGSS disability on the admin of overall</t>
  </si>
  <si>
    <t>Household members (5-18 y.o) reporting reasons for not attending schools broken down by displacement status of HoH on the admin of overall</t>
  </si>
  <si>
    <t>Household members (5-18 y.o) reporting reasons for not attending schools broken down by household size on the admin of overall</t>
  </si>
  <si>
    <t>Household members (5-18 y.o) reporting reasons for not attending schools broken down by age of school-aged children on the admin of overall</t>
  </si>
  <si>
    <t>Household members (5-18 y.o) reporting reasons for not attending schools broken down by gender and age of school-aged children on the admin of overall</t>
  </si>
  <si>
    <t>Household members (5-18 y.o) reporting reasons for not attending schools broken down by single care provider on the admin of overall</t>
  </si>
  <si>
    <t>Household members (5-18 y.o) reporting reasons for not attending schools broken down by income per capita (by quartiles) on the admin of overall</t>
  </si>
  <si>
    <t>Household members (5-18 y.o) reporting reasons for not attending schools broken down by single/joint headed HHs on the admin of overall</t>
  </si>
  <si>
    <t>Households with school-aged children (5-18 y.o) that reported education disruption because of displacement/evacuation broken down by rural / urban on the admin of overall</t>
  </si>
  <si>
    <t>Households with school-aged children (5-18 y.o) that reported education disruption because of displacement/evacuation broken down by proximity to the Frontline / Russian border on the admin of overall</t>
  </si>
  <si>
    <t>Households with school-aged children (5-18 y.o) that reported education disruption because of displacement/evacuation broken down by member with WGSS disability on the admin of overall</t>
  </si>
  <si>
    <t>Households with school-aged children (5-18 y.o) that reported education disruption because of displacement/evacuation broken down by displacement status of HoH on the admin of overall</t>
  </si>
  <si>
    <t>Households with school-aged children (5-18 y.o) that reported education disruption because of displacement/evacuation broken down by household size on the admin of overall</t>
  </si>
  <si>
    <t>Households with school-aged children (5-18 y.o) that reported education disruption because of displacement/evacuation broken down by single care provider on the admin of overall</t>
  </si>
  <si>
    <t>Households with school-aged children (5-18 y.o) that reported education disruption because of displacement/evacuation broken down by income per capita (by quartiles) on the admin of overall</t>
  </si>
  <si>
    <t>Households with school-aged children (5-18 y.o) that reported education disruption because of displacement/evacuation broken down by single/joint headed HHs on the admin of overall</t>
  </si>
  <si>
    <t>Households with school-aged children (5-18 y.o) that reported education disruption because of school damage broken down by rural / urban on the admin of overall</t>
  </si>
  <si>
    <t>Households with school-aged children (5-18 y.o) that reported education disruption because of school damage broken down by proximity to the Frontline / Russian border on the admin of overall</t>
  </si>
  <si>
    <t>Households with school-aged children (5-18 y.o) that reported education disruption because of school damage broken down by member with WGSS disability on the admin of overall</t>
  </si>
  <si>
    <t>Households with school-aged children (5-18 y.o) that reported education disruption because of school damage broken down by displacement status of HoH on the admin of overall</t>
  </si>
  <si>
    <t>Households with school-aged children (5-18 y.o) that reported education disruption because of school damage broken down by household size on the admin of overall</t>
  </si>
  <si>
    <t>Households with school-aged children (5-18 y.o) that reported education disruption because of school damage broken down by single care provider on the admin of overall</t>
  </si>
  <si>
    <t>Households with school-aged children (5-18 y.o) that reported education disruption because of school damage broken down by income per capita (by quartiles) on the admin of overall</t>
  </si>
  <si>
    <t>Households with school-aged children (5-18 y.o) that reported education disruption because of school damage broken down by single/joint headed HHs on the admin of overall</t>
  </si>
  <si>
    <t>Households with school-aged children (5-18 y.o) that reported education disruption because of home damage broken down by rural / urban on the admin of overall</t>
  </si>
  <si>
    <t>Households with school-aged children (5-18 y.o) that reported education disruption because of home damage broken down by proximity to the Frontline / Russian border on the admin of overall</t>
  </si>
  <si>
    <t>Households with school-aged children (5-18 y.o) that reported education disruption because of home damage broken down by member with WGSS disability on the admin of overall</t>
  </si>
  <si>
    <t>Households with school-aged children (5-18 y.o) that reported education disruption because of home damage broken down by displacement status of HoH on the admin of overall</t>
  </si>
  <si>
    <t>Households with school-aged children (5-18 y.o) that reported education disruption because of home damage broken down by household size on the admin of overall</t>
  </si>
  <si>
    <t>Households with school-aged children (5-18 y.o) that reported education disruption because of home damage broken down by single care provider on the admin of overall</t>
  </si>
  <si>
    <t>Households with school-aged children (5-18 y.o) that reported education disruption because of home damage broken down by income per capita (by quartiles) on the admin of overall</t>
  </si>
  <si>
    <t>Households with school-aged children (5-18 y.o) that reported education disruption because of home damage broken down by single/joint headed HHs on the admin of overall</t>
  </si>
  <si>
    <t>Households with school-aged children (5-18 y.o) that reported education disruption because of missile attack broken down by rural / urban on the admin of overall</t>
  </si>
  <si>
    <t>Households with school-aged children (5-18 y.o) that reported education disruption because of missile attack broken down by proximity to the Frontline / Russian border on the admin of overall</t>
  </si>
  <si>
    <t>Households with school-aged children (5-18 y.o) that reported education disruption because of missile attack broken down by member with WGSS disability on the admin of overall</t>
  </si>
  <si>
    <t>Households with school-aged children (5-18 y.o) that reported education disruption because of missile attack broken down by displacement status of HoH on the admin of overall</t>
  </si>
  <si>
    <t>Households with school-aged children (5-18 y.o) that reported education disruption because of missile attack broken down by household size on the admin of overall</t>
  </si>
  <si>
    <t>Households with school-aged children (5-18 y.o) that reported education disruption because of missile attack broken down by single care provider on the admin of overall</t>
  </si>
  <si>
    <t>Households with school-aged children (5-18 y.o) that reported education disruption because of missile attack broken down by income per capita (by quartiles) on the admin of overall</t>
  </si>
  <si>
    <t>Households with school-aged children (5-18 y.o) that reported education disruption because of missile attack broken down by single/joint headed HHs on the admin of overall</t>
  </si>
  <si>
    <t>Households reporting time they spent supporting school-aged children with education broken down by rural / urban on the admin of overall</t>
  </si>
  <si>
    <t>Households reporting time they spent supporting school-aged children with education broken down by proximity to the Frontline / Russian border on the admin of overall</t>
  </si>
  <si>
    <t>Households reporting time they spent supporting school-aged children with education broken down by member with WGSS disability on the admin of overall</t>
  </si>
  <si>
    <t>Households reporting time they spent supporting school-aged children with education broken down by displacement status of HoH on the admin of overall</t>
  </si>
  <si>
    <t>Households reporting time they spent supporting school-aged children with education broken down by household size on the admin of overall</t>
  </si>
  <si>
    <t>Households reporting time they spent supporting school-aged children with education broken down by single care provider on the admin of overall</t>
  </si>
  <si>
    <t>by single care provider</t>
  </si>
  <si>
    <t>Households reporting time they spent supporting school-aged children with education broken down by income per capita (by quartiles) on the admin of overall</t>
  </si>
  <si>
    <t>by income per capita (by quartiles)</t>
  </si>
  <si>
    <t>Households reporting time they spent supporting school-aged children with education broken down by single/joint headed HHs on the admin of overall</t>
  </si>
  <si>
    <t>Households reporting types of expenditures they had in the last 30 days before DC broken down by rural / urban on the admin of overall</t>
  </si>
  <si>
    <t>All other frequent expenditure (specify)</t>
  </si>
  <si>
    <t>Childcare and elderly care (e.g. Paying for childcare services, paying for elder care services)</t>
  </si>
  <si>
    <t xml:space="preserve">Communications (phone airtime, Internet costs, etc.) </t>
  </si>
  <si>
    <t xml:space="preserve">Feminine hygiene products </t>
  </si>
  <si>
    <t xml:space="preserve">Food items </t>
  </si>
  <si>
    <t>Fuel for other purposes (e.g for cooking, and excluding fuel for cars)</t>
  </si>
  <si>
    <t xml:space="preserve">Non-hygiene, non-food household items (lightbulbs, cooking utensils, etc.) </t>
  </si>
  <si>
    <t xml:space="preserve">Other hygiene items (personal and domestic, e.g. laundry detergent, soap, shampoo, cleaning materials, etc.) </t>
  </si>
  <si>
    <t xml:space="preserve">Rent for shelter and/or land </t>
  </si>
  <si>
    <t>Transportation (e.g. public transport, car maintenance, fuel for vehicles, etc.)</t>
  </si>
  <si>
    <t>Utilities (electricity, gas connections, water supply, etc)</t>
  </si>
  <si>
    <t xml:space="preserve">Water (except for utilities) </t>
  </si>
  <si>
    <t>Households reporting types of expenditures they had in the last 30 days before DC broken down by proximity to the Frontline / Russian border on the admin of overall</t>
  </si>
  <si>
    <t>Households reporting types of expenditures they had in the last 30 days before DC broken down by member with WGSS disability on the admin of overall</t>
  </si>
  <si>
    <t>Households reporting types of expenditures they had in the last 30 days before DC broken down by displacement status of HoH on the admin of overall</t>
  </si>
  <si>
    <t>Households reporting types of expenditures they had in the last 30 days before DC broken down by household size on the admin of overall</t>
  </si>
  <si>
    <t>Households reporting types of expenditures they had in the last 30 days before DC broken down by single/joint headed HHs on the admin of overall</t>
  </si>
  <si>
    <t>Household Domestic Expenditure over the last 30 days, by type and amount broken down by rural / urban on the admin of overall</t>
  </si>
  <si>
    <t>mean_J_3 Estimated Household's Domestic Expenditure (Food items) Over the Last 30 days</t>
  </si>
  <si>
    <t>median_J_3 Estimated Household's Domestic Expenditure (Food items) Over the Last 30 days</t>
  </si>
  <si>
    <t>min_J_3 Estimated Household's Domestic Expenditure (Food items) Over the Last 30 days</t>
  </si>
  <si>
    <t>max_J_3 Estimated Household's Domestic Expenditure (Food items) Over the Last 30 days</t>
  </si>
  <si>
    <t>mean_J_4 Estimated Household's Domestic Expenditure (Rent for shelter and/or land) Over the Last 30 days</t>
  </si>
  <si>
    <t>median_J_4 Estimated Household's Domestic Expenditure (Rent for shelter and/or land) Over the Last 30 days</t>
  </si>
  <si>
    <t>min_J_4 Estimated Household's Domestic Expenditure (Rent for shelter and/or land) Over the Last 30 days</t>
  </si>
  <si>
    <t>max_J_4 Estimated Household's Domestic Expenditure (Rent for shelter and/or land) Over the Last 30 days</t>
  </si>
  <si>
    <t>mean_J_5 Estimated Household's Domestic Expenditure (Water) Over the Last 30 days</t>
  </si>
  <si>
    <t>median_J_5 Estimated Household's Domestic Expenditure (Water) Over the Last 30 days</t>
  </si>
  <si>
    <t>min_J_5 Estimated Household's Domestic Expenditure (Water) Over the Last 30 days</t>
  </si>
  <si>
    <t>max_J_5 Estimated Household's Domestic Expenditure (Water) Over the Last 30 days</t>
  </si>
  <si>
    <t>mean_J_6 Estimated Household's Domestic Expenditure (Feminine hygiene products) Over the Last 30 days</t>
  </si>
  <si>
    <t>median_J_6 Estimated Household's Domestic Expenditure (Feminine hygiene products) Over the Last 30 days</t>
  </si>
  <si>
    <t>min_J_6 Estimated Household's Domestic Expenditure (Feminine hygiene products) Over the Last 30 days</t>
  </si>
  <si>
    <t>max_J_6 Estimated Household's Domestic Expenditure (Feminine hygiene products) Over the Last 30 days</t>
  </si>
  <si>
    <t>mean_J_7 Estimated Household's Domestic Expenditure (Other hygiene items) Over the Last 30 days</t>
  </si>
  <si>
    <t>median_J_7 Estimated Household's Domestic Expenditure (Other hygiene items) Over the Last 30 days</t>
  </si>
  <si>
    <t>min_J_7 Estimated Household's Domestic Expenditure (Other hygiene items) Over the Last 30 days</t>
  </si>
  <si>
    <t>max_J_7 Estimated Household's Domestic Expenditure (Other hygiene items) Over the Last 30 days</t>
  </si>
  <si>
    <t>mean_J_8 Estimated Household's Domestic Expenditure (Non-hygiene, non-food household items) Over the Last 30 days</t>
  </si>
  <si>
    <t>median_J_8 Estimated Household's Domestic Expenditure (Non-hygiene, non-food household items) Over the Last 30 days</t>
  </si>
  <si>
    <t>min_J_8 Estimated Household's Domestic Expenditure (Non-hygiene, non-food household items) Over the Last 30 days</t>
  </si>
  <si>
    <t>max_J_8 Estimated Household's Domestic Expenditure (Non-hygiene, non-food household items) Over the Last 30 days</t>
  </si>
  <si>
    <t>mean_J_9 Estimated Household's Domestic Expenditure (Utilities)Over the Last 30 days</t>
  </si>
  <si>
    <t>median_J_9 Estimated Household's Domestic Expenditure (Utilities)Over the Last 30 days</t>
  </si>
  <si>
    <t>min_J_9 Estimated Household's Domestic Expenditure (Utilities)Over the Last 30 days</t>
  </si>
  <si>
    <t>max_J_9 Estimated Household's Domestic Expenditure (Utilities)Over the Last 30 days</t>
  </si>
  <si>
    <t>mean_J_10 Estimated Household's Domestic Expenditure (Fuel for other purposes) Over the Last 30 days</t>
  </si>
  <si>
    <t>median_J_10 Estimated Household's Domestic Expenditure (Fuel for other purposes) Over the Last 30 days</t>
  </si>
  <si>
    <t>min_J_10 Estimated Household's Domestic Expenditure (Fuel for other purposes) Over the Last 30 days</t>
  </si>
  <si>
    <t>max_J_10 Estimated Household's Domestic Expenditure (Fuel for other purposes) Over the Last 30 days</t>
  </si>
  <si>
    <t>mean_J_11 Estimated Household's Domestic Expenditure (Transportation) Over the Last 30 days</t>
  </si>
  <si>
    <t>median_J_11 Estimated Household's Domestic Expenditure (Transportation) Over the Last 30 days</t>
  </si>
  <si>
    <t>min_J_11 Estimated Household's Domestic Expenditure (Transportation) Over the Last 30 days</t>
  </si>
  <si>
    <t>max_J_11 Estimated Household's Domestic Expenditure (Transportation) Over the Last 30 days</t>
  </si>
  <si>
    <t>mean_J_12 Estimated Household's Domestic Expenditure (Communications) Over the Last 30 days</t>
  </si>
  <si>
    <t>median_J_12 Estimated Household's Domestic Expenditure (Communications) Over the Last 30 days</t>
  </si>
  <si>
    <t>min_J_12 Estimated Household's Domestic Expenditure (Communications) Over the Last 30 days</t>
  </si>
  <si>
    <t>max_J_12 Estimated Household's Domestic Expenditure (Communications) Over the Last 30 days</t>
  </si>
  <si>
    <t>mean_J_15 Estimated Household's Domestic Expenditure (All other) Over the Last 30 days</t>
  </si>
  <si>
    <t>median_J_15 Estimated Household's Domestic Expenditure (All other) Over the Last 30 days</t>
  </si>
  <si>
    <t>min_J_15 Estimated Household's Domestic Expenditure (All other) Over the Last 30 days</t>
  </si>
  <si>
    <t>max_J_15 Estimated Household's Domestic Expenditure (All other) Over the Last 30 days</t>
  </si>
  <si>
    <t>Household Domestic Expenditure over the last 30 days, by type and amount broken down by proximity to the Frontline / Russian border on the admin of overall</t>
  </si>
  <si>
    <t>Household Domestic Expenditure over the last 30 days, by type and amount broken down by member with WGSS disability on the admin of overall</t>
  </si>
  <si>
    <t>Household Domestic Expenditure over the last 30 days, by type and amount broken down by displacement status of HoH on the admin of overall</t>
  </si>
  <si>
    <t>Household Domestic Expenditure over the last 30 days, by type and amount broken down by household size on the admin of overall</t>
  </si>
  <si>
    <t>Household Domestic Expenditure over the last 30 days, by type and amount broken down by single/joint headed HHs on the admin of overall</t>
  </si>
  <si>
    <t>Estimated Household's Domestic Expenditure on Heating during the last winter broken down by rural / urban on the admin of overall</t>
  </si>
  <si>
    <t>Estimated Household's Domestic Expenditure on Heating during the last winter broken down by proximity to the Frontline / Russian border on the admin of overall</t>
  </si>
  <si>
    <t>Estimated Household's Domestic Expenditure on Heating during the last winter broken down by member with WGSS disability on the admin of overall</t>
  </si>
  <si>
    <t>Estimated Household's Domestic Expenditure on Heating during the last winter broken down by displacement status of HoH on the admin of overall</t>
  </si>
  <si>
    <t>Estimated Household's Domestic Expenditure on Heating during the last winter broken down by household size on the admin of overall</t>
  </si>
  <si>
    <t>Estimated Household's Domestic Expenditure on Heating during the last winter broken down by single/joint headed HHs on the admin of overall</t>
  </si>
  <si>
    <t>Households reporting types of expenditures they had in the last 6 months before DC broken down by rural / urban on the admin of overall</t>
  </si>
  <si>
    <t>All other infrequent expenditures (please specify)</t>
  </si>
  <si>
    <t>Debt repayment</t>
  </si>
  <si>
    <t>Education-related expenditures (school fees, supplies, uniforms, etc.)</t>
  </si>
  <si>
    <t>Health-related expenditures (healthcare, medicine, etc.)</t>
  </si>
  <si>
    <t>Non-food household items for infrequent purchase (blankets, cooking pots, clothing, etc.)</t>
  </si>
  <si>
    <t>Shelter maintenance or repair</t>
  </si>
  <si>
    <t>Households reporting types of expenditures they had in the last 6 months before DC broken down by proximity to the Frontline / Russian border on the admin of overall</t>
  </si>
  <si>
    <t>Households reporting types of expenditures they had in the last 6 months before DC broken down by member with WGSS disability on the admin of overall</t>
  </si>
  <si>
    <t>Households reporting types of expenditures they had in the last 6 months before DC broken down by displacement status of HoH on the admin of overall</t>
  </si>
  <si>
    <t>Households reporting types of expenditures they had in the last 6 months before DC broken down by household size on the admin of overall</t>
  </si>
  <si>
    <t>Households reporting types of expenditures they had in the last 6 months before DC broken down by single/joint headed HHs on the admin of overall</t>
  </si>
  <si>
    <t>Household Domestic Expenditure over the last 6 months by type and amount  broken down by rural / urban on the admin of overall</t>
  </si>
  <si>
    <t xml:space="preserve">mean_J_19 Estimated Household's Domestic Expenditure (Shelter maintenance or repair) Over the Last 6 Mths </t>
  </si>
  <si>
    <t xml:space="preserve">median_J_19 Estimated Household's Domestic Expenditure (Shelter maintenance or repair) Over the Last 6 Mths </t>
  </si>
  <si>
    <t xml:space="preserve">min_J_19 Estimated Household's Domestic Expenditure (Shelter maintenance or repair) Over the Last 6 Mths </t>
  </si>
  <si>
    <t xml:space="preserve">max_J_19 Estimated Household's Domestic Expenditure (Shelter maintenance or repair) Over the Last 6 Mths </t>
  </si>
  <si>
    <t xml:space="preserve">mean_J_20 Estimated Household's Domestic Expenditure ( Non-food items) Over the Last 6 Mths </t>
  </si>
  <si>
    <t xml:space="preserve">median_J_20 Estimated Household's Domestic Expenditure ( Non-food items) Over the Last 6 Mths </t>
  </si>
  <si>
    <t xml:space="preserve">min_J_20 Estimated Household's Domestic Expenditure ( Non-food items) Over the Last 6 Mths </t>
  </si>
  <si>
    <t xml:space="preserve">max_J_20 Estimated Household's Domestic Expenditure ( Non-food items) Over the Last 6 Mths </t>
  </si>
  <si>
    <t xml:space="preserve">mean_J_21 Estimated Household's Domestic Expenditure (Health) Over the Last 6 Mths </t>
  </si>
  <si>
    <t xml:space="preserve">median_J_21 Estimated Household's Domestic Expenditure (Health) Over the Last 6 Mths </t>
  </si>
  <si>
    <t xml:space="preserve">min_J_21 Estimated Household's Domestic Expenditure (Health) Over the Last 6 Mths </t>
  </si>
  <si>
    <t xml:space="preserve">max_J_21 Estimated Household's Domestic Expenditure (Health) Over the Last 6 Mths </t>
  </si>
  <si>
    <t xml:space="preserve">mean_J_22 Estimated Household's Domestic Expenditure (Education) Over the Last 6 Mths </t>
  </si>
  <si>
    <t xml:space="preserve">median_J_22 Estimated Household's Domestic Expenditure (Education) Over the Last 6 Mths </t>
  </si>
  <si>
    <t xml:space="preserve">min_J_22 Estimated Household's Domestic Expenditure (Education) Over the Last 6 Mths </t>
  </si>
  <si>
    <t xml:space="preserve">max_J_22 Estimated Household's Domestic Expenditure (Education) Over the Last 6 Mths </t>
  </si>
  <si>
    <t xml:space="preserve">mean_J_23 Estimated Household's Domestic Expenditure ( Debt repayment) Over the Last 6 Mths </t>
  </si>
  <si>
    <t xml:space="preserve">median_J_23 Estimated Household's Domestic Expenditure ( Debt repayment) Over the Last 6 Mths </t>
  </si>
  <si>
    <t xml:space="preserve">min_J_23 Estimated Household's Domestic Expenditure ( Debt repayment) Over the Last 6 Mths </t>
  </si>
  <si>
    <t xml:space="preserve">max_J_23 Estimated Household's Domestic Expenditure ( Debt repayment) Over the Last 6 Mths </t>
  </si>
  <si>
    <t xml:space="preserve">mean_J_24 Estimated Household's Domestic Expenditure (All other) Over the Last 6 Mths </t>
  </si>
  <si>
    <t xml:space="preserve">median_J_24 Estimated Household's Domestic Expenditure (All other) Over the Last 6 Mths </t>
  </si>
  <si>
    <t xml:space="preserve">min_J_24 Estimated Household's Domestic Expenditure (All other) Over the Last 6 Mths </t>
  </si>
  <si>
    <t xml:space="preserve">max_J_24 Estimated Household's Domestic Expenditure (All other) Over the Last 6 Mths </t>
  </si>
  <si>
    <t>Household Domestic Expenditure over the last 6 months by type and amount  broken down by proximity to the Frontline / Russian border on the admin of overall</t>
  </si>
  <si>
    <t>Household Domestic Expenditure over the last 6 months by type and amount  broken down by member with WGSS disability on the admin of overall</t>
  </si>
  <si>
    <t>Household Domestic Expenditure over the last 6 months by type and amount  broken down by displacement status of HoH on the admin of overall</t>
  </si>
  <si>
    <t>Household Domestic Expenditure over the last 6 months by type and amount  broken down by household size on the admin of overall</t>
  </si>
  <si>
    <t>Household Domestic Expenditure over the last 6 months by type and amount  broken down by single/joint headed HHs on the admin of overall</t>
  </si>
  <si>
    <t>Total monthly expenditure PER CAPITA among those who reported any expenditure broken down by rural / urban on the admin of overall</t>
  </si>
  <si>
    <t>Total monthly expenditure PER CAPITA among those who reported any expenditure broken down by proximity to the Frontline / Russian border on the admin of overall</t>
  </si>
  <si>
    <t>Total monthly expenditure PER CAPITA among those who reported any expenditure broken down by member with WGSS disability on the admin of overall</t>
  </si>
  <si>
    <t>Total monthly expenditure PER CAPITA among those who reported any expenditure broken down by displacement status of HoH on the admin of overall</t>
  </si>
  <si>
    <t>Total monthly expenditure PER CAPITA among those who reported any expenditure broken down by household size on the admin of overall</t>
  </si>
  <si>
    <t>Total monthly expenditure PER CAPITA among those who reported any expenditure broken down by single/joint headed HHs on the admin of overall</t>
  </si>
  <si>
    <t>Total monthly expenditure among those who reported any expenditure broken down by rural / urban on the admin of overall</t>
  </si>
  <si>
    <t>Total monthly expenditure among those who reported any expenditure broken down by proximity to the Frontline / Russian border on the admin of overall</t>
  </si>
  <si>
    <t>Total monthly expenditure among those who reported any expenditure broken down by member with WGSS disability on the admin of overall</t>
  </si>
  <si>
    <t>Total monthly expenditure among those who reported any expenditure broken down by displacement status of HoH on the admin of overall</t>
  </si>
  <si>
    <t>Total monthly expenditure among those who reported any expenditure broken down by household size on the admin of overall</t>
  </si>
  <si>
    <t>Total monthly expenditure among those who reported any expenditure broken down by single/joint headed HHs on the admin of overall</t>
  </si>
  <si>
    <t>Households reporting missing non-food items broken down by rural / urban on the admin of overall</t>
  </si>
  <si>
    <t>Baby diapers</t>
  </si>
  <si>
    <t xml:space="preserve">Bedding and towels (e.g. including mattresses, bedsheets, towels) </t>
  </si>
  <si>
    <t>Domestic hygiene products (e.g. dishwasher soap, laundry detergent, cleaning solution, etc.)</t>
  </si>
  <si>
    <t>Feminine hygiene items</t>
  </si>
  <si>
    <t>Fuel for heating (coal, firewood, liquid gas)</t>
  </si>
  <si>
    <t>Heating appliances (heaters, boiler systems)</t>
  </si>
  <si>
    <t>Household items (kitchen utensils, light bults, etc.)</t>
  </si>
  <si>
    <t>Kitchen set (e.g .cooking and eating set)</t>
  </si>
  <si>
    <t>Large kitchen appliances (e.g. fridge/ washing machine)</t>
  </si>
  <si>
    <t>Other personal hygiene products (e.g. shampoo, razor, combs)</t>
  </si>
  <si>
    <t>Soap</t>
  </si>
  <si>
    <t>Summer clothes for a household member (e.g. jacket, boots, underwear, clothes)</t>
  </si>
  <si>
    <t>Water treatment product and materials</t>
  </si>
  <si>
    <t>Winter clothes for a household member (e.g. jacket, boots, underwear, clothes)</t>
  </si>
  <si>
    <t>Households reporting missing non-food items broken down by proximity to the Frontline / Russian border on the admin of overall</t>
  </si>
  <si>
    <t>Households reporting missing non-food items broken down by member with WGSS disability on the admin of overall</t>
  </si>
  <si>
    <t>Households reporting missing non-food items broken down by displacement status of HoH on the admin of overall</t>
  </si>
  <si>
    <t>Households reporting missing non-food items broken down by household size on the admin of overall</t>
  </si>
  <si>
    <t>Households reporting missing non-food items broken down by single/joint headed HHs on the admin of overall</t>
  </si>
  <si>
    <t>Primary Income Sources Reported by Households Over the Last 30 Days Prior to DC broken down by rural / urban on the admin of overall</t>
  </si>
  <si>
    <t>Casual or daily labour</t>
  </si>
  <si>
    <t xml:space="preserve">Humanitarian aid </t>
  </si>
  <si>
    <t>IDP benefits from government</t>
  </si>
  <si>
    <t>Income from own business or regular trade</t>
  </si>
  <si>
    <t xml:space="preserve">Income from own production (agriculture, livestock, fishing, food processing, home manufacture, etc.) </t>
  </si>
  <si>
    <t xml:space="preserve">Income from rent </t>
  </si>
  <si>
    <t>Loans or support from family and friends within Ukraine</t>
  </si>
  <si>
    <t>Loans, support, or charitable donations from community members (not including humanitarian aid)</t>
  </si>
  <si>
    <t>Money transfers from abroad from family and friends (remittances)</t>
  </si>
  <si>
    <t xml:space="preserve">Other government social benefits or assistance, e.g. disability pension, maternity benefits </t>
  </si>
  <si>
    <t xml:space="preserve">Pension (age and prior military service) </t>
  </si>
  <si>
    <t xml:space="preserve">Salaried work, including from household members serving away from the home in the military </t>
  </si>
  <si>
    <t>Primary Income Sources Reported by Households Over the Last 30 Days Prior to DC broken down by proximity to the Frontline / Russian border on the admin of overall</t>
  </si>
  <si>
    <t>Primary Income Sources Reported by Households Over the Last 30 Days Prior to DC broken down by member with WGSS disability on the admin of overall</t>
  </si>
  <si>
    <t>Primary Income Sources Reported by Households Over the Last 30 Days Prior to DC broken down by displacement status of HoH on the admin of overall</t>
  </si>
  <si>
    <t>Primary Income Sources Reported by Households Over the Last 30 Days Prior to DC broken down by household size on the admin of overall</t>
  </si>
  <si>
    <t>Primary Income Sources Reported by Households Over the Last 30 Days Prior to DC broken down by single/joint headed HHs on the admin of overall</t>
  </si>
  <si>
    <t>Household income over the 30 days prior to data collection, by types of income source broken down by rural / urban on the admin of overall</t>
  </si>
  <si>
    <t>mean_J_29 Estimated Household's Income (Salaried work) Over the Last 30 days by Types of Income Source</t>
  </si>
  <si>
    <t>median_J_29 Estimated Household's Income (Salaried work) Over the Last 30 days by Types of Income Source</t>
  </si>
  <si>
    <t>min_J_29 Estimated Household's Income (Salaried work) Over the Last 30 days by Types of Income Source</t>
  </si>
  <si>
    <t>max_J_29 Estimated Household's Income (Salaried work) Over the Last 30 days by Types of Income Source</t>
  </si>
  <si>
    <t>mean_J_30 Estimated Household's Income (Casual or daily labour) Over the Last 30 days by Types of Income Source</t>
  </si>
  <si>
    <t>median_J_30 Estimated Household's Income (Casual or daily labour) Over the Last 30 days by Types of Income Source</t>
  </si>
  <si>
    <t>min_J_30 Estimated Household's Income (Casual or daily labour) Over the Last 30 days by Types of Income Source</t>
  </si>
  <si>
    <t>max_J_30 Estimated Household's Income (Casual or daily labour) Over the Last 30 days by Types of Income Source</t>
  </si>
  <si>
    <t>mean_J_31 Estimated Household's Income (Own business or regular trade) Over the Last 30 days by Types of Income Source</t>
  </si>
  <si>
    <t>median_J_31 Estimated Household's Income (Own business or regular trade) Over the Last 30 days by Types of Income Source</t>
  </si>
  <si>
    <t>min_J_31 Estimated Household's Income (Own business or regular trade) Over the Last 30 days by Types of Income Source</t>
  </si>
  <si>
    <t>max_J_31 Estimated Household's Income (Own business or regular trade) Over the Last 30 days by Types of Income Source</t>
  </si>
  <si>
    <t>mean_J_32 Estimated Household's Income (Own production) Over the Last 30 days by Types of Income Source</t>
  </si>
  <si>
    <t>median_J_32 Estimated Household's Income (Own production) Over the Last 30 days by Types of Income Source</t>
  </si>
  <si>
    <t>min_J_32 Estimated Household's Income (Own production) Over the Last 30 days by Types of Income Source</t>
  </si>
  <si>
    <t>max_J_32 Estimated Household's Income (Own production) Over the Last 30 days by Types of Income Source</t>
  </si>
  <si>
    <t>mean_J_33 Estimated Household's Income (IDP benefits from government) Over the Last 30 days by Types of Income Source</t>
  </si>
  <si>
    <t>median_J_33 Estimated Household's Income (IDP benefits from government) Over the Last 30 days by Types of Income Source</t>
  </si>
  <si>
    <t>min_J_33 Estimated Household's Income (IDP benefits from government) Over the Last 30 days by Types of Income Source</t>
  </si>
  <si>
    <t>max_J_33 Estimated Household's Income (IDP benefits from government) Over the Last 30 days by Types of Income Source</t>
  </si>
  <si>
    <t>mean_J_34 Estimated Household's Income (Pension) Over the Last 30 days by Types of Income Source</t>
  </si>
  <si>
    <t>median_J_34 Estimated Household's Income (Pension) Over the Last 30 days by Types of Income Source</t>
  </si>
  <si>
    <t>min_J_34 Estimated Household's Income (Pension) Over the Last 30 days by Types of Income Source</t>
  </si>
  <si>
    <t>max_J_34 Estimated Household's Income (Pension) Over the Last 30 days by Types of Income Source</t>
  </si>
  <si>
    <t>mean_J_35 Estimated Household's Income (Other government social benefits or assistance) Over the Last 30 days by Types of Income Source</t>
  </si>
  <si>
    <t>median_J_35 Estimated Household's Income (Other government social benefits or assistance) Over the Last 30 days by Types of Income Source</t>
  </si>
  <si>
    <t>min_J_35 Estimated Household's Income (Other government social benefits or assistance) Over the Last 30 days by Types of Income Source</t>
  </si>
  <si>
    <t>max_J_35 Estimated Household's Income (Other government social benefits or assistance) Over the Last 30 days by Types of Income Source</t>
  </si>
  <si>
    <t>mean_J_36 Estimated Household's Income (Rent) Over the Last 30 days by Types of Income Source</t>
  </si>
  <si>
    <t>median_J_36 Estimated Household's Income (Rent) Over the Last 30 days by Types of Income Source</t>
  </si>
  <si>
    <t>min_J_36 Estimated Household's Income (Rent) Over the Last 30 days by Types of Income Source</t>
  </si>
  <si>
    <t>max_J_36 Estimated Household's Income (Rent) Over the Last 30 days by Types of Income Source</t>
  </si>
  <si>
    <t>mean_J_37 Estimated Household's Income (Remittances) Over the Last 30 days by Types of Income Source</t>
  </si>
  <si>
    <t>median_J_37 Estimated Household's Income (Remittances) Over the Last 30 days by Types of Income Source</t>
  </si>
  <si>
    <t>min_J_37 Estimated Household's Income (Remittances) Over the Last 30 days by Types of Income Source</t>
  </si>
  <si>
    <t>max_J_37 Estimated Household's Income (Remittances) Over the Last 30 days by Types of Income Source</t>
  </si>
  <si>
    <t>mean_J_38 Estimated Household's Income (Humanitarian aid) Over the Last 30 days by Types of Income Source</t>
  </si>
  <si>
    <t>median_J_38 Estimated Household's Income (Humanitarian aid) Over the Last 30 days by Types of Income Source</t>
  </si>
  <si>
    <t>min_J_38 Estimated Household's Income (Humanitarian aid) Over the Last 30 days by Types of Income Source</t>
  </si>
  <si>
    <t>max_J_38 Estimated Household's Income (Humanitarian aid) Over the Last 30 days by Types of Income Source</t>
  </si>
  <si>
    <t>mean_J_39 Estimated Household's Income (Loans or support from family and friends within Ukraine) Over the Last 30 days by Types of Income Source</t>
  </si>
  <si>
    <t>median_J_39 Estimated Household's Income (Loans or support from family and friends within Ukraine) Over the Last 30 days by Types of Income Source</t>
  </si>
  <si>
    <t>min_J_39 Estimated Household's Income (Loans or support from family and friends within Ukraine) Over the Last 30 days by Types of Income Source</t>
  </si>
  <si>
    <t>max_J_39 Estimated Household's Income (Loans or support from family and friends within Ukraine) Over the Last 30 days by Types of Income Source</t>
  </si>
  <si>
    <t>mean_J_40 Estimated Household's Income (Loans, support, or charitable donations from community members) Over the Last 30 days by Types of Income Source</t>
  </si>
  <si>
    <t>median_J_40 Estimated Household's Income (Loans, support, or charitable donations from community members) Over the Last 30 days by Types of Income Source</t>
  </si>
  <si>
    <t>min_J_40 Estimated Household's Income (Loans, support, or charitable donations from community members) Over the Last 30 days by Types of Income Source</t>
  </si>
  <si>
    <t>max_J_40 Estimated Household's Income (Loans, support, or charitable donations from community members) Over the Last 30 days by Types of Income Source</t>
  </si>
  <si>
    <t>mean_J_41 Estimated Household's Income (Other) Over the Last 30 days by Types of Income Source</t>
  </si>
  <si>
    <t>median_J_41 Estimated Household's Income (Other) Over the Last 30 days by Types of Income Source</t>
  </si>
  <si>
    <t>min_J_41 Estimated Household's Income (Other) Over the Last 30 days by Types of Income Source</t>
  </si>
  <si>
    <t>max_J_41 Estimated Household's Income (Other) Over the Last 30 days by Types of Income Source</t>
  </si>
  <si>
    <t>Household income over the 30 days prior to data collection, by types of income source broken down by proximity to the Frontline / Russian border on the admin of overall</t>
  </si>
  <si>
    <t>Household income over the 30 days prior to data collection, by types of income source broken down by member with WGSS disability on the admin of overall</t>
  </si>
  <si>
    <t>Household income over the 30 days prior to data collection, by types of income source broken down by displacement status of HoH on the admin of overall</t>
  </si>
  <si>
    <t>Household income over the 30 days prior to data collection, by types of income source broken down by household size on the admin of overall</t>
  </si>
  <si>
    <t>Household income over the 30 days prior to data collection, by types of income source broken down by single/joint headed HHs on the admin of overall</t>
  </si>
  <si>
    <t>Total income per capita among those who reported any income broken down by rural / urban on the admin of overall</t>
  </si>
  <si>
    <t>weighted_count</t>
  </si>
  <si>
    <t>Total income per capita among those who reported any income broken down by proximity to the Frontline / Russian border on the admin of overall</t>
  </si>
  <si>
    <t>Total income per capita among those who reported any income broken down by member with WGSS disability on the admin of overall</t>
  </si>
  <si>
    <t>Total income per capita among those who reported any income broken down by by member with WGSS disability on the admin of overall</t>
  </si>
  <si>
    <t>Total income per capita among those who reported any income broken down by displacement status of HoH on the admin of overall</t>
  </si>
  <si>
    <t>Total income per capita among those who reported any income broken down by household size on the admin of overall</t>
  </si>
  <si>
    <t>Total income per capita among those who reported any income broken down by single/joint headed HHs on the admin of overall</t>
  </si>
  <si>
    <t>Total income per household among those who reported any income broken down by rural / urban on the admin of overall</t>
  </si>
  <si>
    <t>Total income per household among those who reported any income broken down by proximity to the Frontline / Russian border on the admin of overall</t>
  </si>
  <si>
    <t>Total income per household among those who reported any income broken down by member with WGSS disability on the admin of overall</t>
  </si>
  <si>
    <t>Total income per household among those who reported any income broken down by displacement status of HoH on the admin of overall</t>
  </si>
  <si>
    <t>Total income per household among those who reported any income broken down by household size on the admin of overall</t>
  </si>
  <si>
    <t>Total income per household among those who reported any income broken down by presence of children on the admin of overall</t>
  </si>
  <si>
    <t>by presence of children</t>
  </si>
  <si>
    <t>Total income per household among those who reported any income broken down by single/joint headed HHs on the admin of overall</t>
  </si>
  <si>
    <t>Households that have borrowed money that they still have to pay back broken down by rural / urban on the admin of overall</t>
  </si>
  <si>
    <t>Households that have borrowed money that they still have to pay back broken down by proximity to the Frontline / Russian border on the admin of overall</t>
  </si>
  <si>
    <t>Households that have borrowed money that they still have to pay back broken down by member with WGSS disability on the admin of overall</t>
  </si>
  <si>
    <t>Households that have borrowed money that they still have to pay back broken down by displacement status of HoH on the admin of overall</t>
  </si>
  <si>
    <t>Households that have borrowed money that they still have to pay back broken down by household size on the admin of overall</t>
  </si>
  <si>
    <t>Households that have borrowed money that they still have to pay back broken down by single/joint headed HHs on the admin of overall</t>
  </si>
  <si>
    <t>Households reporting reasons why they took on debt since February 2022 broken down by rural / urban on the admin of overall</t>
  </si>
  <si>
    <t>Domestic assets (appliances, household repairs, repairing facilities) for your household</t>
  </si>
  <si>
    <t>Domestic consumption (food, utilities, etc) for your household</t>
  </si>
  <si>
    <t>Education expenses for your household</t>
  </si>
  <si>
    <t>For another households' needs</t>
  </si>
  <si>
    <t xml:space="preserve">Health / Medical expenses for your household </t>
  </si>
  <si>
    <t xml:space="preserve">Holiday / Travel for your household </t>
  </si>
  <si>
    <t>Investment in business (capital or assets) belonging to a household member</t>
  </si>
  <si>
    <t>Obtaining / replacing official documents for your household</t>
  </si>
  <si>
    <t>Property / Mortgage belonging to a household member</t>
  </si>
  <si>
    <t>Repayment of other debts of your household</t>
  </si>
  <si>
    <t xml:space="preserve">Replacing posessions of your household that were destroyed / left behind due to the war </t>
  </si>
  <si>
    <t>Shelter repair for your household</t>
  </si>
  <si>
    <t>Urgent travel related to displacement for your household</t>
  </si>
  <si>
    <t>Households reporting reasons why they took on debt since February 2022 broken down by proximity to the Frontline / Russian border on the admin of overall</t>
  </si>
  <si>
    <t>Households reporting reasons why they took on debt since February 2022 broken down by member with WGSS disability on the admin of overall</t>
  </si>
  <si>
    <t>Households reporting reasons why they took on debt since February 2022 broken down by displacement status of HoH on the admin of overall</t>
  </si>
  <si>
    <t>Households reporting reasons why they took on debt since February 2022 broken down by household size on the admin of overall</t>
  </si>
  <si>
    <t>Households reporting reasons why they took on debt since February 2022 broken down by single/joint headed HHs on the admin of overall</t>
  </si>
  <si>
    <t>Households reporting barriers while accessing markets broken down by rural / urban on the admin of overall</t>
  </si>
  <si>
    <t>Damage to marketplace</t>
  </si>
  <si>
    <t>Damage to roads leading to marketplace</t>
  </si>
  <si>
    <t>Disablity / health issues</t>
  </si>
  <si>
    <t>Face discrimination or exploitation when visiting the marketplace or certain businesses</t>
  </si>
  <si>
    <t>Insecurity or danger at marketplace</t>
  </si>
  <si>
    <t>Insecurity or danger travelling to and from marketplace</t>
  </si>
  <si>
    <t>Local authorities restrict access/travel</t>
  </si>
  <si>
    <t>Market shutdowns or curfews make access impossible</t>
  </si>
  <si>
    <t>Marketplace is too far away to access regularly</t>
  </si>
  <si>
    <t>Nobody to look after children or elderly while visiting marketplace</t>
  </si>
  <si>
    <t>Other household members restrict access/travel</t>
  </si>
  <si>
    <t>Transportation to marketplace is too expensive</t>
  </si>
  <si>
    <t>Households reporting barriers while accessing markets broken down by proximity to the Frontline / Russian border on the admin of overall</t>
  </si>
  <si>
    <t>Households reporting barriers while accessing markets broken down by member with WGSS disability on the admin of overall</t>
  </si>
  <si>
    <t>Households reporting barriers while accessing markets broken down by displacement status of HoH on the admin of overall</t>
  </si>
  <si>
    <t>Households reporting barriers while accessing markets broken down by household size on the admin of overall</t>
  </si>
  <si>
    <t>Households reporting barriers while accessing markets broken down by single/joint headed HHs on the admin of overall</t>
  </si>
  <si>
    <t>Households adopting Livelihood Coping Strategies, by strategy broken down by rural / urban on the admin of overall</t>
  </si>
  <si>
    <t>option</t>
  </si>
  <si>
    <t>perc_Households Reportedly Adopting Livelihood Coping Strategies (sell household assets/goods)</t>
  </si>
  <si>
    <t>perc_Households Reportedly Adopting Livelihood Coping Strategies (spend savings or consumed stocks)</t>
  </si>
  <si>
    <t>perc_Households Reportedly Adopting Livelihood Coping Strategies (Purchase food on credit or borrowed food)</t>
  </si>
  <si>
    <t>perc_Households Reportedly Adopting Livelihood Coping Strategies (get an additional job)</t>
  </si>
  <si>
    <t>perc_Households Reportedly Adopting Livelihood Coping Strategies (Sell productive assets)</t>
  </si>
  <si>
    <t>perc_Households Reportedly Adopting Livelihood Coping Strategies (Reduce essential health expenditures)</t>
  </si>
  <si>
    <t>perc_Households Reportedly Adopting Livelihood Coping Strategies (Reduce essential education expenditures)</t>
  </si>
  <si>
    <t>perc_Households Reportedly Adopting Livelihood Coping Strategies (Sell housing or land)</t>
  </si>
  <si>
    <t>perc_Households Reportedly Adopting Livelihood Coping Strategies (use degrading sources of income)</t>
  </si>
  <si>
    <t>perc_Households Reportedly Adopting Livelihood Coping Strategies (ask strangers for money)</t>
  </si>
  <si>
    <t>general_count</t>
  </si>
  <si>
    <t>No, have already exhausted this coping strategy and cannot use it again</t>
  </si>
  <si>
    <t>No, had no need to use this coping strategy</t>
  </si>
  <si>
    <t>Not applicable / This coping strategy is not available to me</t>
  </si>
  <si>
    <t>Households adopting Livelihood Coping Strategies, by strategy broken down by proximity to the Frontline / Russian border on the admin of overall</t>
  </si>
  <si>
    <t>Households adopting Livelihood Coping Strategies, by strategy broken down by member with WGSS disability on the admin of overall</t>
  </si>
  <si>
    <t>Households adopting Livelihood Coping Strategies, by strategy broken down by displacement status of HoH on the admin of overall</t>
  </si>
  <si>
    <t>Households adopting Livelihood Coping Strategies, by strategy broken down by household size on the admin of overall</t>
  </si>
  <si>
    <t>Households adopting Livelihood Coping Strategies, by strategy broken down by single/joint headed HHs on the admin of overall</t>
  </si>
  <si>
    <t>Main Reasons Households Reported for Using Livelihood Coping Strategies  broken down by rural / urban on the admin of overall</t>
  </si>
  <si>
    <t xml:space="preserve">Other (specify) </t>
  </si>
  <si>
    <t xml:space="preserve">To access or pay for education </t>
  </si>
  <si>
    <t xml:space="preserve">To access or pay for food </t>
  </si>
  <si>
    <t xml:space="preserve">To access or pay for healthcare </t>
  </si>
  <si>
    <t xml:space="preserve">To access or pay for shelter </t>
  </si>
  <si>
    <t>Main Reasons Households Reported for Using Livelihood Coping Strategies  broken down by proximity to the Frontline / Russian border on the admin of overall</t>
  </si>
  <si>
    <t>Main Reasons Households Reported for Using Livelihood Coping Strategies  broken down by member with WGSS disability on the admin of overall</t>
  </si>
  <si>
    <t>Main Reasons Households Reported for Using Livelihood Coping Strategies  broken down by displacement status of HoH on the admin of overall</t>
  </si>
  <si>
    <t>Main Reasons Households Reported for Using Livelihood Coping Strategies  broken down by household size on the admin of overall</t>
  </si>
  <si>
    <t>Main Reasons Households Reported for Using Livelihood Coping Strategies  broken down by single/joint headed HHs on the admin of overall</t>
  </si>
  <si>
    <t>Livelihood Coping Strategy - Essential Needs (LCS-EN) broken down by rural / urban on the admin of overall</t>
  </si>
  <si>
    <t>Crisis</t>
  </si>
  <si>
    <t>Emergency</t>
  </si>
  <si>
    <t>No coping</t>
  </si>
  <si>
    <t>Stress</t>
  </si>
  <si>
    <t>Livelihood Coping Strategy - Essential Needs (LCS-EN) broken down by proximity to the Frontline / Russian border on the admin of overall</t>
  </si>
  <si>
    <t>Livelihood Coping Strategy - Essential Needs (LCS-EN) broken down by member with WGSS disability on the admin of overall</t>
  </si>
  <si>
    <t>Livelihood Coping Strategy - Essential Needs (LCS-EN) broken down by displacement status of HoH on the admin of overall</t>
  </si>
  <si>
    <t>Livelihood Coping Strategy - Essential Needs (LCS-EN) broken down by household size on the admin of overall</t>
  </si>
  <si>
    <t>Livelihood Coping Strategy - Essential Needs (LCS-EN) broken down by presence of children on the admin of overall</t>
  </si>
  <si>
    <t>Livelihood Coping Strategy - Essential Needs (LCS-EN) broken down by single care provider on the admin of overall</t>
  </si>
  <si>
    <t>Livelihood Coping Strategy - Essential Needs (LCS-EN) broken down by single/joint headed HHs on the admin of overall</t>
  </si>
  <si>
    <t>Security Factors that reportedly influenced households' sense of safety broken down by gender of respondent on the admin of overall</t>
  </si>
  <si>
    <t>Arbitrary arrest / detention</t>
  </si>
  <si>
    <t>Conscription</t>
  </si>
  <si>
    <t>Discrimination (because of ethnicity, status, etc.)</t>
  </si>
  <si>
    <t>Exploitation (being engaged in harmful forms of labor, human trafficking)</t>
  </si>
  <si>
    <t>Kidnapping, forced disappearance (excluding conscription)</t>
  </si>
  <si>
    <t>Looting and crime (e.g. being robbed)</t>
  </si>
  <si>
    <t>Presence of landmines/UXOs</t>
  </si>
  <si>
    <t>Presence of military actors</t>
  </si>
  <si>
    <t>Social tension in the community</t>
  </si>
  <si>
    <t>Stray animals (dogs, etc)</t>
  </si>
  <si>
    <t>Violence and harassment not related to the conflict in private spaces</t>
  </si>
  <si>
    <t>Violence and harassment not related to the conflict in public spaces</t>
  </si>
  <si>
    <t>Violence related to the conflict (e.g. armed violence, shelling, missile attacks) impacting civilians</t>
  </si>
  <si>
    <t>Violence related to the conflict (e.g. armed violence, shelling, missile attacks) impacting private infrastructure (e.g. private housing)</t>
  </si>
  <si>
    <t>Violence related to the conflict (e.g. armed violence, shelling, missile attacks) impacting public infrastructure and facilities (schools, telecommunication networks)</t>
  </si>
  <si>
    <t>Security Factors that reportedly influenced households' sense of safety broken down by age of respondents on the admin of overall</t>
  </si>
  <si>
    <t>Security Factors that reportedly influenced households' sense of safety broken down by rural / urban on the admin of overall</t>
  </si>
  <si>
    <t>Security Factors that reportedly influenced households' sense of safety broken down by proximity to the Frontline / Russian border on the admin of overall</t>
  </si>
  <si>
    <t>Security Factors that reportedly influenced households' sense of safety broken down by member with WGSS disability on the admin of overall</t>
  </si>
  <si>
    <t>Security Factors that reportedly influenced households' sense of safety broken down by displacement status of HoH on the admin of overall</t>
  </si>
  <si>
    <t>Security Factors that reportedly influenced households' sense of safety broken down by household size on the admin of overall</t>
  </si>
  <si>
    <t>Security Factors that reportedly influenced households' sense of safety broken down by single/joint headed HHs on the admin of overall</t>
  </si>
  <si>
    <t>Reasons why social tension or discrimination impacted households' sense of safety broken down by gender of respondent on the admin of overall</t>
  </si>
  <si>
    <t>Age</t>
  </si>
  <si>
    <t>Discrimination or tensions over access to employment </t>
  </si>
  <si>
    <t>Discrimination or tensions over access to government services </t>
  </si>
  <si>
    <t>Discrimination or tensions over access to humanitarian assistance provided by aid providers </t>
  </si>
  <si>
    <t>Displacement status (e.g. tensions or discrimination related to being IDP)</t>
  </si>
  <si>
    <t>Do not know </t>
  </si>
  <si>
    <t>Ethnicity  </t>
  </si>
  <si>
    <t>Language  </t>
  </si>
  <si>
    <t>Other (specify) </t>
  </si>
  <si>
    <t>Political affiliation                                                                     </t>
  </si>
  <si>
    <t>Religion </t>
  </si>
  <si>
    <t>Sexual Orientation</t>
  </si>
  <si>
    <t>Reasons why social tension or discrimination impacted households' sense of safety broken down by age of respondents on the admin of overall</t>
  </si>
  <si>
    <t>Reasons why social tension or discrimination impacted households' sense of safety broken down by rural / urban on the admin of overall</t>
  </si>
  <si>
    <t>Reasons why social tension or discrimination impacted households' sense of safety broken down by proximity to the Frontline / Russian border on the admin of overall</t>
  </si>
  <si>
    <t>Reasons why social tension or discrimination impacted households' sense of safety broken down by member with WGSS disability on the admin of overall</t>
  </si>
  <si>
    <t>Reasons why social tension or discrimination impacted households' sense of safety broken down by displacement status of HoH on the admin of overall</t>
  </si>
  <si>
    <t>Reasons why social tension or discrimination impacted households' sense of safety broken down by household size on the admin of overall</t>
  </si>
  <si>
    <t>Reasons why social tension or discrimination impacted households' sense of safety broken down by single/joint headed HHs on the admin of overall</t>
  </si>
  <si>
    <t>Households that reported being concerned about having any HH member engaging in risky activities due to the economic needs broken down by gender of respondent on the admin of overall</t>
  </si>
  <si>
    <t>Always</t>
  </si>
  <si>
    <t>Don't know</t>
  </si>
  <si>
    <t>Just once or twice</t>
  </si>
  <si>
    <t>Never</t>
  </si>
  <si>
    <t>Several times</t>
  </si>
  <si>
    <t>Households that reported being concerned about having any HH member engaging in risky activities due to the economic needs broken down by age of respondents on the admin of overall</t>
  </si>
  <si>
    <t>Households that reported being concerned about having any HH member engaging in risky activities due to the economic needs broken down by rural / urban on the admin of overall</t>
  </si>
  <si>
    <t>Households that reported being concerned about having any HH member engaging in risky activities due to the economic needs broken down by proximity to the Frontline / Russian border on the admin of overall</t>
  </si>
  <si>
    <t>Households that reported being concerned about having any HH member engaging in risky activities due to the economic needs broken down by member with WGSS disability on the admin of overall</t>
  </si>
  <si>
    <t>Households that reported being concerned about having any HH member engaging in risky activities due to the economic needs broken down by displacement status of HoH on the admin of overall</t>
  </si>
  <si>
    <t>Households that reported being concerned about having any HH member engaging in risky activities due to the economic needs broken down by household size on the admin of overall</t>
  </si>
  <si>
    <t>Households that reported being concerned about having any HH member engaging in risky activities due to the economic needs broken down by single/joint headed HHs on the admin of overall</t>
  </si>
  <si>
    <t>Households that reported being concerned about being forced to flee their home broken down by gender of respondent on the admin of overall</t>
  </si>
  <si>
    <t>Households that reported being concerned about being forced to flee their home broken down by age of respondents on the admin of overall</t>
  </si>
  <si>
    <t>Households that reported being concerned about being forced to flee their home broken down by rural / urban on the admin of overall</t>
  </si>
  <si>
    <t>Households that reported being concerned about being forced to flee their home broken down by proximity to the Frontline / Russian border on the admin of overall</t>
  </si>
  <si>
    <t>Households that reported being concerned about being forced to flee their home broken down by member with WGSS disability on the admin of overall</t>
  </si>
  <si>
    <t>Households that reported being concerned about being forced to flee their home broken down by displacement status of HoH on the admin of overall</t>
  </si>
  <si>
    <t>Households that reported being concerned about being forced to flee their home broken down by household size on the admin of overall</t>
  </si>
  <si>
    <t>Households that reported being concerned about being forced to flee their home broken down by single/joint headed HHs on the admin of overall</t>
  </si>
  <si>
    <t>Security factors that reportedly influenced sense of safety of WOMEN in community broken down by gender of respondent on the admin of overall</t>
  </si>
  <si>
    <t>Being robbed</t>
  </si>
  <si>
    <t>Security factors that reportedly influenced sense of safety of WOMEN in community broken down by age of respondents on the admin of overall</t>
  </si>
  <si>
    <t>Security factors that reportedly influenced sense of safety of WOMEN in community broken down by rural / urban on the admin of overall</t>
  </si>
  <si>
    <t>Security factors that reportedly influenced sense of safety of WOMEN in community broken down by proximity to the Frontline / Russian border on the admin of overall</t>
  </si>
  <si>
    <t>Security factors that reportedly influenced sense of safety of WOMEN in community broken down by member with WGSS disability on the admin of overall</t>
  </si>
  <si>
    <t>Security factors that reportedly influenced sense of safety of WOMEN in community broken down by displacement status of HoH on the admin of overall</t>
  </si>
  <si>
    <t>Security factors that reportedly influenced sense of safety of WOMEN in community broken down by household size on the admin of overall</t>
  </si>
  <si>
    <t>Security factors that reportedly influenced sense of safety of WOMEN in community broken down by single/joint headed HHs on the admin of overall</t>
  </si>
  <si>
    <t>Households with women that reportedly feel unsafe walking in community broken down by gender of respondent on the admin of overall</t>
  </si>
  <si>
    <t>Often</t>
  </si>
  <si>
    <t>Sometimes</t>
  </si>
  <si>
    <t>Households with women that reportedly feel unsafe walking in community broken down by age of respondents on the admin of overall</t>
  </si>
  <si>
    <t>Households with women that reportedly feel unsafe walking in community broken down by rural / urban on the admin of overall</t>
  </si>
  <si>
    <t>Households with women that reportedly feel unsafe walking in community broken down by proximity to the Frontline / Russian border on the admin of overall</t>
  </si>
  <si>
    <t>Households with women that reportedly feel unsafe walking in community broken down by member with WGSS disability on the admin of overall</t>
  </si>
  <si>
    <t>Households with women that reportedly feel unsafe walking in community broken down by displacement status of HoH on the admin of overall</t>
  </si>
  <si>
    <t>Households with women that reportedly feel unsafe walking in community broken down by household size on the admin of overall</t>
  </si>
  <si>
    <t>Households with women that reportedly feel unsafe walking in community broken down by single/joint headed HHs on the admin of overall</t>
  </si>
  <si>
    <t>Places women reportedly avoid because of security concerns broken down by gender of respondent on the admin of overall</t>
  </si>
  <si>
    <t xml:space="preserve">Aid distribution points </t>
  </si>
  <si>
    <t>Communal heating points</t>
  </si>
  <si>
    <t>Communal water points</t>
  </si>
  <si>
    <t>Indoor public spaces used for recreation (e.g. community centers)</t>
  </si>
  <si>
    <t>Isolated areas within your living space such as elevators/staircases</t>
  </si>
  <si>
    <t>Long or isolated underground passages</t>
  </si>
  <si>
    <t>Outdoor public spaces used for recreation (e.g. parks)</t>
  </si>
  <si>
    <t>Poorly lit outdoor areas</t>
  </si>
  <si>
    <t>Public markets</t>
  </si>
  <si>
    <t>Public transport (e.g. bus stops, train stations, trains, subways, etc.)</t>
  </si>
  <si>
    <t xml:space="preserve">Spaces with high military presence </t>
  </si>
  <si>
    <t>Places women reportedly avoid because of security concerns broken down by age of respondents on the admin of overall</t>
  </si>
  <si>
    <t>Places women reportedly avoid because of security concerns broken down by rural / urban on the admin of overall</t>
  </si>
  <si>
    <t>Places women reportedly avoid because of security concerns broken down by proximity to the Frontline / Russian border on the admin of overall</t>
  </si>
  <si>
    <t>Places women reportedly avoid because of security concerns broken down by member with WGSS disability on the admin of overall</t>
  </si>
  <si>
    <t>Places women reportedly avoid because of security concerns broken down by displacement status of HoH on the admin of overall</t>
  </si>
  <si>
    <t>Places women reportedly avoid because of security concerns broken down by household size on the admin of overall</t>
  </si>
  <si>
    <t>Places women reportedly avoid because of security concerns broken down by single/joint headed HHs on the admin of overall</t>
  </si>
  <si>
    <t>Security factors that reportedly influenced sense of safety of MEN in community broken down by gender of respondent on the admin of overall</t>
  </si>
  <si>
    <t>Security factors that reportedly influenced sense of safety of MEN in community broken down by age of respondents on the admin of overall</t>
  </si>
  <si>
    <t>Security factors that reportedly influenced sense of safety of MEN in community broken down by rural / urban on the admin of overall</t>
  </si>
  <si>
    <t>Security factors that reportedly influenced sense of safety of MEN in community broken down by proximity to the Frontline / Russian border on the admin of overall</t>
  </si>
  <si>
    <t>Security factors that reportedly influenced sense of safety of MEN in community broken down by member with WGSS disability on the admin of overall</t>
  </si>
  <si>
    <t>Security factors that reportedly influenced sense of safety of MEN in community broken down by displacement status of HoH on the admin of overall</t>
  </si>
  <si>
    <t>Security factors that reportedly influenced sense of safety of MEN in community broken down by household size on the admin of overall</t>
  </si>
  <si>
    <t>Security factors that reportedly influenced sense of safety of MEN in community broken down by single/joint headed HHs on the admin of overall</t>
  </si>
  <si>
    <t>Security factors that reportedly influenced sense of safety of CHILDREN in community broken down by gender of respondent on the admin of overall</t>
  </si>
  <si>
    <t>Unsafe roads</t>
  </si>
  <si>
    <t>Security factors that reportedly influenced sense of safety of CHILDREN in community broken down by presence of children on the admin of overall</t>
  </si>
  <si>
    <t>Security factors that reportedly influenced sense of safety of CHILDREN in community broken down by age of respondents on the admin of overall</t>
  </si>
  <si>
    <t>Security factors that reportedly influenced sense of safety of CHILDREN in community broken down by rural / urban on the admin of overall</t>
  </si>
  <si>
    <t>Security factors that reportedly influenced sense of safety of CHILDREN in community broken down by proximity to the Frontline / Russian border on the admin of overall</t>
  </si>
  <si>
    <t>Security factors that reportedly influenced sense of safety of CHILDREN in community broken down by member with WGSS disability on the admin of overall</t>
  </si>
  <si>
    <t>Security factors that reportedly influenced sense of safety of CHILDREN in community broken down by displacement status of HoH on the admin of overall</t>
  </si>
  <si>
    <t>Security factors that reportedly influenced sense of safety of CHILDREN in community broken down by household size on the admin of overall</t>
  </si>
  <si>
    <t>Security factors that reportedly influenced sense of safety of CHILDREN in community broken down by single/joint headed HHs on the admin of overall</t>
  </si>
  <si>
    <t>Housing/land/property (HLP) concerns households reported experiencing broken down by rural / urban on the admin of overall</t>
  </si>
  <si>
    <t>Damage or destroyed property other than housing</t>
  </si>
  <si>
    <t>Damaged or destroyed housing in area NOT occupied by the Russian Federation</t>
  </si>
  <si>
    <t>Damaged or destroyed housing in area occupied by the Russian Federation</t>
  </si>
  <si>
    <t>Housing and/or land is not accessible due to military restrictions, active hostilities</t>
  </si>
  <si>
    <t>Housing and/or land is used for military purposes</t>
  </si>
  <si>
    <t>Lack of access to / eligibility for compensation mechanisms</t>
  </si>
  <si>
    <t>Lack of compensation through compensation mechanisms</t>
  </si>
  <si>
    <t>Lack of documents / lack of access to documents proving ownership of housing / land</t>
  </si>
  <si>
    <t>Lack of information on compensation mechanisms</t>
  </si>
  <si>
    <t>Land contaminated with EOs</t>
  </si>
  <si>
    <t>Looting of private property</t>
  </si>
  <si>
    <t>No social / affordable housing available in the area</t>
  </si>
  <si>
    <t>Property is occupied by others</t>
  </si>
  <si>
    <t>Rental disputes (landlord/tenant problems)</t>
  </si>
  <si>
    <t>Housing/land/property (HLP) concerns households reported experiencing broken down by proximity to the Frontline / Russian border on the admin of overall</t>
  </si>
  <si>
    <t>Housing/land/property (HLP) concerns households reported experiencing broken down by member with WGSS disability on the admin of overall</t>
  </si>
  <si>
    <t>Housing/land/property (HLP) concerns households reported experiencing broken down by displacement status of HoH on the admin of overall</t>
  </si>
  <si>
    <t>Housing/land/property (HLP) concerns households reported experiencing broken down by household size on the admin of overall</t>
  </si>
  <si>
    <t>Housing/land/property (HLP) concerns households reported experiencing broken down by single/joint headed HHs on the admin of overall</t>
  </si>
  <si>
    <t>Number of times Household members reportedly were trained on safe behaviours towards Explosive Ordnances  broken down by rural / urban on the admin of overall</t>
  </si>
  <si>
    <t>Number of times Household members reportedly were trained on safe behaviours towards Explosive Ordnances  broken down by proximity to the Frontline / Russian border on the admin of overall</t>
  </si>
  <si>
    <t>Number of times Household members reportedly were trained on safe behaviours towards Explosive Ordnances  broken down by member with WGSS disability on the admin of overall</t>
  </si>
  <si>
    <t>Number of times Household members reportedly were trained on safe behaviours towards Explosive Ordnances  broken down by displacement status of HoH on the admin of overall</t>
  </si>
  <si>
    <t>Number of times Household members reportedly were trained on safe behaviours towards Explosive Ordnances  broken down by household size on the admin of overall</t>
  </si>
  <si>
    <t>Number of times Household members reportedly were trained on safe behaviours towards Explosive Ordnances  broken down by single/joint headed HHs on the admin of overall</t>
  </si>
  <si>
    <t>Households Reporting Explosive Ordnance Currently Present in their Community broken down by rural / urban on the admin of overall</t>
  </si>
  <si>
    <t>Prefer not to Answer</t>
  </si>
  <si>
    <t>Yes, I or a member of my household believes they are present</t>
  </si>
  <si>
    <t>Yes, I or a member of my household has seen them</t>
  </si>
  <si>
    <t>Households Reporting Explosive Ordnance Currently Present in their Community broken down by proximity to the Frontline / Russian border on the admin of overall</t>
  </si>
  <si>
    <t>Households Reporting Explosive Ordnance Currently Present in their Community broken down by member with WGSS disability on the admin of overall</t>
  </si>
  <si>
    <t>Households Reporting Explosive Ordnance Currently Present in their Community broken down by displacement status of HoH on the admin of overall</t>
  </si>
  <si>
    <t>Households Reporting Explosive Ordnance Currently Present in their Community broken down by household size on the admin of overall</t>
  </si>
  <si>
    <t>Households Reporting Explosive Ordnance Currently Present in their Community broken down by single/joint headed HHs on the admin of overall</t>
  </si>
  <si>
    <t>Households Reporting that Explosive Ordnance Affect the Livelihoods of People within their Community broken down by rural / urban on the admin of overall</t>
  </si>
  <si>
    <t>No, presence of EO is not affecting anyone's livelihood in the community</t>
  </si>
  <si>
    <t>Yes, presence of EO is affecting people's livelihood in the community</t>
  </si>
  <si>
    <t>Households Reporting that Explosive Ordnance Affect the Livelihoods of People within their Community broken down by proximity to the Frontline / Russian border on the admin of overall</t>
  </si>
  <si>
    <t>Households Reporting that Explosive Ordnance Affect the Livelihoods of People within their Community broken down by member with WGSS disability on the admin of overall</t>
  </si>
  <si>
    <t>Households Reporting that Explosive Ordnance Affect the Livelihoods of People within their Community broken down by displacement status of HoH on the admin of overall</t>
  </si>
  <si>
    <t>Households Reporting that Explosive Ordnance Affect the Livelihoods of People within their Community broken down by household size on the admin of overall</t>
  </si>
  <si>
    <t>Households Reporting that Explosive Ordnance Affect the Livelihoods of People within their Community broken down by single/joint headed HHs on the admin of overall</t>
  </si>
  <si>
    <t>Households describing their shelter situation broken down by rural / urban on the admin of overall</t>
  </si>
  <si>
    <t>Collective site</t>
  </si>
  <si>
    <t>Hosted by friends/relatives</t>
  </si>
  <si>
    <t>Hosting at least one other household in own home</t>
  </si>
  <si>
    <t>Individual shelter (for this household only)</t>
  </si>
  <si>
    <t>Individual shelter (shared with others)</t>
  </si>
  <si>
    <t>No shelter (sleeping in the open)</t>
  </si>
  <si>
    <t>Households describing their shelter situation broken down by proximity to the Frontline / Russian border on the admin of overall</t>
  </si>
  <si>
    <t>Households describing their shelter situation broken down by member with WGSS disability on the admin of overall</t>
  </si>
  <si>
    <t>Households describing their shelter situation broken down by displacement status of HoH on the admin of overall</t>
  </si>
  <si>
    <t>Households describing their shelter situation broken down by household size on the admin of overall</t>
  </si>
  <si>
    <t>Households describing their shelter situation broken down by single/joint headed HHs on the admin of overall</t>
  </si>
  <si>
    <t>Households reporting type of shelter they live in broken down by rural / urban on the admin of overall</t>
  </si>
  <si>
    <t>Makeshift shelter</t>
  </si>
  <si>
    <t>Solid / finished apartment</t>
  </si>
  <si>
    <t>Solid / finished house</t>
  </si>
  <si>
    <t>Tent</t>
  </si>
  <si>
    <t>Unfinished / non-enclosed building</t>
  </si>
  <si>
    <t>Households reporting type of shelter they live in broken down by proximity to the Frontline / Russian border on the admin of overall</t>
  </si>
  <si>
    <t>Households reporting type of shelter they live in broken down by member with WGSS disability on the admin of overall</t>
  </si>
  <si>
    <t>Households reporting type of shelter they live in broken down by displacement status of HoH on the admin of overall</t>
  </si>
  <si>
    <t>Households reporting type of shelter they live in broken down by household size on the admin of overall</t>
  </si>
  <si>
    <t>Households reporting type of shelter they live in broken down by single/joint headed HHs on the admin of overall</t>
  </si>
  <si>
    <t>Households reporting number of square meters in their shelter broken down by rural / urban on the admin of overall</t>
  </si>
  <si>
    <t>Households reporting number of square meters in their shelter broken down by proximity to the Frontline / Russian border on the admin of overall</t>
  </si>
  <si>
    <t>Households reporting number of square meters in their shelter broken down by member with WGSS disability on the admin of overall</t>
  </si>
  <si>
    <t>Households reporting number of square meters in their shelter broken down by displacement status of HoH on the admin of overall</t>
  </si>
  <si>
    <t>Households reporting number of square meters in their shelter broken down by household size on the admin of overall</t>
  </si>
  <si>
    <t>Households reporting number of square meters in their shelter broken down by single/joint headed HHs on the admin of overall</t>
  </si>
  <si>
    <t>Households reporting number of individuals living in their current shelter broken down by rural / urban on the admin of overall</t>
  </si>
  <si>
    <t>Households reporting number of individuals living in their current shelter broken down by proximity to the Frontline / Russian border on the admin of overall</t>
  </si>
  <si>
    <t>Households reporting number of individuals living in their current shelter broken down by member with WGSS disability on the admin of overall</t>
  </si>
  <si>
    <t>Households reporting number of individuals living in their current shelter broken down by displacement status of HoH on the admin of overall</t>
  </si>
  <si>
    <t>Households reporting number of individuals living in their current shelter broken down by household size on the admin of overall</t>
  </si>
  <si>
    <t>Households reporting number of individuals living in their current shelter broken down by single/joint headed HHs on the admin of overall</t>
  </si>
  <si>
    <t>Shelter overcrowding broken down by rural / urban on the admin of overall</t>
  </si>
  <si>
    <t>Shelter overcrowding broken down by proximity to the Frontline / Russian border on the admin of overall</t>
  </si>
  <si>
    <t>Shelter overcrowding broken down by member with WGSS disability on the admin of overall</t>
  </si>
  <si>
    <t>Shelter overcrowding broken down by displacement status of HoH on the admin of overall</t>
  </si>
  <si>
    <t>Shelter overcrowding broken down by household size on the admin of overall</t>
  </si>
  <si>
    <t>Shelter overcrowding broken down by single/joint headed HHs on the admin of overall</t>
  </si>
  <si>
    <t>Households reporting occupancy arrangement of their shelter broken down by rural / urban on the admin of overall</t>
  </si>
  <si>
    <t>Hosted for free</t>
  </si>
  <si>
    <t>No occupancy agreement, squatting</t>
  </si>
  <si>
    <t>Owned property</t>
  </si>
  <si>
    <t>Rented</t>
  </si>
  <si>
    <t>Households reporting occupancy arrangement of their shelter broken down by proximity to the Frontline / Russian border on the admin of overall</t>
  </si>
  <si>
    <t>Households reporting occupancy arrangement of their shelter broken down by member with WGSS disability on the admin of overall</t>
  </si>
  <si>
    <t>Households reporting occupancy arrangement of their shelter broken down by displacement status of HoH on the admin of overall</t>
  </si>
  <si>
    <t>Households reporting occupancy arrangement of their shelter broken down by household size on the admin of overall</t>
  </si>
  <si>
    <t>Households reporting occupancy arrangement of their shelter broken down by single/joint headed HHs on the admin of overall</t>
  </si>
  <si>
    <t>Households reporting risk of being evicted from their shelter broken down by rural / urban on the admin of overall</t>
  </si>
  <si>
    <t>Households reporting risk of being evicted from their shelter broken down by proximity to the Frontline / Russian border on the admin of overall</t>
  </si>
  <si>
    <t>Households reporting risk of being evicted from their shelter broken down by member with WGSS disability on the admin of overall</t>
  </si>
  <si>
    <t>Households reporting risk of being evicted from their shelter broken down by displacement status of HoH on the admin of overall</t>
  </si>
  <si>
    <t>Households reporting risk of being evicted from their shelter broken down by household size on the admin of overall</t>
  </si>
  <si>
    <t>Households reporting risk of being evicted from their shelter broken down by single/joint headed HHs on the admin of overall</t>
  </si>
  <si>
    <t>Households reporting shelter issues that were NOT caused by the war broken down by rural / urban on the admin of overall</t>
  </si>
  <si>
    <t xml:space="preserve">It is often too hot or too cold inside dwelling / shelter  </t>
  </si>
  <si>
    <t>Lack of lighting inside the dwelling / shelter</t>
  </si>
  <si>
    <t>Lack of lighting outside the dwelling / shelter</t>
  </si>
  <si>
    <t>Lack of privacy (e.g. no doors)</t>
  </si>
  <si>
    <t xml:space="preserve">Lack of space inside dwelling / shelter  </t>
  </si>
  <si>
    <t>Leaks when it rains</t>
  </si>
  <si>
    <t>Limited ventilation (e.g. no or poor air circulation) inside dwelling / shelter</t>
  </si>
  <si>
    <t>Some members of the household have difficulties moving inside or outside the dwelling</t>
  </si>
  <si>
    <t xml:space="preserve">Unable to lock the dwelling / shelter  </t>
  </si>
  <si>
    <t>Households reporting shelter issues that were NOT caused by the war broken down by proximity to the Frontline / Russian border on the admin of overall</t>
  </si>
  <si>
    <t>Households reporting shelter issues that were NOT caused by the war broken down by member with WGSS disability on the admin of overall</t>
  </si>
  <si>
    <t>Households reporting shelter issues that were NOT caused by the war broken down by displacement status of HoH on the admin of overall</t>
  </si>
  <si>
    <t>Households reporting shelter issues that were NOT caused by the war broken down by household size on the admin of overall</t>
  </si>
  <si>
    <t>Households reporting shelter issues that were NOT caused by the war broken down by single/joint headed HHs on the admin of overall</t>
  </si>
  <si>
    <t>Households reporting damage to their current shelter (caused by the war) broken down by rural / urban on the admin of overall</t>
  </si>
  <si>
    <t>Doors</t>
  </si>
  <si>
    <t>Roof</t>
  </si>
  <si>
    <t>Walls</t>
  </si>
  <si>
    <t>Windows</t>
  </si>
  <si>
    <t>Households reporting damage to their current shelter (caused by the war) broken down by proximity to the Frontline / Russian border on the admin of overall</t>
  </si>
  <si>
    <t>Households reporting damage to their current shelter (caused by the war) broken down by member with WGSS disability on the admin of overall</t>
  </si>
  <si>
    <t>Households reporting damage to their current shelter (caused by the war) broken down by displacement status of HoH on the admin of overall</t>
  </si>
  <si>
    <t>Households reporting damage to their current shelter (caused by the war) broken down by household size on the admin of overall</t>
  </si>
  <si>
    <t>Households reporting damage to their current shelter (caused by the war) broken down by single/joint headed HHs on the admin of overall</t>
  </si>
  <si>
    <t>Households assessing shelter damage in their current shelter broken down by rural / urban on the admin of overall</t>
  </si>
  <si>
    <t>Catastrophic / complete</t>
  </si>
  <si>
    <t>Insignificant</t>
  </si>
  <si>
    <t>Major</t>
  </si>
  <si>
    <t>Minor</t>
  </si>
  <si>
    <t>Moderate</t>
  </si>
  <si>
    <t>Households assessing shelter damage in their current shelter broken down by proximity to the Frontline / Russian border on the admin of overall</t>
  </si>
  <si>
    <t>Households assessing shelter damage in their current shelter broken down by member with WGSS disability on the admin of overall</t>
  </si>
  <si>
    <t>Households assessing shelter damage in their current shelter broken down by displacement status of HoH on the admin of overall</t>
  </si>
  <si>
    <t>Households assessing shelter damage in their current shelter broken down by household size on the admin of overall</t>
  </si>
  <si>
    <t>Households assessing shelter damage in their current shelter broken down by single/joint headed HHs on the admin of overall</t>
  </si>
  <si>
    <t>Households reportedly experiencing issues while cooking broken down by rural / urban on the admin of overall</t>
  </si>
  <si>
    <t>No, cannot do</t>
  </si>
  <si>
    <t>No, do not need to cook in current shelter</t>
  </si>
  <si>
    <t>Yes, with issues</t>
  </si>
  <si>
    <t>Yes, without any issues</t>
  </si>
  <si>
    <t>Households reportedly experiencing issues while cooking broken down by proximity to the Frontline / Russian border on the admin of overall</t>
  </si>
  <si>
    <t>Households reportedly experiencing issues while cooking broken down by member with WGSS disability on the admin of overall</t>
  </si>
  <si>
    <t>Households reportedly experiencing issues while cooking broken down by displacement status of HoH on the admin of overall</t>
  </si>
  <si>
    <t>Households reportedly experiencing issues while cooking broken down by household size on the admin of overall</t>
  </si>
  <si>
    <t>Households reportedly experiencing issues while cooking broken down by single/joint headed HHs on the admin of overall</t>
  </si>
  <si>
    <t>Households reportedly experiencing issues while sleeping broken down by rural / urban on the admin of overall</t>
  </si>
  <si>
    <t>Households reportedly experiencing issues while sleeping broken down by proximity to the Frontline / Russian border on the admin of overall</t>
  </si>
  <si>
    <t>Households reportedly experiencing issues while sleeping broken down by member with WGSS disability on the admin of overall</t>
  </si>
  <si>
    <t>Households reportedly experiencing issues while sleeping broken down by displacement status of HoH on the admin of overall</t>
  </si>
  <si>
    <t>Households reportedly experiencing issues while sleeping broken down by household size on the admin of overall</t>
  </si>
  <si>
    <t>Households reportedly experiencing issues while sleeping broken down by single/joint headed HHs on the admin of overall</t>
  </si>
  <si>
    <t>Households reporting main heating source last winter broken down by rural / urban on the admin of overall</t>
  </si>
  <si>
    <t>Briquettes</t>
  </si>
  <si>
    <t>Distrcit heating (centralized, through gas or electricity)</t>
  </si>
  <si>
    <t>Electricity (decentralized)</t>
  </si>
  <si>
    <t>Gas (decentralized)</t>
  </si>
  <si>
    <t>Wood or coal</t>
  </si>
  <si>
    <t>Households reporting main heating source last winter broken down by proximity to the Frontline / Russian border on the admin of overall</t>
  </si>
  <si>
    <t>Households reporting main heating source last winter broken down by member with WGSS disability on the admin of overall</t>
  </si>
  <si>
    <t>Households reporting main heating source last winter broken down by displacement status of HoH on the admin of overall</t>
  </si>
  <si>
    <t>Households reporting main heating source last winter broken down by household size on the admin of overall</t>
  </si>
  <si>
    <t>Households reporting main heating source last winter broken down by single/joint headed HHs on the admin of overall</t>
  </si>
  <si>
    <t>Households reportedly experiencing issues while storing food broken down by rural / urban on the admin of overall</t>
  </si>
  <si>
    <t>Households reportedly experiencing issues while storing food broken down by proximity to the Frontline / Russian border on the admin of overall</t>
  </si>
  <si>
    <t>Households reportedly experiencing issues while storing food broken down by member with WGSS disability on the admin of overall</t>
  </si>
  <si>
    <t>Households reportedly experiencing issues while storing food broken down by displacement status of HoH on the admin of overall</t>
  </si>
  <si>
    <t>Households reportedly experiencing issues while storing food broken down by household size on the admin of overall</t>
  </si>
  <si>
    <t>Households reportedly experiencing issues while storing food broken down by single/joint headed HHs on the admin of overall</t>
  </si>
  <si>
    <t>Households reportedly experiencing issues with electricity broken down by rural / urban on the admin of overall</t>
  </si>
  <si>
    <t>Insufficient electricity in terms of strength</t>
  </si>
  <si>
    <t>Intermittent electricity in terms of supply</t>
  </si>
  <si>
    <t>No electricity</t>
  </si>
  <si>
    <t>No issues</t>
  </si>
  <si>
    <t>Households reportedly experiencing issues with electricity broken down by proximity to the Frontline / Russian border on the admin of overall</t>
  </si>
  <si>
    <t>Households reportedly experiencing issues with electricity broken down by member with WGSS disability on the admin of overall</t>
  </si>
  <si>
    <t>Households reportedly experiencing issues with electricity broken down by displacement status of HoH on the admin of overall</t>
  </si>
  <si>
    <t>Households reportedly experiencing issues with electricity broken down by household size on the admin of overall</t>
  </si>
  <si>
    <t>Households reportedly experiencing issues with electricity broken down by single/joint headed HHs on the admin of overall</t>
  </si>
  <si>
    <t>Households reportedly experiencing utility interruptions broken down by rural / urban on the admin of overall</t>
  </si>
  <si>
    <t>Cold water supply</t>
  </si>
  <si>
    <t>Gas (decentralized or centralized)</t>
  </si>
  <si>
    <t>Hot water supply</t>
  </si>
  <si>
    <t>Internet</t>
  </si>
  <si>
    <t>Sewage</t>
  </si>
  <si>
    <t>Households reportedly experiencing utility interruptions broken down by proximity to the Frontline / Russian border on the admin of overall</t>
  </si>
  <si>
    <t>Households reportedly experiencing utility interruptions broken down by member with WGSS disability on the admin of overall</t>
  </si>
  <si>
    <t>Households reportedly experiencing utility interruptions broken down by displacement status of HoH on the admin of overall</t>
  </si>
  <si>
    <t>Households reportedly experiencing utility interruptions broken down by household size on the admin of overall</t>
  </si>
  <si>
    <t>Households reportedly experiencing utility interruptions broken down by single/joint headed HHs on the admin of overall</t>
  </si>
  <si>
    <t>Households reportedly having alternative energy sources  broken down by rural / urban on the admin of overall</t>
  </si>
  <si>
    <t>Households reportedly having alternative energy sources  broken down by proximity to the Frontline / Russian border on the admin of overall</t>
  </si>
  <si>
    <t>Households reportedly having alternative energy sources  broken down by member with WGSS disability on the admin of overall</t>
  </si>
  <si>
    <t>Households reportedly having alternative energy sources  broken down by displacement status of HoH on the admin of overall</t>
  </si>
  <si>
    <t>Households reportedly having alternative energy sources  broken down by household size on the admin of overall</t>
  </si>
  <si>
    <t>Households reportedly having alternative energy sources  broken down by single/joint headed HHs on the admin of overall</t>
  </si>
  <si>
    <t>Households reportedly having access to the Internet broken down by rural / urban on the admin of overall</t>
  </si>
  <si>
    <t>Always: 24hrs</t>
  </si>
  <si>
    <t>Never: 0hrs</t>
  </si>
  <si>
    <t>Often: 12-23hrs</t>
  </si>
  <si>
    <t>Sometimes: 1-11hrs</t>
  </si>
  <si>
    <t>Households reportedly having access to the Internet broken down by proximity to the Frontline / Russian border on the admin of overall</t>
  </si>
  <si>
    <t>Households reportedly having access to the Internet broken down by member with WGSS disability on the admin of overall</t>
  </si>
  <si>
    <t>Households reportedly having access to the Internet broken down by displacement status of HoH on the admin of overall</t>
  </si>
  <si>
    <t>Households reportedly having access to the Internet broken down by household size on the admin of overall</t>
  </si>
  <si>
    <t>Households reportedly having access to the Internet broken down by single/joint headed HHs on the admin of overall</t>
  </si>
  <si>
    <t>Households reporting main source of access to the Internet broken down by rural / urban on the admin of overall</t>
  </si>
  <si>
    <t>At community center Wi-Fi/computer</t>
  </si>
  <si>
    <t>At library Wi-Fi/computer</t>
  </si>
  <si>
    <t>From home Wi-Fi/computer</t>
  </si>
  <si>
    <t>From mobile internet network</t>
  </si>
  <si>
    <t>From work Wi-Fi/computer</t>
  </si>
  <si>
    <t>Other public space Wi-Fi/computer</t>
  </si>
  <si>
    <t>Households reporting main source of access to the Internet broken down by proximity to the Frontline / Russian border on the admin of overall</t>
  </si>
  <si>
    <t>Households reporting main source of access to the Internet broken down by member with WGSS disability on the admin of overall</t>
  </si>
  <si>
    <t>Households reporting main source of access to the Internet broken down by displacement status of HoH on the admin of overall</t>
  </si>
  <si>
    <t>Households reporting main source of access to the Internet broken down by household size on the admin of overall</t>
  </si>
  <si>
    <t>Households reporting main source of access to the Internet broken down by single/joint headed HHs on the admin of overall</t>
  </si>
  <si>
    <t>Households reporting distance to the nearest bomb shelter broken down by rural / urban on the admin of overall</t>
  </si>
  <si>
    <t>I am not aware of the location of the nearest bomb shelter</t>
  </si>
  <si>
    <t>Public bomb shelter is more than a 10-minute walk away from the shelter</t>
  </si>
  <si>
    <t>Public bomb shelter located less than a 10-min walk from the shelter</t>
  </si>
  <si>
    <t>There is no bomb shelter available</t>
  </si>
  <si>
    <t>Households reporting distance to the nearest bomb shelter broken down by proximity to the Frontline / Russian border on the admin of overall</t>
  </si>
  <si>
    <t>Households reporting distance to the nearest bomb shelter broken down by member with WGSS disability on the admin of overall</t>
  </si>
  <si>
    <t>Households reporting distance to the nearest bomb shelter broken down by displacement status of HoH on the admin of overall</t>
  </si>
  <si>
    <t>Households reporting distance to the nearest bomb shelter broken down by household size on the admin of overall</t>
  </si>
  <si>
    <t>Households reporting distance to the nearest bomb shelter broken down by single/joint headed HHs on the admin of overall</t>
  </si>
  <si>
    <t>Households reporting damage to the shelter in their area of origin (for IDP members) broken down by rural / urban on the admin of overall</t>
  </si>
  <si>
    <t>Nobody in the household is displaced</t>
  </si>
  <si>
    <t>Households reporting damage to the shelter in their area of origin (for IDP members) broken down by proximity to the Frontline / Russian border on the admin of overall</t>
  </si>
  <si>
    <t>Households reporting damage to the shelter in their area of origin (for IDP members) broken down by member with WGSS disability on the admin of overall</t>
  </si>
  <si>
    <t>Households reporting damage to the shelter in their area of origin (for IDP members) broken down by displacement status of HoH on the admin of overall</t>
  </si>
  <si>
    <t>Households reporting damage to the shelter in their area of origin (for IDP members) broken down by household size on the admin of overall</t>
  </si>
  <si>
    <t>Households reporting damage to the shelter in their area of origin (for IDP members) broken down by single/joint headed HHs on the admin of overall</t>
  </si>
  <si>
    <t>Households assessing shelter damage in their shelter in area of origin broken down by rural / urban on the admin of overall</t>
  </si>
  <si>
    <t>Households assessing shelter damage in their shelter in area of origin broken down by proximity to the Frontline / Russian border on the admin of overall</t>
  </si>
  <si>
    <t>Households assessing shelter damage in their shelter in area of origin broken down by member with WGSS disability on the admin of overall</t>
  </si>
  <si>
    <t>Households assessing shelter damage in their shelter in area of origin broken down by displacement status of HoH on the admin of overall</t>
  </si>
  <si>
    <t>Households assessing shelter damage in their shelter in area of origin broken down by household size on the admin of overall</t>
  </si>
  <si>
    <t>Households assessing shelter damage in their shelter in area of origin broken down by single/joint headed HHs on the admin of overall</t>
  </si>
  <si>
    <t>Households reporting their main source of drinking water broken down by rural / urban on the admin of overall</t>
  </si>
  <si>
    <t>Bottled water (water purchased in bottles)</t>
  </si>
  <si>
    <t>Piped into compound, yard or plot</t>
  </si>
  <si>
    <t>Piped to neighbour</t>
  </si>
  <si>
    <t>Protected spring</t>
  </si>
  <si>
    <t>Protected well</t>
  </si>
  <si>
    <t>Public tap/standpipe</t>
  </si>
  <si>
    <t>Public well or boreholes (shared access)</t>
  </si>
  <si>
    <t>Rainwater collection</t>
  </si>
  <si>
    <t>Sachet water</t>
  </si>
  <si>
    <t>Surface water (river, dam, lake, pond, stream, canal, irrigation channel)</t>
  </si>
  <si>
    <t>Tap drinking water / Piped into dwelling</t>
  </si>
  <si>
    <t>Technical piped water</t>
  </si>
  <si>
    <t>Trucked in water (truck with a tank etc)</t>
  </si>
  <si>
    <t>Unprotected spring</t>
  </si>
  <si>
    <t>Unprotected well</t>
  </si>
  <si>
    <t>Water kiosk (booth with water for bottling)</t>
  </si>
  <si>
    <t>Households reporting their main source of drinking water broken down by proximity to the Frontline / Russian border on the admin of overall</t>
  </si>
  <si>
    <t>Households reporting their main source of drinking water broken down by member with WGSS disability on the admin of overall</t>
  </si>
  <si>
    <t>Households reporting their main source of drinking water broken down by displacement status of HoH on the admin of overall</t>
  </si>
  <si>
    <t>Households reporting their main source of drinking water broken down by household size on the admin of overall</t>
  </si>
  <si>
    <t>Households reporting their main source of drinking water broken down by single/joint headed HHs on the admin of overall</t>
  </si>
  <si>
    <t>Time reported by Households to Fetch Water from Main Source of Water used for Drinking overall broken down by rural / urban on the admin of overall</t>
  </si>
  <si>
    <t>Time reported by Households to Fetch Water from Main Source of Water used for Drinking overall broken down by proximity to the Frontline / Russian border on the admin of overall</t>
  </si>
  <si>
    <t>Time reported by Households to Fetch Water from Main Source of Water used for Drinking overall broken down by member with WGSS disability on the admin of overall</t>
  </si>
  <si>
    <t>Time reported by Households to Fetch Water from Main Source of Water used for Drinking overall broken down by displacement status of HoH on the admin of overall</t>
  </si>
  <si>
    <t>Time reported by Households to Fetch Water from Main Source of Water used for Drinking overall broken down by household size on the admin of overall</t>
  </si>
  <si>
    <t>Time reported by Households to Fetch Water from Main Source of Water used for Drinking overall broken down by single/joint headed HHs on the admin of overall</t>
  </si>
  <si>
    <t>Households assessing drinking water from their main source broken down by rural / urban on the admin of overall</t>
  </si>
  <si>
    <t>Bad</t>
  </si>
  <si>
    <t>Good</t>
  </si>
  <si>
    <t>Neither good nor bad</t>
  </si>
  <si>
    <t>Very bad</t>
  </si>
  <si>
    <t>Very good</t>
  </si>
  <si>
    <t>Households assessing drinking water from their main source broken down by proximity to the Frontline / Russian border on the admin of overall</t>
  </si>
  <si>
    <t>Households assessing drinking water from their main source broken down by member with WGSS disability on the admin of overall</t>
  </si>
  <si>
    <t>Households assessing drinking water from their main source broken down by displacement status of HoH on the admin of overall</t>
  </si>
  <si>
    <t>Households assessing drinking water from their main source broken down by household size on the admin of overall</t>
  </si>
  <si>
    <t>Households assessing drinking water from their main source broken down by single/joint headed HHs on the admin of overall</t>
  </si>
  <si>
    <t>Households reportedly treating drinking water from their main source broken down by rural / urban on the admin of overall</t>
  </si>
  <si>
    <t>No, need to but cannot treat the water</t>
  </si>
  <si>
    <t>No, no need to treat the water</t>
  </si>
  <si>
    <t>Households reportedly treating drinking water from their main source broken down by proximity to the Frontline / Russian border on the admin of overall</t>
  </si>
  <si>
    <t>Households reportedly treating drinking water from their main source broken down by member with WGSS disability on the admin of overall</t>
  </si>
  <si>
    <t>Households reportedly treating drinking water from their main source broken down by displacement status of HoH on the admin of overall</t>
  </si>
  <si>
    <t>Households reportedly treating drinking water from their main source broken down by household size on the admin of overall</t>
  </si>
  <si>
    <t>Households reportedly treating drinking water from their main source broken down by single/joint headed HHs on the admin of overall</t>
  </si>
  <si>
    <t>Households reporting days without sufficient drinking water in the last 4 weeks broken down by rural / urban on the admin of overall</t>
  </si>
  <si>
    <t>Households reporting days without sufficient drinking water in the last 4 weeks broken down by proximity to the Frontline / Russian border on the admin of overall</t>
  </si>
  <si>
    <t>Households reporting days without sufficient drinking water in the last 4 weeks broken down by member with WGSS disability on the admin of overall</t>
  </si>
  <si>
    <t>Households reporting days without sufficient drinking water in the last 4 weeks broken down by displacement status of HoH on the admin of overall</t>
  </si>
  <si>
    <t>Households reporting days without sufficient drinking water in the last 4 weeks broken down by household size on the admin of overall</t>
  </si>
  <si>
    <t>Households reporting days without sufficient drinking water in the last 4 weeks broken down by single/joint headed HHs on the admin of overall</t>
  </si>
  <si>
    <t>Households reporting sources of water for domestic purposes broken down by rural / urban on the admin of overall</t>
  </si>
  <si>
    <t xml:space="preserve">Bottled water (water purchased in bottles) </t>
  </si>
  <si>
    <t>Cart with small tank / drum</t>
  </si>
  <si>
    <t xml:space="preserve">Protected well </t>
  </si>
  <si>
    <t xml:space="preserve">Public well or boreholes (shared access) </t>
  </si>
  <si>
    <t xml:space="preserve">Surface water (river, dam, lake, pond, stream, canal, irrigation channel) </t>
  </si>
  <si>
    <t>Tanker-truck</t>
  </si>
  <si>
    <t xml:space="preserve">Trucked in water (truck with a tank etc) </t>
  </si>
  <si>
    <t xml:space="preserve">Unprotected spring </t>
  </si>
  <si>
    <t>Households reporting sources of water for domestic purposes broken down by proximity to the Frontline / Russian border on the admin of overall</t>
  </si>
  <si>
    <t>Households reporting sources of water for domestic purposes broken down by member with WGSS disability on the admin of overall</t>
  </si>
  <si>
    <t>Households reporting sources of water for domestic purposes broken down by displacement status of HoH on the admin of overall</t>
  </si>
  <si>
    <t>Households reporting sources of water for domestic purposes broken down by household size on the admin of overall</t>
  </si>
  <si>
    <t>Households reporting sources of water for domestic purposes broken down by single/joint headed HHs on the admin of overall</t>
  </si>
  <si>
    <t>Households reporting having enough water for technical needs broken down by rural / urban on the admin of overall</t>
  </si>
  <si>
    <t>Cooking</t>
  </si>
  <si>
    <t>Flushing toilet</t>
  </si>
  <si>
    <t>Laundry and cleaning</t>
  </si>
  <si>
    <t>Personal hygiene</t>
  </si>
  <si>
    <t>Households reporting having enough water for technical needs broken down by proximity to the Frontline / Russian border on the admin of overall</t>
  </si>
  <si>
    <t>Households reporting having enough water for technical needs broken down by member with WGSS disability on the admin of overall</t>
  </si>
  <si>
    <t>Households reporting having enough water for technical needs broken down by displacement status of HoH on the admin of overall</t>
  </si>
  <si>
    <t>Households reporting having enough water for technical needs broken down by household size on the admin of overall</t>
  </si>
  <si>
    <t>Households reporting having enough water for technical needs broken down by single/joint headed HHs on the admin of overall</t>
  </si>
  <si>
    <t>Households reportedly having issues with performing personal hygiene broken down by rural / urban on the admin of overall</t>
  </si>
  <si>
    <t>Households reportedly having issues with performing personal hygiene broken down by proximity to the Frontline / Russian border on the admin of overall</t>
  </si>
  <si>
    <t>Households reportedly having issues with performing personal hygiene broken down by member with WGSS disability on the admin of overall</t>
  </si>
  <si>
    <t>Households reportedly having issues with performing personal hygiene broken down by displacement status of HoH on the admin of overall</t>
  </si>
  <si>
    <t>Households reportedly having issues with performing personal hygiene broken down by household size on the admin of overall</t>
  </si>
  <si>
    <t>Households reportedly having issues with performing personal hygiene broken down by single/joint headed HHs on the admin of overall</t>
  </si>
  <si>
    <t>Reasons why households reported issues with performing personal hygiene broken down by rural / urban on the admin of overall</t>
  </si>
  <si>
    <t>Availability of hot water</t>
  </si>
  <si>
    <t>Availability of water</t>
  </si>
  <si>
    <t>Inadequate space (e.g. not covered space, leaks when it rains, space not meant for washing)</t>
  </si>
  <si>
    <t>Insufficient essential household items for hygiene (e.g. soap, etc.)</t>
  </si>
  <si>
    <t>Insufficient space (e.g. lack of privacy, partitions)</t>
  </si>
  <si>
    <t>No hygiene facility within the shelter</t>
  </si>
  <si>
    <t>Unsafe space</t>
  </si>
  <si>
    <t>Reasons why households reported issues with performing personal hygiene broken down by proximity to the Frontline / Russian border on the admin of overall</t>
  </si>
  <si>
    <t>Reasons why households reported issues with performing personal hygiene broken down by member with WGSS disability on the admin of overall</t>
  </si>
  <si>
    <t>Reasons why households reported issues with performing personal hygiene broken down by displacement status of HoH on the admin of overall</t>
  </si>
  <si>
    <t>Reasons why households reported issues with performing personal hygiene broken down by household size on the admin of overall</t>
  </si>
  <si>
    <t>Reasons why households reported issues with performing personal hygiene broken down by single/joint headed HHs on the admin of overall</t>
  </si>
  <si>
    <t>Main handwashing facilities reported by households broken down by rural / urban on the admin of overall</t>
  </si>
  <si>
    <t>Fixed facility reported (sink/tap) in dwelling</t>
  </si>
  <si>
    <t>Fixed facility reported (sink/tap) in yard/plot</t>
  </si>
  <si>
    <t>Mobile object reported (bucket/jug/kettle)</t>
  </si>
  <si>
    <t>No handwashing place in dwelling/yard/plot</t>
  </si>
  <si>
    <t>Main handwashing facilities reported by households broken down by proximity to the Frontline / Russian border on the admin of overall</t>
  </si>
  <si>
    <t>Main handwashing facilities reported by households broken down by member with WGSS disability on the admin of overall</t>
  </si>
  <si>
    <t>Main handwashing facilities reported by households broken down by displacement status of HoH on the admin of overall</t>
  </si>
  <si>
    <t>Main handwashing facilities reported by households broken down by household size on the admin of overall</t>
  </si>
  <si>
    <t>Main handwashing facilities reported by households broken down by single/joint headed HHs on the admin of overall</t>
  </si>
  <si>
    <t>Households reportedly having soap in their household broken down by rural / urban on the admin of overall</t>
  </si>
  <si>
    <t>Households reportedly having soap in their household broken down by proximity to the Frontline / Russian border on the admin of overall</t>
  </si>
  <si>
    <t>Households reportedly having soap in their household broken down by member with WGSS disability on the admin of overall</t>
  </si>
  <si>
    <t>Households reportedly having soap in their household broken down by displacement status of HoH on the admin of overall</t>
  </si>
  <si>
    <t>Households reportedly having soap in their household broken down by household size on the admin of overall</t>
  </si>
  <si>
    <t>Households reportedly having soap in their household broken down by single/joint headed HHs on the admin of overall</t>
  </si>
  <si>
    <t>Households reporting main toilet facility in their household broken down by rural / urban on the admin of overall</t>
  </si>
  <si>
    <t>Bucket</t>
  </si>
  <si>
    <t>Composting toilet</t>
  </si>
  <si>
    <t>Flush to don’t know where</t>
  </si>
  <si>
    <t>Flush to elsewhere</t>
  </si>
  <si>
    <t>Flush to open drain</t>
  </si>
  <si>
    <t>Flush to piped sewer system</t>
  </si>
  <si>
    <t>Flush to pit latrine</t>
  </si>
  <si>
    <t>Flush to septic tank</t>
  </si>
  <si>
    <t>Hanging toilet/hanging latrine</t>
  </si>
  <si>
    <t>Pit latrine with slab</t>
  </si>
  <si>
    <t>Pit latrine without slab / open pit</t>
  </si>
  <si>
    <t>Households reporting main toilet facility in their household broken down by proximity to the Frontline / Russian border on the admin of overall</t>
  </si>
  <si>
    <t>Households reporting main toilet facility in their household broken down by member with WGSS disability on the admin of overall</t>
  </si>
  <si>
    <t>Households reporting main toilet facility in their household broken down by displacement status of HoH on the admin of overall</t>
  </si>
  <si>
    <t>Households reporting main toilet facility in their household broken down by household size on the admin of overall</t>
  </si>
  <si>
    <t>Households reporting main toilet facility in their household broken down by single/joint headed HHs on the admin of overall</t>
  </si>
  <si>
    <t>Households that reportedly share their sanitation facility broken down by rural / urban on the admin of overall</t>
  </si>
  <si>
    <t>Households that reportedly share their sanitation facility broken down by proximity to the Frontline / Russian border on the admin of overall</t>
  </si>
  <si>
    <t>Households that reportedly share their sanitation facility broken down by member with WGSS disability on the admin of overall</t>
  </si>
  <si>
    <t>Households that reportedly share their sanitation facility broken down by displacement status of HoH on the admin of overall</t>
  </si>
  <si>
    <t>Households that reportedly share their sanitation facility broken down by household size on the admin of overall</t>
  </si>
  <si>
    <t>Households that reportedly share their sanitation facility broken down by single/joint headed HHs on the admin of overall</t>
  </si>
  <si>
    <t>Number of Households Sharing Sanitation Facility Reported overall broken down by rural / urban on the admin of overall</t>
  </si>
  <si>
    <t>Number of Households Sharing Sanitation Facility Reported overall broken down by proximity to the Frontline / Russian border on the admin of overall</t>
  </si>
  <si>
    <t>Number of Households Sharing Sanitation Facility Reported overall broken down by member with WGSS disability on the admin of overall</t>
  </si>
  <si>
    <t>Number of Households Sharing Sanitation Facility Reported overall broken down by displacement status of HoH on the admin of overall</t>
  </si>
  <si>
    <t>Number of Households Sharing Sanitation Facility Reported overall broken down by household size on the admin of overall</t>
  </si>
  <si>
    <t>Number of Households Sharing Sanitation Facility Reported overall broken down by single/joint headed HHs on the admin of overall</t>
  </si>
  <si>
    <t>Households reportedly having access to adequate toilets broken down by rural / urban on the admin of overall</t>
  </si>
  <si>
    <t>Households reportedly having access to adequate toilets broken down by proximity to the Frontline / Russian border on the admin of overall</t>
  </si>
  <si>
    <t>Households reportedly having access to adequate toilets broken down by member with WGSS disability on the admin of overall</t>
  </si>
  <si>
    <t>Households reportedly having access to adequate toilets broken down by displacement status of HoH on the admin of overall</t>
  </si>
  <si>
    <t>Households reportedly having access to adequate toilets broken down by household size on the admin of overall</t>
  </si>
  <si>
    <t>Households reportedly having access to adequate toilets broken down by single/joint headed HHs on the admin of overall</t>
  </si>
  <si>
    <t>Most Common Garbage Disposal Method Reported by Households broken down by rural / urban on the admin of overall</t>
  </si>
  <si>
    <t>We burn all the garbage</t>
  </si>
  <si>
    <t>We dispose of garbage in unauthorized places (like forests, fields, etc.)</t>
  </si>
  <si>
    <t>We partially burn garbage and dispose of the rest in a pit latrine or similar</t>
  </si>
  <si>
    <t>We sort waste and recycle</t>
  </si>
  <si>
    <t>We take the garbage to a designated dumpsite ourselves</t>
  </si>
  <si>
    <t>We use a specialized waste collection service for regular disposal</t>
  </si>
  <si>
    <t>Most Common Garbage Disposal Method Reported by Households broken down by proximity to the Frontline / Russian border on the admin of overall</t>
  </si>
  <si>
    <t>Most Common Garbage Disposal Method Reported by Households broken down by member with WGSS disability on the admin of overall</t>
  </si>
  <si>
    <t>Most Common Garbage Disposal Method Reported by Households broken down by displacement status of HoH on the admin of overall</t>
  </si>
  <si>
    <t>Most Common Garbage Disposal Method Reported by Households broken down by household size on the admin of overall</t>
  </si>
  <si>
    <t>Most Common Garbage Disposal Method Reported by Households broken down by single/joint headed HHs on the admin of overall</t>
  </si>
  <si>
    <t>Households reportedly facing issues with their sewage broken down by rural / urban on the admin of overall</t>
  </si>
  <si>
    <t>No, my household does not handle this service</t>
  </si>
  <si>
    <t>No, there are no problems</t>
  </si>
  <si>
    <t>Yes, emptying the sewage is not possible due to technical reasons (peculiarities of construction, it is impossible to reach it by car, etc.)</t>
  </si>
  <si>
    <t>Yes, it is dirty</t>
  </si>
  <si>
    <t>Yes, it is expensive, high price of the service</t>
  </si>
  <si>
    <t>Yes, pumping services are not available in the area</t>
  </si>
  <si>
    <t>Yes, special car/service refuses to come</t>
  </si>
  <si>
    <t>Households reportedly facing issues with their sewage broken down by proximity to the Frontline / Russian border on the admin of overall</t>
  </si>
  <si>
    <t>Households reportedly facing issues with their sewage broken down by member with WGSS disability on the admin of overall</t>
  </si>
  <si>
    <t>Households reportedly facing issues with their sewage broken down by displacement status of HoH on the admin of overall</t>
  </si>
  <si>
    <t>Households reportedly facing issues with their sewage broken down by household size on the admin of overall</t>
  </si>
  <si>
    <t>Households reportedly facing issues with their sewage broken down by single/joint headed HHs on the admin of overall</t>
  </si>
  <si>
    <t>Households reportedly struggling to obtain enough money to cover basic needs broken down by rural / urban on the admin of overall</t>
  </si>
  <si>
    <t>Households reportedly struggling to obtain enough money to cover basic needs broken down by proximity to the Frontline / Russian border on the admin of overall</t>
  </si>
  <si>
    <t>Households reportedly struggling to obtain enough money to cover basic needs broken down by member with WGSS disability on the admin of overall</t>
  </si>
  <si>
    <t>Households reportedly struggling to obtain enough money to cover basic needs broken down by displacement status of HoH on the admin of overall</t>
  </si>
  <si>
    <t>Households reportedly struggling to obtain enough money to cover basic needs broken down by household size on the admin of overall</t>
  </si>
  <si>
    <t>Households reportedly struggling to obtain enough money to cover basic needs broken down by single/joint headed HHs on the admin of overall</t>
  </si>
  <si>
    <t>Main Challenges Reported by Households to Obtain Money to Meet Basic Needs broken down by rural / urban on the admin of overall</t>
  </si>
  <si>
    <t>Did not receive pensions / social benefits</t>
  </si>
  <si>
    <t>Did not receive salary or wages</t>
  </si>
  <si>
    <t>Lack of livelihood opportunities / unemployment</t>
  </si>
  <si>
    <t>Pensions / social benefit amounts were too low</t>
  </si>
  <si>
    <t>Prices increased</t>
  </si>
  <si>
    <t>Salary or wages were too low</t>
  </si>
  <si>
    <t>Unable to access money because could not travel to financial institution (e.g. due to safety concerns, no transportation, etc.)</t>
  </si>
  <si>
    <t>Unable to access money because financial institution not functioning or partially functioning (e.g. banks closed)</t>
  </si>
  <si>
    <t>Main Challenges Reported by Households to Obtain Money to Meet Basic Needs broken down by proximity to the Frontline / Russian border on the admin of overall</t>
  </si>
  <si>
    <t>Main Challenges Reported by Households to Obtain Money to Meet Basic Needs broken down by member with WGSS disability on the admin of overall</t>
  </si>
  <si>
    <t>Main Challenges Reported by Households to Obtain Money to Meet Basic Needs broken down by displacement status of HoH on the admin of overall</t>
  </si>
  <si>
    <t>Main Challenges Reported by Households to Obtain Money to Meet Basic Needs broken down by household size on the admin of overall</t>
  </si>
  <si>
    <t>Main Challenges Reported by Households to Obtain Money to Meet Basic Needs broken down by single/joint headed HHs on the admin of overall</t>
  </si>
  <si>
    <t>Reduced Coping Strategies Index (rCSI) broken down by rural / urban on the admin of overall</t>
  </si>
  <si>
    <t>High</t>
  </si>
  <si>
    <t>Low</t>
  </si>
  <si>
    <t>Medium</t>
  </si>
  <si>
    <t>Reduced Coping Strategies Index (rCSI) broken down by proximity to the Frontline / Russian border on the admin of overall</t>
  </si>
  <si>
    <t>Reduced Coping Strategies Index (rCSI) broken down by member with WGSS disability on the admin of overall</t>
  </si>
  <si>
    <t>Reduced Coping Strategies Index (rCSI) broken down by displacement status of HoH on the admin of overall</t>
  </si>
  <si>
    <t>Reduced Coping Strategies Index (rCSI) broken down by household size on the admin of overall</t>
  </si>
  <si>
    <t>Reduced Coping Strategies Index (rCSI) broken down by single/joint headed HHs on the admin of overall</t>
  </si>
  <si>
    <t>Household Hunger Scale (HHS) broken down by rural / urban on the admin of overall</t>
  </si>
  <si>
    <t>No or little</t>
  </si>
  <si>
    <t>Severe</t>
  </si>
  <si>
    <t>Household Hunger Scale (HHS) broken down by proximity to the Frontline / Russian border on the admin of overall</t>
  </si>
  <si>
    <t>Household Hunger Scale (HHS) broken down by member with WGSS disability on the admin of overall</t>
  </si>
  <si>
    <t>Household Hunger Scale (HHS) broken down by displacement status of HoH on the admin of overall</t>
  </si>
  <si>
    <t>Household Hunger Scale (HHS) broken down by household size on the admin of overall</t>
  </si>
  <si>
    <t>Household Hunger Scale (HHS) broken down by single/joint headed HHs on the admin of overall</t>
  </si>
  <si>
    <t>K_2 Households reporting first most significant challenge their household currently faces broken down by gender of respondents on the admin of overall</t>
  </si>
  <si>
    <t>perc_K_2 Households reporting first most significant challenge their household currently faces</t>
  </si>
  <si>
    <t>perc_K_2 Households reporting second most significant challenge their household currently faces</t>
  </si>
  <si>
    <t>perc_K_2 Households reporting third most significant challenge their household currently faces</t>
  </si>
  <si>
    <t>Children in household not attending school or receiving insufficient education</t>
  </si>
  <si>
    <t>Lack of /insufficient access a suitable living space (e.g. housing is damaged, housing is sub-standard, etc.)</t>
  </si>
  <si>
    <t>Lack of /insufficient access to a clean toilet and washing place</t>
  </si>
  <si>
    <t>Lack of /insufficient access to adequate healthcare</t>
  </si>
  <si>
    <t>Lack of /insufficient access to energy (e.g. heating, lighting, electricity, cooking fuels, etc.)</t>
  </si>
  <si>
    <t>Lack of /insufficient access to enough water for drinking</t>
  </si>
  <si>
    <t>Lack of /insufficient access to government social services</t>
  </si>
  <si>
    <t>Lack of /insufficient access to humanitarian aid</t>
  </si>
  <si>
    <t>Lack of /insufficient access to job / livelihoods</t>
  </si>
  <si>
    <t>Lack of /insufficient access to legal system</t>
  </si>
  <si>
    <t>Lack of /insufficient access to necessary non-food items (e.g. winter clothing, light bulbs, etc.)</t>
  </si>
  <si>
    <t>Lack of /insufficient access to sufficient quantity or quality of food</t>
  </si>
  <si>
    <t>Lack of /insufficient income or money</t>
  </si>
  <si>
    <t>Lack of safety or protection due to conflict, violence, or crime</t>
  </si>
  <si>
    <t>Household members feeling very distressed, upset, sad, worried, scared, or angry</t>
  </si>
  <si>
    <t>Lack of / insufficient heating during the winter</t>
  </si>
  <si>
    <t>Lack of /insufficient access to enough water for non-drinking purposes</t>
  </si>
  <si>
    <t>Lack of /insufficient access to hygiene materials (e.g. cleaning products, soap, etc.)</t>
  </si>
  <si>
    <t>Lack of /insufficient access to productive assets (e.g. any items used to help generate income, ex. sewing machine, tools)</t>
  </si>
  <si>
    <t>Women do not feel safe enough in the community</t>
  </si>
  <si>
    <t>Lack of /insufficient access to communication means</t>
  </si>
  <si>
    <t>K_2 Households reporting first most significant challenge their household currently faces broken down by age of respondents on the admin of overall</t>
  </si>
  <si>
    <t>K_2 Households reporting first most significant challenge their household currently faces broken down by rural / urban on the admin of overall</t>
  </si>
  <si>
    <t>K_2 Households reporting first most significant challenge their household currently faces broken down by proximity to the Frontline / Russian border on the admin of overall</t>
  </si>
  <si>
    <t>K_2 Households reporting first most significant challenge their household currently faces broken down by member with WGSS disability on the admin of overall</t>
  </si>
  <si>
    <t>K_2 Households reporting first most significant challenge their household currently faces broken down by displacement status of HoH on the admin of overall</t>
  </si>
  <si>
    <t>K_2 Households reporting first most significant challenge their household currently faces broken down by household size on the admin of overall</t>
  </si>
  <si>
    <t>K_2 Households reporting first most significant challenge their household currently faces broken down by single/joint headed HHs on the admin of overall</t>
  </si>
  <si>
    <t>Support households reportedly would like to receive broken down by gender of respondent on the admin of overall</t>
  </si>
  <si>
    <t>Access to energy (lighting, electricity, cooking fuels) </t>
  </si>
  <si>
    <t>Access to fuel sources for winter heating </t>
  </si>
  <si>
    <t>Cash </t>
  </si>
  <si>
    <t>Communication means </t>
  </si>
  <si>
    <t>Dignity kits </t>
  </si>
  <si>
    <t>E-recovery programme (benefits for damaged housing) </t>
  </si>
  <si>
    <t>Education for children under 18 </t>
  </si>
  <si>
    <t>Feminine hygiene products </t>
  </si>
  <si>
    <t>Food </t>
  </si>
  <si>
    <t>Healthcare </t>
  </si>
  <si>
    <t>Legal services (e.g. access to civil documentation) </t>
  </si>
  <si>
    <t>Livelihoods support / employment </t>
  </si>
  <si>
    <t>Monthly assistance to IDPs </t>
  </si>
  <si>
    <t>Nutrition (e.g. special nutritious foods for child/PLW, infant formula, nutrition supplements)</t>
  </si>
  <si>
    <t>One-time cash assistance to injured persons and IDPs </t>
  </si>
  <si>
    <t>Other essential household and personal items (clothes, blanket, cooking items, sleeping items, storing food) </t>
  </si>
  <si>
    <t>Other essential hygiene items (e.g. cleaning products, soap, etc.) </t>
  </si>
  <si>
    <t>Psychosocial support </t>
  </si>
  <si>
    <t>Sanitation services (e.g. toilets, waste collection) </t>
  </si>
  <si>
    <t>Shelter / housing (excluding E-recovery programme) </t>
  </si>
  <si>
    <t>Support debt repayment</t>
  </si>
  <si>
    <t>Support for protection / safety (e.g. training on mines and UXOs) </t>
  </si>
  <si>
    <t>Water for drinking</t>
  </si>
  <si>
    <t>Water for non-drinking purposes</t>
  </si>
  <si>
    <t>Support households reportedly would like to receive broken down by age of respondents on the admin of overall</t>
  </si>
  <si>
    <t>Support households reportedly would like to receive broken down by rural / urban on the admin of overall</t>
  </si>
  <si>
    <t>Support households reportedly would like to receive broken down by proximity to the Frontline / Russian border on the admin of overall</t>
  </si>
  <si>
    <t>Support households reportedly would like to receive broken down by member with WGSS disability on the admin of overall</t>
  </si>
  <si>
    <t>Support households reportedly would like to receive broken down by displacement status of HoH on the admin of overall</t>
  </si>
  <si>
    <t>Support households reportedly would like to receive broken down by household size on the admin of overall</t>
  </si>
  <si>
    <t>Support households reportedly would like to receive broken down by single/joint headed HHs on the admin of overall</t>
  </si>
  <si>
    <t>Aid households reportedly would like to receive broken down by gender of respondent on the admin of overall</t>
  </si>
  <si>
    <t>Cash (one multipurpose payment)</t>
  </si>
  <si>
    <t>Cash (separate payments)</t>
  </si>
  <si>
    <t>Do not need aid</t>
  </si>
  <si>
    <t>In-kind</t>
  </si>
  <si>
    <t>Other modality (specify)</t>
  </si>
  <si>
    <t>Services</t>
  </si>
  <si>
    <t>Vouchers</t>
  </si>
  <si>
    <t>Aid households reportedly would like to receive broken down by age of respondents on the admin of overall</t>
  </si>
  <si>
    <t>Aid households reportedly would like to receive broken down by rural / urban on the admin of overall</t>
  </si>
  <si>
    <t>Aid households reportedly would like to receive broken down by proximity to the Frontline / Russian border on the admin of overall</t>
  </si>
  <si>
    <t>Aid households reportedly would like to receive broken down by member with WGSS disability on the admin of overall</t>
  </si>
  <si>
    <t>Aid households reportedly would like to receive broken down by displacement status of HoH on the admin of overall</t>
  </si>
  <si>
    <t>Aid households reportedly would like to receive broken down by household size on the admin of overall</t>
  </si>
  <si>
    <t>Aid households reportedly would like to receive broken down by single/joint headed HHs on the admin of overall</t>
  </si>
  <si>
    <t>Preferred modality of assistance per aid type broken down by gender of respondent on the admin of overall</t>
  </si>
  <si>
    <t>perc_K_6 Type of assisstance (feminine hygiene aid) households would like to receive</t>
  </si>
  <si>
    <t>perc_K_7 Type of assisstance (other hygiene items) households would like to receive</t>
  </si>
  <si>
    <t>perc_K_8 Type of assisstance (non-food items) households would like to receive</t>
  </si>
  <si>
    <t>perc_K_9 Type of assisstance (education) households would like to receive</t>
  </si>
  <si>
    <t>perc_K_10 Type of assisstance (fuel sources for heating) households would like to receive</t>
  </si>
  <si>
    <t>Yes, in-cash</t>
  </si>
  <si>
    <t>Yes, in-kind</t>
  </si>
  <si>
    <t>Yes, services</t>
  </si>
  <si>
    <t>K_11 Households Reported to have Received Humanitarian Assistance in the Last 12 months broken down by gender of respondent on the admin of overall</t>
  </si>
  <si>
    <t>1 to 3 months ago</t>
  </si>
  <si>
    <t>4 to 6 months ago</t>
  </si>
  <si>
    <t>7 to 12 months ago</t>
  </si>
  <si>
    <t>In the past 30 days</t>
  </si>
  <si>
    <t>More than 12 months ago</t>
  </si>
  <si>
    <t>Never receieved aid</t>
  </si>
  <si>
    <t>Preferred modality of assistance per aid type broken down by age of respondents on the admin of overall</t>
  </si>
  <si>
    <t>K_11 Households Reported to have Received Humanitarian Assistance in the Last 12 months broken down by age of respondents on the admin of overall</t>
  </si>
  <si>
    <t>Preferred modality of assistance per aid type broken down by rural / urban on the admin of overall</t>
  </si>
  <si>
    <t>K_11 Households Reported to have Received Humanitarian Assistance in the Last 12 months broken down by rural / urban on the admin of overall</t>
  </si>
  <si>
    <t>Preferred modality of assistance per aid type broken down by proximity to the Frontline / Russian border on the admin of overall</t>
  </si>
  <si>
    <t>K_11 Households Reported to have Received Humanitarian Assistance in the Last 12 months broken down by proximity to the Frontline / Russian border on the admin of overall</t>
  </si>
  <si>
    <t>Preferred modality of assistance per aid type broken down by member with WGSS disability on the admin of overall</t>
  </si>
  <si>
    <t>K_11 Households Reported to have Received Humanitarian Assistance in the Last 12 months broken down by member with WGSS disability on the admin of overall</t>
  </si>
  <si>
    <t>Preferred modality of assistance per aid type broken down by displacement status of HoH on the admin of overall</t>
  </si>
  <si>
    <t>K_11 Households Reported to have Received Humanitarian Assistance in the Last 12 months broken down by displacement status of HoH on the admin of overall</t>
  </si>
  <si>
    <t>Preferred modality of assistance per aid type broken down by household size on the admin of overall</t>
  </si>
  <si>
    <t>K_11 Households Reported to have Received Humanitarian Assistance in the Last 12 months broken down by household size on the admin of overall</t>
  </si>
  <si>
    <t>Preferred modality of assistance per aid type broken down by single/joint headed HHs on the admin of overall</t>
  </si>
  <si>
    <t>K_11 Households Reported to have Received Humanitarian Assistance in the Last 12 months broken down by single/joint headed HHs on the admin of overall</t>
  </si>
  <si>
    <t>Barriers Households reportedly faced during accessing aid broken down by gender of respondent on the admin of overall</t>
  </si>
  <si>
    <t>Did not attempt to receive any assistance in the past 12 months</t>
  </si>
  <si>
    <t>Yes, assistance not (regularly) available or functioning in area</t>
  </si>
  <si>
    <t>Yes, assistance not meeting household's needs</t>
  </si>
  <si>
    <t xml:space="preserve">Yes, difficulty to physically access assistance (e.g. long distances) </t>
  </si>
  <si>
    <t>Yes, discrimination</t>
  </si>
  <si>
    <t xml:space="preserve">Yes, do not have enough information on how assistance works and/or is provided </t>
  </si>
  <si>
    <t xml:space="preserve">Yes, do not have enough information on how to register for assistance </t>
  </si>
  <si>
    <t>Yes, do not have necessary documents</t>
  </si>
  <si>
    <t>Yes, fear of conscription</t>
  </si>
  <si>
    <t>Yes, feeling unsafe accessing assistance</t>
  </si>
  <si>
    <t>Yes, limited access to transport to access assistance</t>
  </si>
  <si>
    <t>Yes, not considered as eligible</t>
  </si>
  <si>
    <t>Yes, quality of assistance is poor</t>
  </si>
  <si>
    <t>Yes, registration process is too long/complicated</t>
  </si>
  <si>
    <t xml:space="preserve">Yes, request for bribe or other corruption challenges </t>
  </si>
  <si>
    <t>Barriers Households reportedly faced during accessing aid broken down by age of respondents on the admin of overall</t>
  </si>
  <si>
    <t>Barriers Households reportedly faced during accessing aid broken down by rural / urban on the admin of overall</t>
  </si>
  <si>
    <t>Barriers Households reportedly faced during accessing aid broken down by proximity to the Frontline / Russian border on the admin of overall</t>
  </si>
  <si>
    <t>Barriers Households reportedly faced during accessing aid broken down by member with WGSS disability on the admin of overall</t>
  </si>
  <si>
    <t>Barriers Households reportedly faced during accessing aid broken down by displacement status of HoH on the admin of overall</t>
  </si>
  <si>
    <t>Barriers Households reportedly faced during accessing aid broken down by household size on the admin of overall</t>
  </si>
  <si>
    <t>Barriers Households reportedly faced during accessing aid broken down by single/joint headed HHs on the admin of overall</t>
  </si>
  <si>
    <t>Aid satisfaction reported by households broken down by gender of respondent on the admin of overall</t>
  </si>
  <si>
    <t>Dissatisfied</t>
  </si>
  <si>
    <t>Neither satisfied nor dissatisfied</t>
  </si>
  <si>
    <t>Satisfied</t>
  </si>
  <si>
    <t>Very Dissatisfied</t>
  </si>
  <si>
    <t>Very satisfied</t>
  </si>
  <si>
    <t>Aid satisfaction reported by households broken down by age of respondents on the admin of overall</t>
  </si>
  <si>
    <t>Aid satisfaction reported by households broken down by rural / urban on the admin of overall</t>
  </si>
  <si>
    <t>Aid satisfaction reported by households broken down by proximity to the Frontline / Russian border on the admin of overall</t>
  </si>
  <si>
    <t>Aid satisfaction reported by households broken down by member with WGSS disability on the admin of overall</t>
  </si>
  <si>
    <t>Aid satisfaction reported by households broken down by displacement status of HoH on the admin of overall</t>
  </si>
  <si>
    <t>Aid satisfaction reported by households broken down by household size on the admin of overall</t>
  </si>
  <si>
    <t>Aid satisfaction reported by households broken down by single/joint headed HHs on the admin of overall</t>
  </si>
  <si>
    <t>Information Households would like to receive from aid providers broken down by gender of respondent on the admin of overall</t>
  </si>
  <si>
    <t xml:space="preserve">Finding missing people </t>
  </si>
  <si>
    <t>How to find work</t>
  </si>
  <si>
    <t>How to get healthcare/medical attention</t>
  </si>
  <si>
    <t>How to get help and stay safe from attack or harassment</t>
  </si>
  <si>
    <t>How to get more money/financial support</t>
  </si>
  <si>
    <t>How to get shelter/accommodation/shelter materials</t>
  </si>
  <si>
    <t>How to get water, food or nutrition</t>
  </si>
  <si>
    <t>How to register for aid</t>
  </si>
  <si>
    <t>How to replace personal documentation (e.g. birth certificate, ID)</t>
  </si>
  <si>
    <t>Information about possible return to place of origin</t>
  </si>
  <si>
    <t>Information about relocation (abroad or within Ukraine) and/or evacuation</t>
  </si>
  <si>
    <t>Information on how to complain about aid / aid providers</t>
  </si>
  <si>
    <t>Legal rights to housing, land and property</t>
  </si>
  <si>
    <t>Security situation and general updates on Ukraine</t>
  </si>
  <si>
    <t>Information Households would like to receive from aid providers broken down by age of respondents on the admin of overall</t>
  </si>
  <si>
    <t>Information Households would like to receive from aid providers broken down by rural / urban on the admin of overall</t>
  </si>
  <si>
    <t>Information Households would like to receive from aid providers broken down by proximity to the Frontline / Russian border on the admin of overall</t>
  </si>
  <si>
    <t>Information Households would like to receive from aid providers broken down by member with WGSS disability on the admin of overall</t>
  </si>
  <si>
    <t>Information Households would like to receive from aid providers broken down by displacement status of HoH on the admin of overall</t>
  </si>
  <si>
    <t>Information Households would like to receive from aid providers broken down by household size on the admin of overall</t>
  </si>
  <si>
    <t>Information Households would like to receive from aid providers broken down by single/joint headed HHs on the admin of overall</t>
  </si>
  <si>
    <t>Peferred mean of communication reported by households broken down by gender of respondent on the admin of overall</t>
  </si>
  <si>
    <t>Billboards, posters, leaflets</t>
  </si>
  <si>
    <t>Email</t>
  </si>
  <si>
    <t>Face-to-face (community leader/neighbors, family, friends/church, or religious leader</t>
  </si>
  <si>
    <t>Government Websites</t>
  </si>
  <si>
    <t>Messaging (including Viper, Telegram, etc.)</t>
  </si>
  <si>
    <t>Online news sites/newspapers/magazines</t>
  </si>
  <si>
    <t>Other internet platforms</t>
  </si>
  <si>
    <t>Phone call</t>
  </si>
  <si>
    <t>Printed newspapers/magazines</t>
  </si>
  <si>
    <t>Radio</t>
  </si>
  <si>
    <t>Social Media</t>
  </si>
  <si>
    <t xml:space="preserve">TV Station/Channel </t>
  </si>
  <si>
    <t>Peferred mean of communication reported by households broken down by age of respondents on the admin of overall</t>
  </si>
  <si>
    <t>Peferred mean of communication reported by households broken down by rural / urban on the admin of overall</t>
  </si>
  <si>
    <t>Peferred mean of communication reported by households broken down by proximity to the Frontline / Russian border on the admin of overall</t>
  </si>
  <si>
    <t>Peferred mean of communication reported by households broken down by member with WGSS disability on the admin of overall</t>
  </si>
  <si>
    <t>Peferred mean of communication reported by households broken down by displacement status of HoH on the admin of overall</t>
  </si>
  <si>
    <t>Peferred mean of communication reported by households broken down by household size on the admin of overall</t>
  </si>
  <si>
    <t>Peferred mean of communication reported by households broken down by single/joint headed HHs on the admin of overall</t>
  </si>
  <si>
    <t>Households reportedly feeling involved in aid distribution broken down by gender of respondent on the admin of overall</t>
  </si>
  <si>
    <t>Households reportedly feeling involved in aid distribution broken down by age of respondents on the admin of overall</t>
  </si>
  <si>
    <t>Households reportedly feeling involved in aid distribution broken down by rural / urban on the admin of overall</t>
  </si>
  <si>
    <t>Households reportedly feeling involved in aid distribution broken down by proximity to the Frontline / Russian border on the admin of overall</t>
  </si>
  <si>
    <t>Households reportedly feeling involved in aid distribution broken down by member with WGSS disability on the admin of overall</t>
  </si>
  <si>
    <t>Households reportedly feeling involved in aid distribution broken down by displacement status of HoH on the admin of overall</t>
  </si>
  <si>
    <t>Households reportedly feeling involved in aid distribution broken down by household size on the admin of overall</t>
  </si>
  <si>
    <t>Households reportedly feeling involved in aid distribution broken down by single/joint headed HHs on the admin of overall</t>
  </si>
  <si>
    <t>Preferred language of communication with aid providers broken down by gender of respondent on the admin of overall</t>
  </si>
  <si>
    <t>Hungarian</t>
  </si>
  <si>
    <t>Russian</t>
  </si>
  <si>
    <t>Ukrainian</t>
  </si>
  <si>
    <t>Preferred language of communication with aid providers broken down by age of respondents on the admin of overall</t>
  </si>
  <si>
    <t>Preferred language of communication with aid providers broken down by rural / urban on the admin of overall</t>
  </si>
  <si>
    <t>Preferred language of communication with aid providers broken down by proximity to the Frontline / Russian border on the admin of overall</t>
  </si>
  <si>
    <t>Preferred language of communication with aid providers broken down by member with WGSS disability on the admin of overall</t>
  </si>
  <si>
    <t>Preferred language of communication with aid providers broken down by displacement status of HoH on the admin of overall</t>
  </si>
  <si>
    <t>Preferred language of communication with aid providers broken down by household size on the admin of overall</t>
  </si>
  <si>
    <t>Preferred language of communication with aid providers broken down by single/joint headed HHs on the admin of overall</t>
  </si>
  <si>
    <t>Households reporting to experience cuts in assisstance from the government broken down by gender of respondent on the admin of overall</t>
  </si>
  <si>
    <t>Other(specify)</t>
  </si>
  <si>
    <t>Yes pensions for people with disabilities</t>
  </si>
  <si>
    <t>Yes retirement pension</t>
  </si>
  <si>
    <t>Yes, IDP allowance, </t>
  </si>
  <si>
    <t>Yes, social assistance for families with low income</t>
  </si>
  <si>
    <t>Yes, social payments for the unemployed</t>
  </si>
  <si>
    <t>Households reporting to experience cuts in assisstance from the government broken down by age of respondents on the admin of overall</t>
  </si>
  <si>
    <t>Households reporting to experience cuts in assisstance from the government broken down by rural / urban on the admin of overall</t>
  </si>
  <si>
    <t>Households reporting to experience cuts in assisstance from the government broken down by proximity to the Frontline / Russian border on the admin of overall</t>
  </si>
  <si>
    <t>Households reporting to experience cuts in assisstance from the government broken down by member with WGSS disability on the admin of overall</t>
  </si>
  <si>
    <t>Households reporting to experience cuts in assisstance from the government broken down by displacement status of HoH on the admin of overall</t>
  </si>
  <si>
    <t>Households reporting to experience cuts in assisstance from the government broken down by household size on the admin of overall</t>
  </si>
  <si>
    <t>Households reporting to experience cuts in assisstance from the government broken down by single/joint headed HHs on the admin of overall</t>
  </si>
  <si>
    <t>Households reportedly requiring legal assisstance broken down by gender of respondent on the admin of overall</t>
  </si>
  <si>
    <t>Yes, other reason (specify)</t>
  </si>
  <si>
    <t>Yes, to access pensions for IDPs</t>
  </si>
  <si>
    <t>Yes, to access social benefits</t>
  </si>
  <si>
    <t>Yes, to apply for IDP allowance</t>
  </si>
  <si>
    <t>Yes, to apply for compensation for damaged or destroyed property</t>
  </si>
  <si>
    <t>Yes, to apply for utility subsidies</t>
  </si>
  <si>
    <t>Yes, to obtain civil documents (birth, death, marriage, divorce)</t>
  </si>
  <si>
    <t>Yes, to obtain identity documents</t>
  </si>
  <si>
    <t>Yes, to obtain property documentation</t>
  </si>
  <si>
    <t>Yes, to resolve issues related to labour law</t>
  </si>
  <si>
    <t>Households reportedly requiring legal assisstance broken down by age of respondents on the admin of overall</t>
  </si>
  <si>
    <t>Households reportedly requiring legal assisstance broken down by rural / urban on the admin of overall</t>
  </si>
  <si>
    <t>Households reportedly requiring legal assisstance broken down by proximity to the Frontline / Russian border on the admin of overall</t>
  </si>
  <si>
    <t>Households reportedly requiring legal assisstance broken down by member with WGSS disability on the admin of overall</t>
  </si>
  <si>
    <t>Households reportedly requiring legal assisstance broken down by displacement status of HoH on the admin of overall</t>
  </si>
  <si>
    <t>Households reportedly requiring legal assisstance broken down by household size on the admin of overall</t>
  </si>
  <si>
    <t>Households reportedly requiring legal assisstance broken down by single/joint headed HHs on the admin of overall</t>
  </si>
  <si>
    <t>Households reportedly requiring services provided by the government broken down by gender of respondent on the admin of overall</t>
  </si>
  <si>
    <t>Households reportedly requiring services provided by the government broken down by age of respondents on the admin of overall</t>
  </si>
  <si>
    <t>Households reportedly requiring services provided by the government broken down by rural / urban on the admin of overall</t>
  </si>
  <si>
    <t>Households reportedly requiring services provided by the government broken down by proximity to the Frontline / Russian border on the admin of overall</t>
  </si>
  <si>
    <t>Households reportedly requiring services provided by the government broken down by member with WGSS disability on the admin of overall</t>
  </si>
  <si>
    <t>Households reportedly requiring services provided by the government broken down by displacement status of HoH on the admin of overall</t>
  </si>
  <si>
    <t>Households reportedly requiring services provided by the government broken down by household size on the admin of overall</t>
  </si>
  <si>
    <t>Households reportedly requiring services provided by the government broken down by single/joint headed HHs on the admin of overall</t>
  </si>
  <si>
    <t>Households reportedly facing barriers while accessing services provided by the government broken down by gender of respondent on the admin of overall</t>
  </si>
  <si>
    <t>Yes, discrimination against specific social groups</t>
  </si>
  <si>
    <t xml:space="preserve">Yes, distance, lack of, or cost for transportation to relevant facilities  </t>
  </si>
  <si>
    <t xml:space="preserve">Yes, insufficient number of social workers to provide services </t>
  </si>
  <si>
    <t>Yes, lack of available services</t>
  </si>
  <si>
    <t>Yes, lack of information about available services</t>
  </si>
  <si>
    <t>Yes, limited services for people with disability</t>
  </si>
  <si>
    <t>Yes, services are not always functional</t>
  </si>
  <si>
    <t>Yes, social workers from State institutions do not visit location often</t>
  </si>
  <si>
    <t>Yes, the quality of services is not adequate</t>
  </si>
  <si>
    <t>Households reportedly facing barriers while accessing services provided by the government broken down by age of respondents on the admin of overall</t>
  </si>
  <si>
    <t>Households reportedly facing barriers while accessing services provided by the government broken down by rural / urban on the admin of overall</t>
  </si>
  <si>
    <t>Households reportedly facing barriers while accessing services provided by the government broken down by proximity to the Frontline / Russian border on the admin of overall</t>
  </si>
  <si>
    <t>Households reportedly facing barriers while accessing services provided by the government broken down by member with WGSS disability on the admin of overall</t>
  </si>
  <si>
    <t>Households reportedly facing barriers while accessing services provided by the government broken down by displacement status of HoH on the admin of overall</t>
  </si>
  <si>
    <t>Households reportedly facing barriers while accessing services provided by the government broken down by household size on the admin of overall</t>
  </si>
  <si>
    <t>Households reportedly facing barriers while accessing services provided by the government broken down by single/joint headed HHs on the admin of overall</t>
  </si>
  <si>
    <t>Households reporting available services for women in their community broken down by gender of respondent on the admin of overall</t>
  </si>
  <si>
    <t>Childcare or elderly care support</t>
  </si>
  <si>
    <t>Educational support</t>
  </si>
  <si>
    <t>Health services, not including reproductive health</t>
  </si>
  <si>
    <t xml:space="preserve">Legal </t>
  </si>
  <si>
    <t>Livelihood services, excluding vocational training</t>
  </si>
  <si>
    <t>Psychosocial support</t>
  </si>
  <si>
    <t xml:space="preserve">Recreational activities </t>
  </si>
  <si>
    <t>Reproductive health services</t>
  </si>
  <si>
    <t>Services for victims of violence</t>
  </si>
  <si>
    <t>Support for care providers for children or elderly</t>
  </si>
  <si>
    <t>Support for persons with disabilities</t>
  </si>
  <si>
    <t>Vocational training</t>
  </si>
  <si>
    <t>Households reporting available services for women in their community broken down by age of respondents on the admin of overall</t>
  </si>
  <si>
    <t>Households reporting available services for women in their community broken down by rural / urban on the admin of overall</t>
  </si>
  <si>
    <t>Households reporting available services for women in their community broken down by proximity to the Frontline / Russian border on the admin of overall</t>
  </si>
  <si>
    <t>Households reporting available services for women in their community broken down by member with WGSS disability on the admin of overall</t>
  </si>
  <si>
    <t>Households reporting available services for women in their community broken down by displacement status of HoH on the admin of overall</t>
  </si>
  <si>
    <t>Households reporting available services for women in their community broken down by household size on the admin of overall</t>
  </si>
  <si>
    <t>Households reporting available services for women in their community broken down by single/joint headed HHs on the admin of overall</t>
  </si>
  <si>
    <t>Households reporting needed services related to children's well-being  broken down by gender of respondent on the admin of overall</t>
  </si>
  <si>
    <t>Childcare (incl. nursery, pre-school)</t>
  </si>
  <si>
    <t>Health services</t>
  </si>
  <si>
    <t>Legal</t>
  </si>
  <si>
    <t>Mental health and psychosocial support</t>
  </si>
  <si>
    <t>Social support for families</t>
  </si>
  <si>
    <t>Households reporting needed services related to children's well-being  broken down by age of respondents on the admin of overall</t>
  </si>
  <si>
    <t>Households reporting needed services related to children's well-being  broken down by rural / urban on the admin of overall</t>
  </si>
  <si>
    <t>Households reporting needed services related to children's well-being  broken down by proximity to the Frontline / Russian border on the admin of overall</t>
  </si>
  <si>
    <t>Households reporting needed services related to children's well-being  broken down by member with WGSS disability on the admin of overall</t>
  </si>
  <si>
    <t>Households reporting needed services related to children's well-being  broken down by displacement status of HoH on the admin of overall</t>
  </si>
  <si>
    <t>Households reporting needed services related to children's well-being  broken down by household size on the admin of overall</t>
  </si>
  <si>
    <t>Households reporting needed services related to children's well-being  broken down by single/joint headed HHs on the admin of overall</t>
  </si>
  <si>
    <t>Percentage of households adopting reduced coping strategies, by strategy (rCSI) broken down by rural / urban on the admin of overall</t>
  </si>
  <si>
    <t>perc_Households relying on less preferred and less expensive food to cope wLM Over the Last 7 Days</t>
  </si>
  <si>
    <t>perc_Households that had to borrow food or rely on help from a relative or friend to cope wLM Over the Last 7 Days</t>
  </si>
  <si>
    <t>perc_Households that had to limit portion size of meals at meal times to cope wLM Over the Last 7 Days</t>
  </si>
  <si>
    <t>perc_Households that had to restrict consumption by adults in order for small children to eat to cope wLM Over the Last 7 Days Prior</t>
  </si>
  <si>
    <t xml:space="preserve">perc_Households that had to reduce number of meals eaten in a day to cope wLM Over the Last 7 Days </t>
  </si>
  <si>
    <t>no</t>
  </si>
  <si>
    <t>yes</t>
  </si>
  <si>
    <t>Percentage of households adopting reduced coping strategies, by strategy (rCSI) broken down by proximity to the Frontline / Russian border on the admin of overall</t>
  </si>
  <si>
    <t>Percentage of households adopting reduced coping strategies, by strategy (rCSI) broken down by member with WGSS disability on the admin of overall</t>
  </si>
  <si>
    <t>Percentage of households adopting reduced coping strategies, by strategy (rCSI) broken down by household size on the admin of overall</t>
  </si>
  <si>
    <t>Percentage of households adopting reduced coping strategies, by strategy (rCSI) broken down by single/joint headed HHs on the admin of overall</t>
  </si>
  <si>
    <t>Household income over the 30 days prior to data collection, by types of income source Per Capita broken down by rural / urban on the admin of overall</t>
  </si>
  <si>
    <t>mean_J_29 Estimated Household's Income (Salaried work) Over the Last 30 days by Types of Income Source Per Capita</t>
  </si>
  <si>
    <t>median_J_29 Estimated Household's Income (Salaried work) Over the Last 30 days by Types of Income Source Per Capita</t>
  </si>
  <si>
    <t>min_J_29 Estimated Household's Income (Salaried work) Over the Last 30 days by Types of Income Source Per Capita</t>
  </si>
  <si>
    <t>max_J_29 Estimated Household's Income (Salaried work) Over the Last 30 days by Types of Income Source Per Capita</t>
  </si>
  <si>
    <t>mean_J_30 Estimated Household's Income (Casual or daily labour) Over the Last 30 days by Types of Income Source Per Capita</t>
  </si>
  <si>
    <t>median_J_30 Estimated Household's Income (Casual or daily labour) Over the Last 30 days by Types of Income Source Per Capita</t>
  </si>
  <si>
    <t>min_J_30 Estimated Household's Income (Casual or daily labour) Over the Last 30 days by Types of Income Source Per Capita</t>
  </si>
  <si>
    <t>max_J_30 Estimated Household's Income (Casual or daily labour) Over the Last 30 days by Types of Income Source Per Capita</t>
  </si>
  <si>
    <t>mean_J_31 Estimated Household's Income (Own business or regular trade) Over the Last 30 days by Types of Income Source Per Capita</t>
  </si>
  <si>
    <t>median_J_31 Estimated Household's Income (Own business or regular trade) Over the Last 30 days by Types of Income Source Per Capita</t>
  </si>
  <si>
    <t>min_J_31 Estimated Household's Income (Own business or regular trade) Over the Last 30 days by Types of Income Source Per Capita</t>
  </si>
  <si>
    <t>max_J_31 Estimated Household's Income (Own business or regular trade) Over the Last 30 days by Types of Income Source Per Capita</t>
  </si>
  <si>
    <t>mean_J_32 Estimated Household's Income (Own production) Over the Last 30 days by Types of Income Source Per Capita</t>
  </si>
  <si>
    <t>median_J_32 Estimated Household's Income (Own production) Over the Last 30 days by Types of Income Source Per Capita</t>
  </si>
  <si>
    <t>min_J_32 Estimated Household's Income (Own production) Over the Last 30 days by Types of Income Source Per Capita</t>
  </si>
  <si>
    <t>max_J_32 Estimated Household's Income (Own production) Over the Last 30 days by Types of Income Source Per Capita</t>
  </si>
  <si>
    <t>mean_J_33 Estimated Household's Income (IDP benefits from government) Over the Last 30 days by Types of Income Source Per Capita</t>
  </si>
  <si>
    <t>median_J_33 Estimated Household's Income (IDP benefits from government) Over the Last 30 days by Types of Income Source Per Capita</t>
  </si>
  <si>
    <t>min_J_33 Estimated Household's Income (IDP benefits from government) Over the Last 30 days by Types of Income Source Per Capita</t>
  </si>
  <si>
    <t>max_J_33 Estimated Household's Income (IDP benefits from government) Over the Last 30 days by Types of Income Source Per Capita</t>
  </si>
  <si>
    <t>mean_J_34 Estimated Household's Income (Pension) Over the Last 30 days by Types of Income Source Per Capita</t>
  </si>
  <si>
    <t>median_J_34 Estimated Household's Income (Pension) Over the Last 30 days by Types of Income Source Per Capita</t>
  </si>
  <si>
    <t>min_J_34 Estimated Household's Income (Pension) Over the Last 30 days by Types of Income Source Per Capita</t>
  </si>
  <si>
    <t>max_J_34 Estimated Household's Income (Pension) Over the Last 30 days by Types of Income Source Per Capita</t>
  </si>
  <si>
    <t>mean_J_35 Estimated Household's Income (Other government social benefits or assistance) Over the Last 30 days by Types of Income Source Per Capita</t>
  </si>
  <si>
    <t>median_J_35 Estimated Household's Income (Other government social benefits or assistance) Over the Last 30 days by Types of Income Source Per Capita</t>
  </si>
  <si>
    <t>min_J_35 Estimated Household's Income (Other government social benefits or assistance) Over the Last 30 days by Types of Income Source Per Capita</t>
  </si>
  <si>
    <t>max_J_35 Estimated Household's Income (Other government social benefits or assistance) Over the Last 30 days by Types of Income Source Per Capita</t>
  </si>
  <si>
    <t>mean_J_36 Estimated Household's Income (Rent) Over the Last 30 days by Types of Income Source Per Capita</t>
  </si>
  <si>
    <t>median_J_36 Estimated Household's Income (Rent) Over the Last 30 days by Types of Income Source Per Capita</t>
  </si>
  <si>
    <t>min_J_36 Estimated Household's Income (Rent) Over the Last 30 days by Types of Income Source Per Capita</t>
  </si>
  <si>
    <t>max_J_36 Estimated Household's Income (Rent) Over the Last 30 days by Types of Income Source Per Capita</t>
  </si>
  <si>
    <t>mean_J_37 Estimated Household's Income (Remittances) Over the Last 30 days by Types of Income Source Per Capita</t>
  </si>
  <si>
    <t>median_J_37 Estimated Household's Income (Remittances) Over the Last 30 days by Types of Income Source Per Capita</t>
  </si>
  <si>
    <t>min_J_37 Estimated Household's Income (Remittances) Over the Last 30 days by Types of Income Source Per Capita</t>
  </si>
  <si>
    <t>max_J_37 Estimated Household's Income (Remittances) Over the Last 30 days by Types of Income Source Per Capita</t>
  </si>
  <si>
    <t>mean_J_38 Estimated Household's Income (Humanitarian aid) Over the Last 30 days by Types of Income Source Per Capita</t>
  </si>
  <si>
    <t>median_J_38 Estimated Household's Income (Humanitarian aid) Over the Last 30 days by Types of Income Source Per Capita</t>
  </si>
  <si>
    <t>min_J_38 Estimated Household's Income (Humanitarian aid) Over the Last 30 days by Types of Income Source Per Capita</t>
  </si>
  <si>
    <t>max_J_38 Estimated Household's Income (Humanitarian aid) Over the Last 30 days by Types of Income Source Per Capita</t>
  </si>
  <si>
    <t>mean_J_39 Estimated Household's Income (Loans or support from family and friends within Ukraine) Over the Last 30 days by Types of Income Source Per Capita</t>
  </si>
  <si>
    <t>median_J_39 Estimated Household's Income (Loans or support from family and friends within Ukraine) Over the Last 30 days by Types of Income Source Per Capita</t>
  </si>
  <si>
    <t>min_J_39 Estimated Household's Income (Loans or support from family and friends within Ukraine) Over the Last 30 days by Types of Income Source Per Capita</t>
  </si>
  <si>
    <t>max_J_39 Estimated Household's Income (Loans or support from family and friends within Ukraine) Over the Last 30 days by Types of Income Source Per Capita</t>
  </si>
  <si>
    <t>mean_J_40 Estimated Household's Income (Loans, support, or charitable donations from community members) Over the Last 30 days by Types of Income Source Per Capita</t>
  </si>
  <si>
    <t>median_J_40 Estimated Household's Income (Loans, support, or charitable donations from community members) Over the Last 30 days by Types of Income Source Per Capita</t>
  </si>
  <si>
    <t>min_J_40 Estimated Household's Income (Loans, support, or charitable donations from community members) Over the Last 30 days by Types of Income Source Per Capita</t>
  </si>
  <si>
    <t>max_J_40 Estimated Household's Income (Loans, support, or charitable donations from community members) Over the Last 30 days by Types of Income Source Per Capita</t>
  </si>
  <si>
    <t>mean_J_41 Estimated Household's Income (Other) Over the Last 30 days by Types of Income Source Per Capita</t>
  </si>
  <si>
    <t>median_J_41 Estimated Household's Income (Other) Over the Last 30 days by Types of Income Source Per Capita</t>
  </si>
  <si>
    <t>min_J_41 Estimated Household's Income (Other) Over the Last 30 days by Types of Income Source Per Capita</t>
  </si>
  <si>
    <t>max_J_41 Estimated Household's Income (Other) Over the Last 30 days by Types of Income Source Per Capita</t>
  </si>
  <si>
    <t>Household income over the 30 days prior to data collection, by types of income source Per Capita broken down by proximity to the Frontline / Russian border on the admin of overall</t>
  </si>
  <si>
    <t>Household income over the 30 days prior to data collection, by types of income source Per Capita broken down by member with WGSS disability on the admin of overall</t>
  </si>
  <si>
    <t>Household income over the 30 days prior to data collection, by types of income source Per Capita broken down by displacement status of HoH on the admin of overall</t>
  </si>
  <si>
    <t>Household income over the 30 days prior to data collection, by types of income source Per Capita broken down by household size on the admin of overall</t>
  </si>
  <si>
    <t>Household income over the 30 days prior to data collection, by types of income source Per Capita broken down by single/joint headed HHs on the admin of overall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</si>
</sst>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1"/>
      <color rgb="FF0000FF"/>
      <name val="Calibri"/>
    </font>
    <font>
      <b/>
      <sz val="11"/>
      <name val="Calibri"/>
    </font>
    <font>
      <sz val="11"/>
      <color theme="1"/>
      <name val="Calibri"/>
      <family val="2"/>
      <scheme val="minor"/>
    </font>
    <font>
      <b/>
      <sz val="11"/>
      <color theme="1"/>
      <name val="Calibri"/>
      <family val="2"/>
      <scheme val="minor"/>
    </font>
    <font>
      <sz val="11"/>
      <color theme="0"/>
      <name val="Calibri"/>
      <family val="2"/>
      <scheme val="minor"/>
    </font>
    <font>
      <b/>
      <sz val="20"/>
      <color rgb="FF000000"/>
      <name val="Arial Narrow"/>
      <family val="2"/>
    </font>
    <font>
      <b/>
      <u/>
      <sz val="14"/>
      <color rgb="FF000000"/>
      <name val="Arial Narrow"/>
      <family val="2"/>
    </font>
    <font>
      <b/>
      <sz val="14"/>
      <color theme="1"/>
      <name val="Calibri"/>
      <family val="2"/>
      <scheme val="minor"/>
    </font>
    <font>
      <b/>
      <sz val="14"/>
      <color rgb="FFFF0000"/>
      <name val="Calibri"/>
      <family val="2"/>
      <scheme val="minor"/>
    </font>
    <font>
      <sz val="12"/>
      <color theme="1"/>
      <name val="Calibri"/>
      <family val="2"/>
      <scheme val="minor"/>
    </font>
    <font>
      <u/>
      <sz val="12"/>
      <color theme="1"/>
      <name val="Calibri"/>
      <family val="2"/>
      <scheme val="minor"/>
    </font>
    <font>
      <b/>
      <sz val="12"/>
      <name val="Calibri"/>
      <family val="2"/>
    </font>
    <font>
      <b/>
      <sz val="12"/>
      <color theme="1"/>
      <name val="Calibri"/>
      <family val="2"/>
      <scheme val="minor"/>
    </font>
    <font>
      <b/>
      <sz val="16"/>
      <color theme="1"/>
      <name val="Calibri"/>
      <family val="2"/>
      <scheme val="minor"/>
    </font>
    <font>
      <sz val="11"/>
      <name val="Calibri"/>
      <family val="2"/>
      <scheme val="minor"/>
    </font>
    <font>
      <b/>
      <sz val="20"/>
      <color rgb="FF000000"/>
      <name val="Arial Narrow"/>
    </font>
    <font>
      <b/>
      <sz val="20"/>
      <color rgb="FFFF0000"/>
      <name val="Arial Narrow"/>
    </font>
    <font>
      <b/>
      <sz val="11"/>
      <color rgb="FFFFFFFF"/>
      <name val="Arial Narrow"/>
      <family val="2"/>
    </font>
    <font>
      <b/>
      <sz val="10"/>
      <name val="Arial Narrow"/>
      <family val="2"/>
    </font>
    <font>
      <sz val="10"/>
      <name val="Arial Narrow"/>
      <family val="2"/>
    </font>
    <font>
      <sz val="11"/>
      <color rgb="FF000000"/>
      <name val="Arial Narrow"/>
      <family val="2"/>
    </font>
    <font>
      <b/>
      <sz val="18"/>
      <color rgb="FFFF0000"/>
      <name val="Arial Narrow"/>
      <family val="2"/>
    </font>
    <font>
      <b/>
      <sz val="10"/>
      <color rgb="FF000000"/>
      <name val="Arial Narrow"/>
      <family val="2"/>
    </font>
    <font>
      <sz val="10"/>
      <color rgb="FF000000"/>
      <name val="Arial Narrow"/>
    </font>
    <font>
      <b/>
      <sz val="10"/>
      <color rgb="FF000000"/>
      <name val="Arial Narrow"/>
    </font>
    <font>
      <b/>
      <sz val="11"/>
      <color rgb="FFFF0000"/>
      <name val="Arial Narrow"/>
      <family val="2"/>
    </font>
  </fonts>
  <fills count="9">
    <fill>
      <patternFill patternType="none"/>
    </fill>
    <fill>
      <patternFill patternType="gray125"/>
    </fill>
    <fill>
      <patternFill patternType="solid">
        <fgColor theme="0" tint="-0.14999847407452621"/>
        <bgColor theme="0" tint="-0.14999847407452621"/>
      </patternFill>
    </fill>
    <fill>
      <patternFill patternType="solid">
        <fgColor rgb="FFEE5859"/>
        <bgColor indexed="64"/>
      </patternFill>
    </fill>
    <fill>
      <patternFill patternType="solid">
        <fgColor rgb="FFEE5859"/>
        <bgColor rgb="FFD63F40"/>
      </patternFill>
    </fill>
    <fill>
      <patternFill patternType="solid">
        <fgColor rgb="FFD9D9D9"/>
        <bgColor rgb="FF000000"/>
      </patternFill>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s>
  <borders count="9">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theme="2"/>
      </left>
      <right style="thin">
        <color theme="2"/>
      </right>
      <top style="thin">
        <color theme="2"/>
      </top>
      <bottom style="thin">
        <color theme="2"/>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2">
    <xf numFmtId="0" fontId="0" fillId="0" borderId="0"/>
    <xf numFmtId="0" fontId="3" fillId="0" borderId="0"/>
  </cellStyleXfs>
  <cellXfs count="45">
    <xf numFmtId="0" fontId="0" fillId="0" borderId="0" xfId="0"/>
    <xf numFmtId="0" fontId="2" fillId="0" borderId="0" xfId="0" applyFont="1"/>
    <xf numFmtId="0" fontId="1" fillId="0" borderId="0" xfId="0" applyFont="1"/>
    <xf numFmtId="10" fontId="0" fillId="0" borderId="0" xfId="0" applyNumberFormat="1"/>
    <xf numFmtId="0" fontId="6" fillId="0" borderId="0" xfId="1" applyFont="1" applyAlignment="1">
      <alignment vertical="center" wrapText="1"/>
    </xf>
    <xf numFmtId="0" fontId="12" fillId="2" borderId="1" xfId="0" applyFont="1" applyFill="1" applyBorder="1" applyAlignment="1">
      <alignment horizontal="center" vertical="center"/>
    </xf>
    <xf numFmtId="0" fontId="12" fillId="2" borderId="0" xfId="0" applyFont="1" applyFill="1"/>
    <xf numFmtId="0" fontId="12" fillId="0" borderId="1" xfId="0" applyFont="1" applyBorder="1" applyAlignment="1">
      <alignment horizontal="center" vertical="center"/>
    </xf>
    <xf numFmtId="0" fontId="12" fillId="0" borderId="0" xfId="0" applyFont="1"/>
    <xf numFmtId="0" fontId="13" fillId="0" borderId="1" xfId="0" applyFont="1" applyBorder="1" applyAlignment="1">
      <alignment horizontal="center" vertical="center"/>
    </xf>
    <xf numFmtId="0" fontId="13" fillId="0" borderId="0" xfId="0" applyFont="1" applyAlignment="1">
      <alignment vertical="center"/>
    </xf>
    <xf numFmtId="0" fontId="13" fillId="2" borderId="1" xfId="0" applyFont="1" applyFill="1" applyBorder="1" applyAlignment="1">
      <alignment horizontal="center" vertical="center"/>
    </xf>
    <xf numFmtId="0" fontId="13" fillId="2" borderId="0" xfId="0" applyFont="1" applyFill="1" applyAlignment="1">
      <alignment vertical="center"/>
    </xf>
    <xf numFmtId="0" fontId="12" fillId="0" borderId="3" xfId="0" applyFont="1" applyBorder="1" applyAlignment="1">
      <alignment horizontal="center" vertical="center"/>
    </xf>
    <xf numFmtId="0" fontId="12" fillId="0" borderId="2" xfId="0" applyFont="1" applyBorder="1"/>
    <xf numFmtId="0" fontId="14" fillId="3" borderId="0" xfId="0" applyFont="1" applyFill="1"/>
    <xf numFmtId="0" fontId="6" fillId="0" borderId="4" xfId="1" applyFont="1" applyBorder="1" applyAlignment="1">
      <alignment horizontal="center" vertical="center" wrapText="1"/>
    </xf>
    <xf numFmtId="0" fontId="7" fillId="0" borderId="4" xfId="1" applyFont="1" applyBorder="1" applyAlignment="1">
      <alignment horizontal="left" vertical="center"/>
    </xf>
    <xf numFmtId="0" fontId="0" fillId="0" borderId="4" xfId="0" applyBorder="1"/>
    <xf numFmtId="0" fontId="8" fillId="0" borderId="4" xfId="0" applyFont="1" applyBorder="1" applyAlignment="1">
      <alignment horizontal="left" vertical="center"/>
    </xf>
    <xf numFmtId="0" fontId="4" fillId="0" borderId="4" xfId="0" applyFont="1" applyBorder="1"/>
    <xf numFmtId="0" fontId="10" fillId="0" borderId="4" xfId="0" applyFont="1" applyBorder="1" applyAlignment="1">
      <alignment horizontal="left" vertical="center"/>
    </xf>
    <xf numFmtId="0" fontId="5" fillId="3" borderId="0" xfId="0" applyFont="1" applyFill="1" applyAlignment="1">
      <alignment wrapText="1"/>
    </xf>
    <xf numFmtId="0" fontId="15" fillId="3" borderId="0" xfId="0" applyFont="1" applyFill="1"/>
    <xf numFmtId="10" fontId="15" fillId="3" borderId="0" xfId="0" applyNumberFormat="1" applyFont="1" applyFill="1"/>
    <xf numFmtId="0" fontId="0" fillId="3" borderId="0" xfId="0" applyFill="1"/>
    <xf numFmtId="10" fontId="0" fillId="3" borderId="0" xfId="0" applyNumberFormat="1" applyFill="1"/>
    <xf numFmtId="0" fontId="18" fillId="4" borderId="5" xfId="1" applyFont="1" applyFill="1" applyBorder="1" applyAlignment="1">
      <alignment horizontal="left" vertical="top" wrapText="1"/>
    </xf>
    <xf numFmtId="0" fontId="20" fillId="5" borderId="5" xfId="1" applyFont="1" applyFill="1" applyBorder="1" applyAlignment="1">
      <alignment horizontal="left" vertical="top" wrapText="1"/>
    </xf>
    <xf numFmtId="0" fontId="20" fillId="0" borderId="6" xfId="1" applyFont="1" applyBorder="1" applyAlignment="1">
      <alignment horizontal="left" vertical="top" wrapText="1"/>
    </xf>
    <xf numFmtId="0" fontId="20" fillId="0" borderId="0" xfId="1" applyFont="1" applyAlignment="1">
      <alignment horizontal="left" vertical="top" wrapText="1"/>
    </xf>
    <xf numFmtId="0" fontId="19" fillId="5" borderId="7" xfId="1" applyFont="1" applyFill="1" applyBorder="1" applyAlignment="1">
      <alignment horizontal="center" vertical="center" wrapText="1"/>
    </xf>
    <xf numFmtId="0" fontId="20" fillId="5" borderId="7" xfId="1" applyFont="1" applyFill="1" applyBorder="1" applyAlignment="1">
      <alignment horizontal="left" vertical="top" wrapText="1"/>
    </xf>
    <xf numFmtId="0" fontId="19" fillId="6" borderId="7" xfId="1" applyFont="1" applyFill="1" applyBorder="1" applyAlignment="1">
      <alignment horizontal="center" vertical="center" wrapText="1"/>
    </xf>
    <xf numFmtId="0" fontId="20" fillId="6" borderId="7" xfId="1" applyFont="1" applyFill="1" applyBorder="1" applyAlignment="1">
      <alignment horizontal="left" vertical="top" wrapText="1"/>
    </xf>
    <xf numFmtId="0" fontId="23" fillId="7" borderId="7" xfId="0" applyFont="1" applyFill="1" applyBorder="1" applyAlignment="1">
      <alignment horizontal="center" vertical="center" wrapText="1"/>
    </xf>
    <xf numFmtId="0" fontId="24" fillId="7" borderId="7" xfId="0" applyFont="1" applyFill="1" applyBorder="1" applyAlignment="1">
      <alignment vertical="center" wrapText="1"/>
    </xf>
    <xf numFmtId="0" fontId="21" fillId="8" borderId="7" xfId="0" applyFont="1" applyFill="1" applyBorder="1" applyAlignment="1">
      <alignment vertical="center" wrapText="1"/>
    </xf>
    <xf numFmtId="0" fontId="18" fillId="4" borderId="8" xfId="1" applyFont="1" applyFill="1" applyBorder="1" applyAlignment="1">
      <alignment horizontal="left" vertical="top" wrapText="1"/>
    </xf>
    <xf numFmtId="0" fontId="24" fillId="6" borderId="7" xfId="1" applyFont="1" applyFill="1" applyBorder="1" applyAlignment="1">
      <alignment horizontal="left" vertical="top" wrapText="1"/>
    </xf>
    <xf numFmtId="0" fontId="26" fillId="6" borderId="7" xfId="1" applyFont="1" applyFill="1" applyBorder="1" applyAlignment="1">
      <alignment horizontal="left" vertical="top" wrapText="1"/>
    </xf>
    <xf numFmtId="0" fontId="22" fillId="0" borderId="5" xfId="1" applyFont="1" applyBorder="1" applyAlignment="1">
      <alignment horizontal="center" vertical="center" wrapText="1"/>
    </xf>
    <xf numFmtId="14" fontId="19" fillId="8" borderId="7" xfId="1" applyNumberFormat="1" applyFont="1" applyFill="1" applyBorder="1" applyAlignment="1">
      <alignment horizontal="center" vertical="center" wrapText="1"/>
    </xf>
    <xf numFmtId="0" fontId="16" fillId="0" borderId="4" xfId="1" applyFont="1" applyBorder="1" applyAlignment="1">
      <alignment horizontal="center" vertical="center" wrapText="1"/>
    </xf>
    <xf numFmtId="0" fontId="6" fillId="0" borderId="4" xfId="1" applyFont="1" applyBorder="1" applyAlignment="1">
      <alignment horizontal="center" vertical="center" wrapText="1"/>
    </xf>
  </cellXfs>
  <cellStyles count="2">
    <cellStyle name="Normal" xfId="0" builtinId="0"/>
    <cellStyle name="Normal 2" xfId="1" xr:uid="{5A2EE34E-0CE0-43A7-AE23-08DED33071F7}"/>
  </cellStyles>
  <dxfs count="5">
    <dxf>
      <font>
        <b/>
        <i val="0"/>
        <strike val="0"/>
        <condense val="0"/>
        <extend val="0"/>
        <outline val="0"/>
        <shadow val="0"/>
        <u val="none"/>
        <vertAlign val="baseline"/>
        <sz val="11"/>
        <color rgb="FF0000FF"/>
        <name val="Calibri"/>
        <scheme val="none"/>
      </font>
    </dxf>
    <dxf>
      <font>
        <b/>
        <i val="0"/>
        <strike val="0"/>
        <condense val="0"/>
        <extend val="0"/>
        <outline val="0"/>
        <shadow val="0"/>
        <u val="none"/>
        <vertAlign val="baseline"/>
        <sz val="11"/>
        <color auto="1"/>
        <name val="Calibri"/>
        <scheme val="none"/>
      </font>
    </dxf>
    <dxf>
      <font>
        <b/>
        <i val="0"/>
        <strike val="0"/>
        <condense val="0"/>
        <extend val="0"/>
        <outline val="0"/>
        <shadow val="0"/>
        <u val="none"/>
        <vertAlign val="baseline"/>
        <sz val="12"/>
        <color auto="1"/>
        <name val="Calibri"/>
        <family val="2"/>
        <scheme val="none"/>
      </font>
    </dxf>
    <dxf>
      <font>
        <b/>
        <i val="0"/>
        <strike val="0"/>
        <condense val="0"/>
        <extend val="0"/>
        <outline val="0"/>
        <shadow val="0"/>
        <u val="none"/>
        <vertAlign val="baseline"/>
        <sz val="12"/>
        <color auto="1"/>
        <name val="Calibri"/>
        <family val="2"/>
        <scheme val="none"/>
      </font>
      <alignment horizontal="center" vertical="center" textRotation="0" wrapText="0" indent="0" justifyLastLine="0" shrinkToFit="0" readingOrder="0"/>
      <border diagonalUp="0" diagonalDown="0">
        <left style="thin">
          <color indexed="64"/>
        </left>
        <right/>
        <top/>
        <bottom/>
        <vertical/>
        <horizontal/>
      </border>
    </dxf>
    <dxf>
      <font>
        <b/>
        <strike val="0"/>
        <outline val="0"/>
        <shadow val="0"/>
        <u val="none"/>
        <vertAlign val="baseline"/>
        <sz val="16"/>
        <color theme="1"/>
        <name val="Calibri"/>
        <family val="2"/>
        <scheme val="minor"/>
      </font>
      <fill>
        <patternFill patternType="solid">
          <fgColor indexed="64"/>
          <bgColor rgb="FFEE5859"/>
        </patternFill>
      </fill>
    </dxf>
  </dxfs>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microsoft.com/office/2007/relationships/slicerCache" Target="slicerCaches/slicerCache2.xml"/><Relationship Id="rId10" Type="http://schemas.openxmlformats.org/officeDocument/2006/relationships/customXml" Target="../customXml/item1.xml"/><Relationship Id="rId4" Type="http://schemas.microsoft.com/office/2007/relationships/slicerCache" Target="slicerCaches/slicerCache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3</xdr:col>
      <xdr:colOff>42021</xdr:colOff>
      <xdr:row>4</xdr:row>
      <xdr:rowOff>98611</xdr:rowOff>
    </xdr:from>
    <xdr:to>
      <xdr:col>5</xdr:col>
      <xdr:colOff>0</xdr:colOff>
      <xdr:row>4</xdr:row>
      <xdr:rowOff>2622736</xdr:rowOff>
    </xdr:to>
    <mc:AlternateContent xmlns:mc="http://schemas.openxmlformats.org/markup-compatibility/2006" xmlns:sle15="http://schemas.microsoft.com/office/drawing/2012/slicer">
      <mc:Choice Requires="sle15">
        <xdr:graphicFrame macro="">
          <xdr:nvGraphicFramePr>
            <xdr:cNvPr id="6" name="Indicator">
              <a:extLst>
                <a:ext uri="{FF2B5EF4-FFF2-40B4-BE49-F238E27FC236}">
                  <a16:creationId xmlns:a16="http://schemas.microsoft.com/office/drawing/2014/main" id="{4B178E84-0DA5-4EC2-37FA-D072B0EA3632}"/>
                </a:ext>
              </a:extLst>
            </xdr:cNvPr>
            <xdr:cNvGraphicFramePr/>
          </xdr:nvGraphicFramePr>
          <xdr:xfrm>
            <a:off x="0" y="0"/>
            <a:ext cx="0" cy="0"/>
          </xdr:xfrm>
          <a:graphic>
            <a:graphicData uri="http://schemas.microsoft.com/office/drawing/2010/slicer">
              <sle:slicer xmlns:sle="http://schemas.microsoft.com/office/drawing/2010/slicer" name="Indicator"/>
            </a:graphicData>
          </a:graphic>
        </xdr:graphicFrame>
      </mc:Choice>
      <mc:Fallback xmlns="">
        <xdr:sp macro="" textlink="">
          <xdr:nvSpPr>
            <xdr:cNvPr id="0" name=""/>
            <xdr:cNvSpPr>
              <a:spLocks noTextEdit="1"/>
            </xdr:cNvSpPr>
          </xdr:nvSpPr>
          <xdr:spPr>
            <a:xfrm>
              <a:off x="6956050" y="1219199"/>
              <a:ext cx="7152156" cy="2524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33618</xdr:colOff>
      <xdr:row>4</xdr:row>
      <xdr:rowOff>22973</xdr:rowOff>
    </xdr:from>
    <xdr:to>
      <xdr:col>2</xdr:col>
      <xdr:colOff>4034118</xdr:colOff>
      <xdr:row>4</xdr:row>
      <xdr:rowOff>2610971</xdr:rowOff>
    </xdr:to>
    <mc:AlternateContent xmlns:mc="http://schemas.openxmlformats.org/markup-compatibility/2006" xmlns:sle15="http://schemas.microsoft.com/office/drawing/2012/slicer">
      <mc:Choice Requires="sle15">
        <xdr:graphicFrame macro="">
          <xdr:nvGraphicFramePr>
            <xdr:cNvPr id="8" name="Sector">
              <a:extLst>
                <a:ext uri="{FF2B5EF4-FFF2-40B4-BE49-F238E27FC236}">
                  <a16:creationId xmlns:a16="http://schemas.microsoft.com/office/drawing/2014/main" id="{5388B8CC-0F54-D9B4-E809-18723C0380BB}"/>
                </a:ext>
              </a:extLst>
            </xdr:cNvPr>
            <xdr:cNvGraphicFramePr/>
          </xdr:nvGraphicFramePr>
          <xdr:xfrm>
            <a:off x="0" y="0"/>
            <a:ext cx="0" cy="0"/>
          </xdr:xfrm>
          <a:graphic>
            <a:graphicData uri="http://schemas.microsoft.com/office/drawing/2010/slicer">
              <sle:slicer xmlns:sle="http://schemas.microsoft.com/office/drawing/2010/slicer" name="Sector"/>
            </a:graphicData>
          </a:graphic>
        </xdr:graphicFrame>
      </mc:Choice>
      <mc:Fallback xmlns="">
        <xdr:sp macro="" textlink="">
          <xdr:nvSpPr>
            <xdr:cNvPr id="0" name=""/>
            <xdr:cNvSpPr>
              <a:spLocks noTextEdit="1"/>
            </xdr:cNvSpPr>
          </xdr:nvSpPr>
          <xdr:spPr>
            <a:xfrm>
              <a:off x="638736" y="1143561"/>
              <a:ext cx="5905500" cy="25879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icator" xr10:uid="{B90FB33A-1838-46C3-ACBB-79C009D1FCD1}" sourceName="Indicator">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tor" xr10:uid="{C6745FC2-1CD1-45E7-897E-3EEC5BC18FA9}" sourceName="Sector">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dicator" xr10:uid="{C0B1B8D4-B0A1-4F4B-8400-88D9F4EB5CBF}" cache="Slicer_Indicator" caption="Indicator" style="SlicerStyleLight2" rowHeight="241300"/>
  <slicer name="Sector" xr10:uid="{0ABE0E8C-0DAF-4306-927D-02E74A74C1F0}" cache="Slicer_Sector" caption="Sector" startItem="4" style="SlicerStyleLigh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6C8096-0767-41BD-AE80-3076DE0DDEAB}" name="Table1" displayName="Table1" ref="B6:E940" totalsRowShown="0" headerRowDxfId="4">
  <autoFilter ref="B6:E940" xr:uid="{FC6C8096-0767-41BD-AE80-3076DE0DDEAB}"/>
  <tableColumns count="4">
    <tableColumn id="1" xr3:uid="{28CFCFEB-D3B5-4097-899E-1E1148DBE3BF}" name="Sector" dataDxfId="3"/>
    <tableColumn id="2" xr3:uid="{72F92F08-4853-4470-85BD-FBE7B7928CB7}" name="Indicator" dataDxfId="2"/>
    <tableColumn id="3" xr3:uid="{20EC6EBC-AD83-46C8-80CE-7A2A20FA9119}" name="Table ID" dataDxfId="1"/>
    <tableColumn id="4" xr3:uid="{F7533110-016E-4756-89AA-B50C74ECC4DD}" name="Link to Frequency Table" dataDxfId="0"/>
  </tableColumns>
  <tableStyleInfo name="TableStyleMedium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6D6A0-B508-470E-86B6-7C8085BA8E6E}">
  <dimension ref="A1:B14"/>
  <sheetViews>
    <sheetView tabSelected="1" topLeftCell="A6" workbookViewId="0">
      <selection activeCell="D7" sqref="D7"/>
    </sheetView>
  </sheetViews>
  <sheetFormatPr defaultRowHeight="15"/>
  <cols>
    <col min="1" max="1" width="32.85546875" customWidth="1"/>
    <col min="2" max="2" width="145.5703125" bestFit="1" customWidth="1"/>
  </cols>
  <sheetData>
    <row r="1" spans="1:2" ht="23.25">
      <c r="A1" s="41" t="s">
        <v>0</v>
      </c>
      <c r="B1" s="41"/>
    </row>
    <row r="2" spans="1:2" ht="16.5">
      <c r="A2" s="38" t="s">
        <v>1</v>
      </c>
      <c r="B2" s="38" t="s">
        <v>2</v>
      </c>
    </row>
    <row r="3" spans="1:2" ht="16.5">
      <c r="A3" s="40" t="s">
        <v>3</v>
      </c>
      <c r="B3" s="40" t="s">
        <v>4</v>
      </c>
    </row>
    <row r="4" spans="1:2" ht="408">
      <c r="A4" s="31" t="s">
        <v>5</v>
      </c>
      <c r="B4" s="32" t="s">
        <v>6</v>
      </c>
    </row>
    <row r="5" spans="1:2" ht="219" customHeight="1">
      <c r="A5" s="33" t="s">
        <v>7</v>
      </c>
      <c r="B5" s="34" t="s">
        <v>8</v>
      </c>
    </row>
    <row r="6" spans="1:2" ht="200.25" customHeight="1">
      <c r="A6" s="35" t="s">
        <v>9</v>
      </c>
      <c r="B6" s="36" t="s">
        <v>10</v>
      </c>
    </row>
    <row r="7" spans="1:2" ht="255.75" customHeight="1">
      <c r="A7" s="33" t="s">
        <v>11</v>
      </c>
      <c r="B7" s="39" t="s">
        <v>12</v>
      </c>
    </row>
    <row r="8" spans="1:2" ht="16.5">
      <c r="A8" s="42" t="s">
        <v>13</v>
      </c>
      <c r="B8" s="37" t="s">
        <v>14</v>
      </c>
    </row>
    <row r="9" spans="1:2" ht="16.5">
      <c r="A9" s="42"/>
      <c r="B9" s="37" t="s">
        <v>15</v>
      </c>
    </row>
    <row r="10" spans="1:2">
      <c r="A10" s="29"/>
      <c r="B10" s="30"/>
    </row>
    <row r="11" spans="1:2" ht="16.5">
      <c r="A11" s="27" t="s">
        <v>16</v>
      </c>
      <c r="B11" s="27" t="s">
        <v>2</v>
      </c>
    </row>
    <row r="12" spans="1:2">
      <c r="A12" s="28" t="s">
        <v>17</v>
      </c>
      <c r="B12" s="28" t="s">
        <v>18</v>
      </c>
    </row>
    <row r="13" spans="1:2" ht="25.5">
      <c r="A13" s="28" t="s">
        <v>19</v>
      </c>
      <c r="B13" s="28" t="s">
        <v>20</v>
      </c>
    </row>
    <row r="14" spans="1:2">
      <c r="A14" s="28" t="s">
        <v>21</v>
      </c>
      <c r="B14" s="28" t="s">
        <v>22</v>
      </c>
    </row>
  </sheetData>
  <mergeCells count="2">
    <mergeCell ref="A1:B1"/>
    <mergeCell ref="A8:A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40"/>
  <sheetViews>
    <sheetView zoomScale="85" zoomScaleNormal="85" workbookViewId="0">
      <selection activeCell="I4" sqref="I4"/>
    </sheetView>
  </sheetViews>
  <sheetFormatPr defaultRowHeight="15"/>
  <cols>
    <col min="2" max="2" width="28.5703125" customWidth="1"/>
    <col min="3" max="3" width="66" customWidth="1"/>
    <col min="4" max="4" width="12" customWidth="1"/>
    <col min="5" max="5" width="96" customWidth="1"/>
  </cols>
  <sheetData>
    <row r="1" spans="1:14" ht="25.5" customHeight="1">
      <c r="A1" s="43" t="s">
        <v>23</v>
      </c>
      <c r="B1" s="44"/>
      <c r="C1" s="44"/>
      <c r="D1" s="44"/>
      <c r="E1" s="44"/>
      <c r="M1" s="4"/>
      <c r="N1" s="4"/>
    </row>
    <row r="2" spans="1:14" ht="25.5">
      <c r="A2" s="16"/>
      <c r="B2" s="17" t="s">
        <v>24</v>
      </c>
      <c r="C2" s="16"/>
      <c r="D2" s="16"/>
      <c r="E2" s="16"/>
    </row>
    <row r="3" spans="1:14" ht="18.75">
      <c r="A3" s="18"/>
      <c r="B3" s="19" t="s">
        <v>25</v>
      </c>
      <c r="C3" s="18"/>
      <c r="D3" s="19" t="s">
        <v>26</v>
      </c>
      <c r="E3" s="20"/>
    </row>
    <row r="4" spans="1:14" ht="18.75">
      <c r="A4" s="18"/>
      <c r="B4" s="19"/>
      <c r="C4" s="18"/>
      <c r="D4" s="21" t="s">
        <v>27</v>
      </c>
      <c r="E4" s="20"/>
    </row>
    <row r="5" spans="1:14" ht="213" customHeight="1">
      <c r="A5" s="18"/>
      <c r="B5" s="18"/>
      <c r="C5" s="18"/>
      <c r="D5" s="18"/>
      <c r="E5" s="18"/>
    </row>
    <row r="6" spans="1:14" ht="21">
      <c r="B6" s="15" t="s">
        <v>28</v>
      </c>
      <c r="C6" s="15" t="s">
        <v>29</v>
      </c>
      <c r="D6" s="15" t="s">
        <v>30</v>
      </c>
      <c r="E6" s="15" t="s">
        <v>31</v>
      </c>
    </row>
    <row r="7" spans="1:14" ht="15.75">
      <c r="B7" s="5" t="s">
        <v>32</v>
      </c>
      <c r="C7" s="6" t="s">
        <v>33</v>
      </c>
      <c r="D7" s="1">
        <v>2</v>
      </c>
      <c r="E7" s="2" t="str">
        <f>HYPERLINK("#'Data'!A1", "Age of respondents broken down by rural / urban on the admin of overall mean")</f>
        <v>Age of respondents broken down by rural / urban on the admin of overall mean</v>
      </c>
    </row>
    <row r="8" spans="1:14" ht="15.75">
      <c r="B8" s="7" t="s">
        <v>32</v>
      </c>
      <c r="C8" s="8" t="s">
        <v>33</v>
      </c>
      <c r="D8" s="1">
        <v>3</v>
      </c>
      <c r="E8" s="2" t="str">
        <f>HYPERLINK("#'Data'!A9", "Age of respondents broken down by proximity to the Frontline / Russian border on the admin of overall mean")</f>
        <v>Age of respondents broken down by proximity to the Frontline / Russian border on the admin of overall mean</v>
      </c>
    </row>
    <row r="9" spans="1:14" ht="15.75">
      <c r="B9" s="5" t="s">
        <v>32</v>
      </c>
      <c r="C9" s="6" t="s">
        <v>33</v>
      </c>
      <c r="D9" s="1">
        <v>4</v>
      </c>
      <c r="E9" s="2" t="str">
        <f>HYPERLINK("#'Data'!A19", "Age of respondents broken down by member with WGSS disability on the admin of overall mean")</f>
        <v>Age of respondents broken down by member with WGSS disability on the admin of overall mean</v>
      </c>
    </row>
    <row r="10" spans="1:14" ht="15.75">
      <c r="B10" s="7" t="s">
        <v>32</v>
      </c>
      <c r="C10" s="8" t="s">
        <v>33</v>
      </c>
      <c r="D10" s="1">
        <v>5</v>
      </c>
      <c r="E10" s="2" t="str">
        <f>HYPERLINK("#'Data'!A27", "Age of respondents broken down by displacement status of HoH on the admin of overall mean")</f>
        <v>Age of respondents broken down by displacement status of HoH on the admin of overall mean</v>
      </c>
    </row>
    <row r="11" spans="1:14" ht="15.75">
      <c r="B11" s="5" t="s">
        <v>32</v>
      </c>
      <c r="C11" s="6" t="s">
        <v>33</v>
      </c>
      <c r="D11" s="1">
        <v>6</v>
      </c>
      <c r="E11" s="2" t="str">
        <f>HYPERLINK("#'Data'!A33", "Age of respondents broken down by household size on the admin of overall mean")</f>
        <v>Age of respondents broken down by household size on the admin of overall mean</v>
      </c>
    </row>
    <row r="12" spans="1:14" ht="15.75">
      <c r="B12" s="7" t="s">
        <v>32</v>
      </c>
      <c r="C12" s="8" t="s">
        <v>33</v>
      </c>
      <c r="D12" s="1">
        <v>7</v>
      </c>
      <c r="E12" s="2" t="str">
        <f>HYPERLINK("#'Data'!A43", "Age of respondents broken down by single/joint headed HHs on the admin of overall mean")</f>
        <v>Age of respondents broken down by single/joint headed HHs on the admin of overall mean</v>
      </c>
    </row>
    <row r="13" spans="1:14" ht="15.75">
      <c r="B13" s="5" t="s">
        <v>32</v>
      </c>
      <c r="C13" s="6" t="s">
        <v>33</v>
      </c>
      <c r="D13" s="1">
        <v>8</v>
      </c>
      <c r="E13" s="2" t="str">
        <f>HYPERLINK("#'Data'!A53", "Age of respondents broken down by gender of respondent on the admin of overall mean")</f>
        <v>Age of respondents broken down by gender of respondent on the admin of overall mean</v>
      </c>
    </row>
    <row r="14" spans="1:14" ht="15.75">
      <c r="B14" s="7" t="s">
        <v>32</v>
      </c>
      <c r="C14" s="8" t="s">
        <v>34</v>
      </c>
      <c r="D14" s="1">
        <v>10</v>
      </c>
      <c r="E14" s="2" t="str">
        <f>HYPERLINK("#'Data'!A61", "A_18 Respondents Reportedly being Head of the Household (HoH)  broken down by gender of respondent on the admin of overall perc")</f>
        <v>A_18 Respondents Reportedly being Head of the Household (HoH)  broken down by gender of respondent on the admin of overall perc</v>
      </c>
    </row>
    <row r="15" spans="1:14" ht="15.75">
      <c r="B15" s="5" t="s">
        <v>32</v>
      </c>
      <c r="C15" s="6" t="s">
        <v>34</v>
      </c>
      <c r="D15" s="1">
        <v>11</v>
      </c>
      <c r="E15" s="2" t="str">
        <f>HYPERLINK("#'Data'!A69", "A_18 Respondents Reportedly being Head of the Household (HoH)  broken down by age of respondents on the admin of overall perc")</f>
        <v>A_18 Respondents Reportedly being Head of the Household (HoH)  broken down by age of respondents on the admin of overall perc</v>
      </c>
    </row>
    <row r="16" spans="1:14" ht="15.75">
      <c r="B16" s="7" t="s">
        <v>32</v>
      </c>
      <c r="C16" s="8" t="s">
        <v>35</v>
      </c>
      <c r="D16" s="1">
        <v>13</v>
      </c>
      <c r="E16" s="2" t="str">
        <f>HYPERLINK("#'Data'!A81", "B_2 Household size broken down by rural / urban on the admin of overall mean")</f>
        <v>B_2 Household size broken down by rural / urban on the admin of overall mean</v>
      </c>
    </row>
    <row r="17" spans="2:5" ht="15.75">
      <c r="B17" s="5" t="s">
        <v>32</v>
      </c>
      <c r="C17" s="6" t="s">
        <v>35</v>
      </c>
      <c r="D17" s="1">
        <v>14</v>
      </c>
      <c r="E17" s="2" t="str">
        <f>HYPERLINK("#'Data'!A89", "B_2 Household size broken down by proximity to the Frontline / Russian border on the admin of overall mean")</f>
        <v>B_2 Household size broken down by proximity to the Frontline / Russian border on the admin of overall mean</v>
      </c>
    </row>
    <row r="18" spans="2:5" ht="15.75">
      <c r="B18" s="7" t="s">
        <v>32</v>
      </c>
      <c r="C18" s="8" t="s">
        <v>35</v>
      </c>
      <c r="D18" s="1">
        <v>15</v>
      </c>
      <c r="E18" s="2" t="str">
        <f>HYPERLINK("#'Data'!A99", "B_2 Household size broken down by member with WGSS disability on the admin of overall mean")</f>
        <v>B_2 Household size broken down by member with WGSS disability on the admin of overall mean</v>
      </c>
    </row>
    <row r="19" spans="2:5" ht="15.75">
      <c r="B19" s="5" t="s">
        <v>32</v>
      </c>
      <c r="C19" s="6" t="s">
        <v>35</v>
      </c>
      <c r="D19" s="1">
        <v>16</v>
      </c>
      <c r="E19" s="2" t="str">
        <f>HYPERLINK("#'Data'!A107", "B_2 Household size broken down by displacement status of HoH on the admin of overall mean")</f>
        <v>B_2 Household size broken down by displacement status of HoH on the admin of overall mean</v>
      </c>
    </row>
    <row r="20" spans="2:5" ht="15.75">
      <c r="B20" s="7" t="s">
        <v>32</v>
      </c>
      <c r="C20" s="8" t="s">
        <v>35</v>
      </c>
      <c r="D20" s="1">
        <v>17</v>
      </c>
      <c r="E20" s="2" t="str">
        <f>HYPERLINK("#'Data'!A113", "B_2 Household size broken down by single/joint headed HHs on the admin of overall mean")</f>
        <v>B_2 Household size broken down by single/joint headed HHs on the admin of overall mean</v>
      </c>
    </row>
    <row r="21" spans="2:5" ht="15.75">
      <c r="B21" s="5" t="s">
        <v>32</v>
      </c>
      <c r="C21" s="6" t="s">
        <v>35</v>
      </c>
      <c r="D21" s="1">
        <v>18</v>
      </c>
      <c r="E21" s="2" t="str">
        <f>HYPERLINK("#'Data'!A123", "B_2 Household size broken down by gender of respondent on the admin of overall mean")</f>
        <v>B_2 Household size broken down by gender of respondent on the admin of overall mean</v>
      </c>
    </row>
    <row r="22" spans="2:5" ht="15.75">
      <c r="B22" s="7" t="s">
        <v>32</v>
      </c>
      <c r="C22" s="8" t="s">
        <v>36</v>
      </c>
      <c r="D22" s="1">
        <v>20</v>
      </c>
      <c r="E22" s="2" t="str">
        <f>HYPERLINK("#'Data'!A131", "B_5 Age of Household members broken down by rural / urban on the admin of overall mean")</f>
        <v>B_5 Age of Household members broken down by rural / urban on the admin of overall mean</v>
      </c>
    </row>
    <row r="23" spans="2:5" ht="15.75">
      <c r="B23" s="5" t="s">
        <v>32</v>
      </c>
      <c r="C23" s="6" t="s">
        <v>36</v>
      </c>
      <c r="D23" s="1">
        <v>21</v>
      </c>
      <c r="E23" s="2" t="str">
        <f>HYPERLINK("#'Data'!A139", "B_5 Age of Household members broken down by proximity to the Frontline / Russian border on the admin of overall mean")</f>
        <v>B_5 Age of Household members broken down by proximity to the Frontline / Russian border on the admin of overall mean</v>
      </c>
    </row>
    <row r="24" spans="2:5" ht="15.75">
      <c r="B24" s="7" t="s">
        <v>32</v>
      </c>
      <c r="C24" s="8" t="s">
        <v>36</v>
      </c>
      <c r="D24" s="1">
        <v>22</v>
      </c>
      <c r="E24" s="2" t="str">
        <f>HYPERLINK("#'Data'!A149", "B_5 Age of Household members broken down by member with WGSS disability on the admin of overall mean")</f>
        <v>B_5 Age of Household members broken down by member with WGSS disability on the admin of overall mean</v>
      </c>
    </row>
    <row r="25" spans="2:5" ht="15.75">
      <c r="B25" s="5" t="s">
        <v>32</v>
      </c>
      <c r="C25" s="6" t="s">
        <v>36</v>
      </c>
      <c r="D25" s="1">
        <v>23</v>
      </c>
      <c r="E25" s="2" t="str">
        <f>HYPERLINK("#'Data'!A157", "B_5 Age of Household members broken down by displacement status of HoH on the admin of overall mean")</f>
        <v>B_5 Age of Household members broken down by displacement status of HoH on the admin of overall mean</v>
      </c>
    </row>
    <row r="26" spans="2:5" ht="15.75">
      <c r="B26" s="7" t="s">
        <v>32</v>
      </c>
      <c r="C26" s="8" t="s">
        <v>36</v>
      </c>
      <c r="D26" s="1">
        <v>24</v>
      </c>
      <c r="E26" s="2" t="str">
        <f>HYPERLINK("#'Data'!A163", "B_5 Age of Household members broken down by household size on the admin of overall mean")</f>
        <v>B_5 Age of Household members broken down by household size on the admin of overall mean</v>
      </c>
    </row>
    <row r="27" spans="2:5" ht="15.75">
      <c r="B27" s="5" t="s">
        <v>32</v>
      </c>
      <c r="C27" s="6" t="s">
        <v>36</v>
      </c>
      <c r="D27" s="1">
        <v>25</v>
      </c>
      <c r="E27" s="2" t="str">
        <f>HYPERLINK("#'Data'!A173", "B_5 Age of Household members broken down by single/joint headed HHs on the admin of overall mean")</f>
        <v>B_5 Age of Household members broken down by single/joint headed HHs on the admin of overall mean</v>
      </c>
    </row>
    <row r="28" spans="2:5" ht="15.75">
      <c r="B28" s="7" t="s">
        <v>32</v>
      </c>
      <c r="C28" s="8" t="s">
        <v>37</v>
      </c>
      <c r="D28" s="1">
        <v>27</v>
      </c>
      <c r="E28" s="2" t="str">
        <f>HYPERLINK("#'Data'!A183", "B_7 Gender of Household members broken down by rural / urban on the admin of overall perc")</f>
        <v>B_7 Gender of Household members broken down by rural / urban on the admin of overall perc</v>
      </c>
    </row>
    <row r="29" spans="2:5" ht="15.75">
      <c r="B29" s="5" t="s">
        <v>32</v>
      </c>
      <c r="C29" s="6" t="s">
        <v>37</v>
      </c>
      <c r="D29" s="1">
        <v>28</v>
      </c>
      <c r="E29" s="2" t="str">
        <f>HYPERLINK("#'Data'!A191", "B_7 Gender of Household members broken down by proximity to the Frontline / Russian border on the admin of overall perc")</f>
        <v>B_7 Gender of Household members broken down by proximity to the Frontline / Russian border on the admin of overall perc</v>
      </c>
    </row>
    <row r="30" spans="2:5" ht="15.75">
      <c r="B30" s="7" t="s">
        <v>32</v>
      </c>
      <c r="C30" s="8" t="s">
        <v>37</v>
      </c>
      <c r="D30" s="1">
        <v>29</v>
      </c>
      <c r="E30" s="2" t="str">
        <f>HYPERLINK("#'Data'!A201", "B_7 Gender of Household members broken down by member with WGSS disability on the admin of overall perc")</f>
        <v>B_7 Gender of Household members broken down by member with WGSS disability on the admin of overall perc</v>
      </c>
    </row>
    <row r="31" spans="2:5" ht="15.75">
      <c r="B31" s="5" t="s">
        <v>32</v>
      </c>
      <c r="C31" s="6" t="s">
        <v>37</v>
      </c>
      <c r="D31" s="1">
        <v>30</v>
      </c>
      <c r="E31" s="2" t="str">
        <f>HYPERLINK("#'Data'!A209", "B_7 Gender of Household members broken down by displacement status of HoH on the admin of overall perc")</f>
        <v>B_7 Gender of Household members broken down by displacement status of HoH on the admin of overall perc</v>
      </c>
    </row>
    <row r="32" spans="2:5" ht="15.75">
      <c r="B32" s="7" t="s">
        <v>32</v>
      </c>
      <c r="C32" s="8" t="s">
        <v>37</v>
      </c>
      <c r="D32" s="1">
        <v>31</v>
      </c>
      <c r="E32" s="2" t="str">
        <f>HYPERLINK("#'Data'!A215", "B_7 Gender of Household members broken down by household size on the admin of overall perc")</f>
        <v>B_7 Gender of Household members broken down by household size on the admin of overall perc</v>
      </c>
    </row>
    <row r="33" spans="2:5" ht="15.75">
      <c r="B33" s="5" t="s">
        <v>32</v>
      </c>
      <c r="C33" s="6" t="s">
        <v>37</v>
      </c>
      <c r="D33" s="1">
        <v>32</v>
      </c>
      <c r="E33" s="2" t="str">
        <f>HYPERLINK("#'Data'!A225", "B_7 Gender of Household members broken down by single/joint headed HHs on the admin of overall perc")</f>
        <v>B_7 Gender of Household members broken down by single/joint headed HHs on the admin of overall perc</v>
      </c>
    </row>
    <row r="34" spans="2:5" ht="15.75">
      <c r="B34" s="7" t="s">
        <v>32</v>
      </c>
      <c r="C34" s="8" t="s">
        <v>38</v>
      </c>
      <c r="D34" s="1">
        <v>35</v>
      </c>
      <c r="E34" s="2" t="str">
        <f>HYPERLINK("#'Data'!A235", "B_12 Education of Heads of Households broken down by rural / urban on the admin of overall perc")</f>
        <v>B_12 Education of Heads of Households broken down by rural / urban on the admin of overall perc</v>
      </c>
    </row>
    <row r="35" spans="2:5" ht="15.75">
      <c r="B35" s="5" t="s">
        <v>32</v>
      </c>
      <c r="C35" s="6" t="s">
        <v>38</v>
      </c>
      <c r="D35" s="1">
        <v>36</v>
      </c>
      <c r="E35" s="2" t="str">
        <f>HYPERLINK("#'Data'!A243", "B_12 Education of Heads of Households broken down by proximity to the Frontline / Russian border on the admin of overall perc")</f>
        <v>B_12 Education of Heads of Households broken down by proximity to the Frontline / Russian border on the admin of overall perc</v>
      </c>
    </row>
    <row r="36" spans="2:5" ht="15.75">
      <c r="B36" s="7" t="s">
        <v>32</v>
      </c>
      <c r="C36" s="8" t="s">
        <v>38</v>
      </c>
      <c r="D36" s="1">
        <v>37</v>
      </c>
      <c r="E36" s="2" t="str">
        <f>HYPERLINK("#'Data'!A253", "B_12 Education of Heads of Households broken down by member with WGSS disability on the admin of overall perc")</f>
        <v>B_12 Education of Heads of Households broken down by member with WGSS disability on the admin of overall perc</v>
      </c>
    </row>
    <row r="37" spans="2:5" ht="15.75">
      <c r="B37" s="5" t="s">
        <v>32</v>
      </c>
      <c r="C37" s="6" t="s">
        <v>38</v>
      </c>
      <c r="D37" s="1">
        <v>38</v>
      </c>
      <c r="E37" s="2" t="str">
        <f>HYPERLINK("#'Data'!A261", "B_12 Education of Heads of Households broken down by displacement status of HoH on the admin of overall perc")</f>
        <v>B_12 Education of Heads of Households broken down by displacement status of HoH on the admin of overall perc</v>
      </c>
    </row>
    <row r="38" spans="2:5" ht="15.75">
      <c r="B38" s="7" t="s">
        <v>32</v>
      </c>
      <c r="C38" s="8" t="s">
        <v>38</v>
      </c>
      <c r="D38" s="1">
        <v>39</v>
      </c>
      <c r="E38" s="2" t="str">
        <f>HYPERLINK("#'Data'!A267", "B_12 Education of Heads of Households broken down by household size on the admin of overall perc")</f>
        <v>B_12 Education of Heads of Households broken down by household size on the admin of overall perc</v>
      </c>
    </row>
    <row r="39" spans="2:5" ht="15.75">
      <c r="B39" s="5" t="s">
        <v>32</v>
      </c>
      <c r="C39" s="6" t="s">
        <v>38</v>
      </c>
      <c r="D39" s="1">
        <v>40</v>
      </c>
      <c r="E39" s="2" t="str">
        <f>HYPERLINK("#'Data'!A277", "B_12 Education of Heads of Households broken down by single/joint headed HHs on the admin of overall perc")</f>
        <v>B_12 Education of Heads of Households broken down by single/joint headed HHs on the admin of overall perc</v>
      </c>
    </row>
    <row r="40" spans="2:5" ht="15.75">
      <c r="B40" s="7" t="s">
        <v>32</v>
      </c>
      <c r="C40" s="8" t="s">
        <v>39</v>
      </c>
      <c r="D40" s="1">
        <v>42</v>
      </c>
      <c r="E40" s="2" t="str">
        <f>HYPERLINK("#'Data'!A287", "E_2 Employment status of Household members broken down by age of household members of employment age on the admin of overall perc")</f>
        <v>E_2 Employment status of Household members broken down by age of household members of employment age on the admin of overall perc</v>
      </c>
    </row>
    <row r="41" spans="2:5" ht="15.75">
      <c r="B41" s="5" t="s">
        <v>32</v>
      </c>
      <c r="C41" s="6" t="s">
        <v>39</v>
      </c>
      <c r="D41" s="1">
        <v>43</v>
      </c>
      <c r="E41" s="2" t="str">
        <f>HYPERLINK("#'Data'!A301", "E_2 Employment status of Household members broken down by gender and age of household members of employment age on the admin of overall perc")</f>
        <v>E_2 Employment status of Household members broken down by gender and age of household members of employment age on the admin of overall perc</v>
      </c>
    </row>
    <row r="42" spans="2:5" ht="15.75">
      <c r="B42" s="7" t="s">
        <v>32</v>
      </c>
      <c r="C42" s="8" t="s">
        <v>39</v>
      </c>
      <c r="D42" s="1">
        <v>44</v>
      </c>
      <c r="E42" s="2" t="str">
        <f>HYPERLINK("#'Data'!A326", "E_2 Employment status of Household members broken down by rural / urban on the admin of overall perc")</f>
        <v>E_2 Employment status of Household members broken down by rural / urban on the admin of overall perc</v>
      </c>
    </row>
    <row r="43" spans="2:5" ht="15.75">
      <c r="B43" s="5" t="s">
        <v>32</v>
      </c>
      <c r="C43" s="6" t="s">
        <v>39</v>
      </c>
      <c r="D43" s="1">
        <v>45</v>
      </c>
      <c r="E43" s="2" t="str">
        <f>HYPERLINK("#'Data'!A334", "E_2 Employment status of Household members broken down by proximity to the Frontline / Russian border on the admin of overall perc")</f>
        <v>E_2 Employment status of Household members broken down by proximity to the Frontline / Russian border on the admin of overall perc</v>
      </c>
    </row>
    <row r="44" spans="2:5" ht="15.75">
      <c r="B44" s="7" t="s">
        <v>32</v>
      </c>
      <c r="C44" s="8" t="s">
        <v>39</v>
      </c>
      <c r="D44" s="1">
        <v>46</v>
      </c>
      <c r="E44" s="2" t="str">
        <f>HYPERLINK("#'Data'!A344", "E_2 Employment status of Household members broken down by member with WGSS disability on the admin of overall perc")</f>
        <v>E_2 Employment status of Household members broken down by member with WGSS disability on the admin of overall perc</v>
      </c>
    </row>
    <row r="45" spans="2:5" ht="15.75">
      <c r="B45" s="5" t="s">
        <v>32</v>
      </c>
      <c r="C45" s="6" t="s">
        <v>39</v>
      </c>
      <c r="D45" s="1">
        <v>47</v>
      </c>
      <c r="E45" s="2" t="str">
        <f>HYPERLINK("#'Data'!A352", "E_2 Employment status of Household members broken down by displacement status of HoH on the admin of overall perc")</f>
        <v>E_2 Employment status of Household members broken down by displacement status of HoH on the admin of overall perc</v>
      </c>
    </row>
    <row r="46" spans="2:5" ht="15.75">
      <c r="B46" s="7" t="s">
        <v>32</v>
      </c>
      <c r="C46" s="8" t="s">
        <v>39</v>
      </c>
      <c r="D46" s="1">
        <v>48</v>
      </c>
      <c r="E46" s="2" t="str">
        <f>HYPERLINK("#'Data'!A358", "E_2 Employment status of Household members broken down by household size on the admin of overall perc")</f>
        <v>E_2 Employment status of Household members broken down by household size on the admin of overall perc</v>
      </c>
    </row>
    <row r="47" spans="2:5" ht="15.75">
      <c r="B47" s="5" t="s">
        <v>32</v>
      </c>
      <c r="C47" s="6" t="s">
        <v>39</v>
      </c>
      <c r="D47" s="1">
        <v>49</v>
      </c>
      <c r="E47" s="2" t="str">
        <f>HYPERLINK("#'Data'!A368", "E_2 Employment status of Household members broken down by single/joint headed HHs on the admin of overall perc")</f>
        <v>E_2 Employment status of Household members broken down by single/joint headed HHs on the admin of overall perc</v>
      </c>
    </row>
    <row r="48" spans="2:5" ht="15.75">
      <c r="B48" s="7" t="s">
        <v>32</v>
      </c>
      <c r="C48" s="8" t="s">
        <v>39</v>
      </c>
      <c r="D48" s="1">
        <v>50</v>
      </c>
      <c r="E48" s="2" t="str">
        <f>HYPERLINK("#'Data'!A378", "E_2 Employment status of Household members broken down by presence of children on the admin of overall perc")</f>
        <v>E_2 Employment status of Household members broken down by presence of children on the admin of overall perc</v>
      </c>
    </row>
    <row r="49" spans="2:5" ht="15.75">
      <c r="B49" s="5" t="s">
        <v>32</v>
      </c>
      <c r="C49" s="6" t="s">
        <v>39</v>
      </c>
      <c r="D49" s="1">
        <v>51</v>
      </c>
      <c r="E49" s="2" t="str">
        <f>HYPERLINK("#'Data'!A386", "E_2 Employment status of Household members broken down by single care provider on the admin of overall perc")</f>
        <v>E_2 Employment status of Household members broken down by single care provider on the admin of overall perc</v>
      </c>
    </row>
    <row r="50" spans="2:5" ht="15.75">
      <c r="B50" s="7" t="s">
        <v>32</v>
      </c>
      <c r="C50" s="8" t="s">
        <v>40</v>
      </c>
      <c r="D50" s="1">
        <v>53</v>
      </c>
      <c r="E50" s="2" t="str">
        <f>HYPERLINK("#'Data'!A398", "E_3 Household members who reportedly sought job in the past 4 weeks  broken down by age of household members of employment age on the admin of over...")</f>
        <v>E_3 Household members who reportedly sought job in the past 4 weeks  broken down by age of household members of employment age on the admin of over...</v>
      </c>
    </row>
    <row r="51" spans="2:5" ht="15.75">
      <c r="B51" s="5" t="s">
        <v>32</v>
      </c>
      <c r="C51" s="6" t="s">
        <v>40</v>
      </c>
      <c r="D51" s="1">
        <v>54</v>
      </c>
      <c r="E51" s="2" t="str">
        <f>HYPERLINK("#'Data'!A410", "E_3 Household members who reportedly sought job in the past 4 weeks  broken down by gender and age of household members of employment age on the ad...")</f>
        <v>E_3 Household members who reportedly sought job in the past 4 weeks  broken down by gender and age of household members of employment age on the ad...</v>
      </c>
    </row>
    <row r="52" spans="2:5" ht="15.75">
      <c r="B52" s="7" t="s">
        <v>32</v>
      </c>
      <c r="C52" s="8" t="s">
        <v>40</v>
      </c>
      <c r="D52" s="1">
        <v>55</v>
      </c>
      <c r="E52" s="2" t="str">
        <f>HYPERLINK("#'Data'!A431", "E_3 Household members who reportedly sought job in the past 4 weeks  broken down by rural / urban on the admin of overall perc")</f>
        <v>E_3 Household members who reportedly sought job in the past 4 weeks  broken down by rural / urban on the admin of overall perc</v>
      </c>
    </row>
    <row r="53" spans="2:5" ht="15.75">
      <c r="B53" s="5" t="s">
        <v>32</v>
      </c>
      <c r="C53" s="6" t="s">
        <v>40</v>
      </c>
      <c r="D53" s="1">
        <v>56</v>
      </c>
      <c r="E53" s="2" t="str">
        <f>HYPERLINK("#'Data'!A439", "E_3 Household members who reportedly sought job in the past 4 weeks  broken down by proximity to the Frontline / Russian border on the admin of ove...")</f>
        <v>E_3 Household members who reportedly sought job in the past 4 weeks  broken down by proximity to the Frontline / Russian border on the admin of ove...</v>
      </c>
    </row>
    <row r="54" spans="2:5" ht="15.75">
      <c r="B54" s="7" t="s">
        <v>32</v>
      </c>
      <c r="C54" s="8" t="s">
        <v>40</v>
      </c>
      <c r="D54" s="1">
        <v>57</v>
      </c>
      <c r="E54" s="2" t="str">
        <f>HYPERLINK("#'Data'!A449", "E_3 Household members who reportedly sought job in the past 4 weeks  broken down by member with WGSS disability on the admin of overall perc")</f>
        <v>E_3 Household members who reportedly sought job in the past 4 weeks  broken down by member with WGSS disability on the admin of overall perc</v>
      </c>
    </row>
    <row r="55" spans="2:5" ht="15.75">
      <c r="B55" s="5" t="s">
        <v>32</v>
      </c>
      <c r="C55" s="6" t="s">
        <v>40</v>
      </c>
      <c r="D55" s="1">
        <v>58</v>
      </c>
      <c r="E55" s="2" t="str">
        <f>HYPERLINK("#'Data'!A457", "E_3 Household members who reportedly sought job in the past 4 weeks  broken down by displacement status of HoH on the admin of overall perc")</f>
        <v>E_3 Household members who reportedly sought job in the past 4 weeks  broken down by displacement status of HoH on the admin of overall perc</v>
      </c>
    </row>
    <row r="56" spans="2:5" ht="15.75">
      <c r="B56" s="7" t="s">
        <v>32</v>
      </c>
      <c r="C56" s="8" t="s">
        <v>40</v>
      </c>
      <c r="D56" s="1">
        <v>59</v>
      </c>
      <c r="E56" s="2" t="str">
        <f>HYPERLINK("#'Data'!A463", "E_3 Household members who reportedly sought job in the past 4 weeks  broken down by household size on the admin of overall perc")</f>
        <v>E_3 Household members who reportedly sought job in the past 4 weeks  broken down by household size on the admin of overall perc</v>
      </c>
    </row>
    <row r="57" spans="2:5" ht="15.75">
      <c r="B57" s="5" t="s">
        <v>32</v>
      </c>
      <c r="C57" s="6" t="s">
        <v>40</v>
      </c>
      <c r="D57" s="1">
        <v>60</v>
      </c>
      <c r="E57" s="2" t="str">
        <f>HYPERLINK("#'Data'!A473", "E_3 Household members who reportedly sought job in the past 4 weeks  broken down by single/joint headed HHs on the admin of overall perc")</f>
        <v>E_3 Household members who reportedly sought job in the past 4 weeks  broken down by single/joint headed HHs on the admin of overall perc</v>
      </c>
    </row>
    <row r="58" spans="2:5" ht="15.75">
      <c r="B58" s="7" t="s">
        <v>32</v>
      </c>
      <c r="C58" s="8" t="s">
        <v>40</v>
      </c>
      <c r="D58" s="1">
        <v>61</v>
      </c>
      <c r="E58" s="2" t="str">
        <f>HYPERLINK("#'Data'!A483", "E_3 Household members who reportedly sought job in the past 4 weeks  broken down by presence of children on the admin of overall perc")</f>
        <v>E_3 Household members who reportedly sought job in the past 4 weeks  broken down by presence of children on the admin of overall perc</v>
      </c>
    </row>
    <row r="59" spans="2:5" ht="15.75">
      <c r="B59" s="5" t="s">
        <v>32</v>
      </c>
      <c r="C59" s="6" t="s">
        <v>40</v>
      </c>
      <c r="D59" s="1">
        <v>62</v>
      </c>
      <c r="E59" s="2" t="str">
        <f>HYPERLINK("#'Data'!A491", "E_3 Household members who reportedly sought job in the past 4 weeks  broken down by single care provider on the admin of overall perc")</f>
        <v>E_3 Household members who reportedly sought job in the past 4 weeks  broken down by single care provider on the admin of overall perc</v>
      </c>
    </row>
    <row r="60" spans="2:5" ht="15.75">
      <c r="B60" s="7" t="s">
        <v>32</v>
      </c>
      <c r="C60" s="8" t="s">
        <v>40</v>
      </c>
      <c r="D60" s="1">
        <v>64</v>
      </c>
      <c r="E60" s="2" t="str">
        <f>HYPERLINK("#'Data'!A503", "E_4 Employment barriers faced by household members that sought job in the last 4 weeks broken down by age of household members of employment age on...")</f>
        <v>E_4 Employment barriers faced by household members that sought job in the last 4 weeks broken down by age of household members of employment age on...</v>
      </c>
    </row>
    <row r="61" spans="2:5" ht="15.75">
      <c r="B61" s="5" t="s">
        <v>32</v>
      </c>
      <c r="C61" s="6" t="s">
        <v>41</v>
      </c>
      <c r="D61" s="1">
        <v>65</v>
      </c>
      <c r="E61" s="2" t="str">
        <f>HYPERLINK("#'Data'!A515", "E_4 Employment barriers faced by household members that sought job in the last 4 weeks broken down by gender and age of household members of employ...")</f>
        <v>E_4 Employment barriers faced by household members that sought job in the last 4 weeks broken down by gender and age of household members of employ...</v>
      </c>
    </row>
    <row r="62" spans="2:5" ht="15.75">
      <c r="B62" s="7" t="s">
        <v>32</v>
      </c>
      <c r="C62" s="8" t="s">
        <v>41</v>
      </c>
      <c r="D62" s="1">
        <v>66</v>
      </c>
      <c r="E62" s="2" t="str">
        <f>HYPERLINK("#'Data'!A536", "E_4 Employment barriers faced by household members that sought job in the last 4 weeks broken down by rural / urban on the admin of overall perc")</f>
        <v>E_4 Employment barriers faced by household members that sought job in the last 4 weeks broken down by rural / urban on the admin of overall perc</v>
      </c>
    </row>
    <row r="63" spans="2:5" ht="15.75">
      <c r="B63" s="5" t="s">
        <v>32</v>
      </c>
      <c r="C63" s="6" t="s">
        <v>41</v>
      </c>
      <c r="D63" s="1">
        <v>67</v>
      </c>
      <c r="E63" s="2" t="str">
        <f>HYPERLINK("#'Data'!A544", "E_4 Employment barriers faced by household members that sought job in the last 4 weeks broken down by proximity to the Frontline / Russian border o...")</f>
        <v>E_4 Employment barriers faced by household members that sought job in the last 4 weeks broken down by proximity to the Frontline / Russian border o...</v>
      </c>
    </row>
    <row r="64" spans="2:5" ht="15.75">
      <c r="B64" s="7" t="s">
        <v>32</v>
      </c>
      <c r="C64" s="8" t="s">
        <v>41</v>
      </c>
      <c r="D64" s="1">
        <v>68</v>
      </c>
      <c r="E64" s="2" t="str">
        <f>HYPERLINK("#'Data'!A554", "E_4 Employment barriers faced by household members that sought job in the last 4 weeks broken down by member with WGSS disability on the admin of o...")</f>
        <v>E_4 Employment barriers faced by household members that sought job in the last 4 weeks broken down by member with WGSS disability on the admin of o...</v>
      </c>
    </row>
    <row r="65" spans="2:5" ht="15.75">
      <c r="B65" s="5" t="s">
        <v>32</v>
      </c>
      <c r="C65" s="6" t="s">
        <v>41</v>
      </c>
      <c r="D65" s="1">
        <v>69</v>
      </c>
      <c r="E65" s="2" t="str">
        <f>HYPERLINK("#'Data'!A562", "E_4 Employment barriers faced by household members that sought job in the last 4 weeks broken down by displacement status of HoH on the admin of ov...")</f>
        <v>E_4 Employment barriers faced by household members that sought job in the last 4 weeks broken down by displacement status of HoH on the admin of ov...</v>
      </c>
    </row>
    <row r="66" spans="2:5" ht="15.75">
      <c r="B66" s="7" t="s">
        <v>32</v>
      </c>
      <c r="C66" s="8" t="s">
        <v>41</v>
      </c>
      <c r="D66" s="1">
        <v>70</v>
      </c>
      <c r="E66" s="2" t="str">
        <f>HYPERLINK("#'Data'!A568", "E_4 Employment barriers faced by household members that sought job in the last 4 weeks broken down by household size on the admin of overall perc")</f>
        <v>E_4 Employment barriers faced by household members that sought job in the last 4 weeks broken down by household size on the admin of overall perc</v>
      </c>
    </row>
    <row r="67" spans="2:5" ht="15.75">
      <c r="B67" s="5" t="s">
        <v>32</v>
      </c>
      <c r="C67" s="6" t="s">
        <v>41</v>
      </c>
      <c r="D67" s="1">
        <v>71</v>
      </c>
      <c r="E67" s="2" t="str">
        <f>HYPERLINK("#'Data'!A578", "E_4 Employment barriers faced by household members that sought job in the last 4 weeks broken down by single/joint headed HHs on the admin of overa...")</f>
        <v>E_4 Employment barriers faced by household members that sought job in the last 4 weeks broken down by single/joint headed HHs on the admin of overa...</v>
      </c>
    </row>
    <row r="68" spans="2:5" ht="15.75">
      <c r="B68" s="7" t="s">
        <v>32</v>
      </c>
      <c r="C68" s="8" t="s">
        <v>41</v>
      </c>
      <c r="D68" s="1">
        <v>72</v>
      </c>
      <c r="E68" s="2" t="str">
        <f>HYPERLINK("#'Data'!A588", "E_4 Employment barriers faced by household members that sought job in the last 4 weeks broken down by presence of children on the admin of overall ...")</f>
        <v>E_4 Employment barriers faced by household members that sought job in the last 4 weeks broken down by presence of children on the admin of overall ...</v>
      </c>
    </row>
    <row r="69" spans="2:5" ht="15.75">
      <c r="B69" s="5" t="s">
        <v>32</v>
      </c>
      <c r="C69" s="6" t="s">
        <v>41</v>
      </c>
      <c r="D69" s="1">
        <v>73</v>
      </c>
      <c r="E69" s="2" t="str">
        <f>HYPERLINK("#'Data'!A596", "E_4 Employment barriers faced by household members that sought job in the last 4 weeks broken down by single care provider on the admin of overall ...")</f>
        <v>E_4 Employment barriers faced by household members that sought job in the last 4 weeks broken down by single care provider on the admin of overall ...</v>
      </c>
    </row>
    <row r="70" spans="2:5" ht="15.75">
      <c r="B70" s="7" t="s">
        <v>42</v>
      </c>
      <c r="C70" s="8" t="s">
        <v>43</v>
      </c>
      <c r="D70" s="1">
        <v>75</v>
      </c>
      <c r="E70" s="2" t="str">
        <f>HYPERLINK("#'Data'!A606", "B_8 Medical Facility where a newborn was born broken down by rural / urban on the admin of overall perc")</f>
        <v>B_8 Medical Facility where a newborn was born broken down by rural / urban on the admin of overall perc</v>
      </c>
    </row>
    <row r="71" spans="2:5" ht="15.75">
      <c r="B71" s="5" t="s">
        <v>42</v>
      </c>
      <c r="C71" s="6" t="s">
        <v>43</v>
      </c>
      <c r="D71" s="1">
        <v>76</v>
      </c>
      <c r="E71" s="2" t="str">
        <f>HYPERLINK("#'Data'!A614", "B_8 Medical Facility where a newborn was born broken down by proximity to the Frontline / Russian border on the admin of overall perc")</f>
        <v>B_8 Medical Facility where a newborn was born broken down by proximity to the Frontline / Russian border on the admin of overall perc</v>
      </c>
    </row>
    <row r="72" spans="2:5" ht="15.75">
      <c r="B72" s="7" t="s">
        <v>42</v>
      </c>
      <c r="C72" s="8" t="s">
        <v>43</v>
      </c>
      <c r="D72" s="1">
        <v>77</v>
      </c>
      <c r="E72" s="2" t="str">
        <f>HYPERLINK("#'Data'!A624", "B_8 Medical Facility where a newborn was born broken down by member with WGSS disability on the admin of overall perc")</f>
        <v>B_8 Medical Facility where a newborn was born broken down by member with WGSS disability on the admin of overall perc</v>
      </c>
    </row>
    <row r="73" spans="2:5" ht="15.75">
      <c r="B73" s="5" t="s">
        <v>42</v>
      </c>
      <c r="C73" s="6" t="s">
        <v>43</v>
      </c>
      <c r="D73" s="1">
        <v>78</v>
      </c>
      <c r="E73" s="2" t="str">
        <f>HYPERLINK("#'Data'!A632", "B_8 Medical Facility where a newborn was born broken down by displacement status of HoH on the admin of overall perc")</f>
        <v>B_8 Medical Facility where a newborn was born broken down by displacement status of HoH on the admin of overall perc</v>
      </c>
    </row>
    <row r="74" spans="2:5" ht="15.75">
      <c r="B74" s="7" t="s">
        <v>42</v>
      </c>
      <c r="C74" s="8" t="s">
        <v>43</v>
      </c>
      <c r="D74" s="1">
        <v>79</v>
      </c>
      <c r="E74" s="2" t="str">
        <f>HYPERLINK("#'Data'!A638", "B_8 Medical Facility where a newborn was born broken down by household size on the admin of overall perc")</f>
        <v>B_8 Medical Facility where a newborn was born broken down by household size on the admin of overall perc</v>
      </c>
    </row>
    <row r="75" spans="2:5" ht="15.75">
      <c r="B75" s="5" t="s">
        <v>42</v>
      </c>
      <c r="C75" s="6" t="s">
        <v>43</v>
      </c>
      <c r="D75" s="1">
        <v>80</v>
      </c>
      <c r="E75" s="2" t="str">
        <f>HYPERLINK("#'Data'!A646", "B_8 Medical Facility where a newborn was born broken down by single/joint headed HHs on the admin of overall perc")</f>
        <v>B_8 Medical Facility where a newborn was born broken down by single/joint headed HHs on the admin of overall perc</v>
      </c>
    </row>
    <row r="76" spans="2:5" ht="15.75">
      <c r="B76" s="7" t="s">
        <v>42</v>
      </c>
      <c r="C76" s="8" t="s">
        <v>43</v>
      </c>
      <c r="D76" s="1">
        <v>81</v>
      </c>
      <c r="E76" s="2" t="str">
        <f>HYPERLINK("#'Data'!A656", "B_8 Medical Facility where a newborn was born broken down by income per capita (by quartiles) on the admin of overall perc")</f>
        <v>B_8 Medical Facility where a newborn was born broken down by income per capita (by quartiles) on the admin of overall perc</v>
      </c>
    </row>
    <row r="77" spans="2:5" ht="15.75">
      <c r="B77" s="5" t="s">
        <v>42</v>
      </c>
      <c r="C77" s="6" t="s">
        <v>44</v>
      </c>
      <c r="D77" s="1">
        <v>83</v>
      </c>
      <c r="E77" s="2" t="str">
        <f>HYPERLINK("#'Data'!A668", "D_3 Household members that had a medical problem in the last 3 months and needed to access healthcare broken down by age of household members on th...")</f>
        <v>D_3 Household members that had a medical problem in the last 3 months and needed to access healthcare broken down by age of household members on th...</v>
      </c>
    </row>
    <row r="78" spans="2:5" ht="15.75">
      <c r="B78" s="7" t="s">
        <v>42</v>
      </c>
      <c r="C78" s="8" t="s">
        <v>44</v>
      </c>
      <c r="D78" s="1">
        <v>84</v>
      </c>
      <c r="E78" s="2" t="str">
        <f>HYPERLINK("#'Data'!A698", "D_3 Household members that had a medical problem in the last 3 months and needed to access healthcare broken down by age and gender of household me...")</f>
        <v>D_3 Household members that had a medical problem in the last 3 months and needed to access healthcare broken down by age and gender of household me...</v>
      </c>
    </row>
    <row r="79" spans="2:5" ht="15.75">
      <c r="B79" s="5" t="s">
        <v>42</v>
      </c>
      <c r="C79" s="6" t="s">
        <v>44</v>
      </c>
      <c r="D79" s="1">
        <v>85</v>
      </c>
      <c r="E79" s="2" t="str">
        <f>HYPERLINK("#'Data'!A755", "D_3 Household members that had a medical problem in the last 3 months and needed to access healthcare broken down by rural / urban on the admin of ...")</f>
        <v>D_3 Household members that had a medical problem in the last 3 months and needed to access healthcare broken down by rural / urban on the admin of ...</v>
      </c>
    </row>
    <row r="80" spans="2:5" ht="15.75">
      <c r="B80" s="7" t="s">
        <v>42</v>
      </c>
      <c r="C80" s="8" t="s">
        <v>44</v>
      </c>
      <c r="D80" s="1">
        <v>86</v>
      </c>
      <c r="E80" s="2" t="str">
        <f>HYPERLINK("#'Data'!A763", "D_3 Household members that had a medical problem in the last 3 months and needed to access healthcare broken down by proximity to the Frontline / R...")</f>
        <v>D_3 Household members that had a medical problem in the last 3 months and needed to access healthcare broken down by proximity to the Frontline / R...</v>
      </c>
    </row>
    <row r="81" spans="2:5" ht="15.75">
      <c r="B81" s="5" t="s">
        <v>42</v>
      </c>
      <c r="C81" s="6" t="s">
        <v>44</v>
      </c>
      <c r="D81" s="1">
        <v>87</v>
      </c>
      <c r="E81" s="2" t="str">
        <f>HYPERLINK("#'Data'!A773", "D_3 Household members that had a medical problem in the last 3 months and needed to access healthcare broken down by member with WGSS disability on...")</f>
        <v>D_3 Household members that had a medical problem in the last 3 months and needed to access healthcare broken down by member with WGSS disability on...</v>
      </c>
    </row>
    <row r="82" spans="2:5" ht="15.75">
      <c r="B82" s="7" t="s">
        <v>42</v>
      </c>
      <c r="C82" s="8" t="s">
        <v>44</v>
      </c>
      <c r="D82" s="1">
        <v>88</v>
      </c>
      <c r="E82" s="2" t="str">
        <f>HYPERLINK("#'Data'!A781", "D_3 Household members that had a medical problem in the last 3 months and needed to access healthcare broken down by displacement status of HoH on ...")</f>
        <v>D_3 Household members that had a medical problem in the last 3 months and needed to access healthcare broken down by displacement status of HoH on ...</v>
      </c>
    </row>
    <row r="83" spans="2:5" ht="15.75">
      <c r="B83" s="5" t="s">
        <v>42</v>
      </c>
      <c r="C83" s="6" t="s">
        <v>44</v>
      </c>
      <c r="D83" s="1">
        <v>89</v>
      </c>
      <c r="E83" s="2" t="str">
        <f>HYPERLINK("#'Data'!A787", "D_3 Household members that had a medical problem in the last 3 months and needed to access healthcare broken down by household size on the admin of...")</f>
        <v>D_3 Household members that had a medical problem in the last 3 months and needed to access healthcare broken down by household size on the admin of...</v>
      </c>
    </row>
    <row r="84" spans="2:5" ht="15.75">
      <c r="B84" s="7" t="s">
        <v>42</v>
      </c>
      <c r="C84" s="8" t="s">
        <v>44</v>
      </c>
      <c r="D84" s="1">
        <v>90</v>
      </c>
      <c r="E84" s="2" t="str">
        <f>HYPERLINK("#'Data'!A797", "D_3 Household members that had a medical problem in the last 3 months and needed to access healthcare broken down by single/joint headed HHs on the...")</f>
        <v>D_3 Household members that had a medical problem in the last 3 months and needed to access healthcare broken down by single/joint headed HHs on the...</v>
      </c>
    </row>
    <row r="85" spans="2:5" ht="15.75">
      <c r="B85" s="5" t="s">
        <v>42</v>
      </c>
      <c r="C85" s="6" t="s">
        <v>44</v>
      </c>
      <c r="D85" s="1">
        <v>91</v>
      </c>
      <c r="E85" s="2" t="str">
        <f>HYPERLINK("#'Data'!A807", "D_3 Household members that had a medical problem in the last 3 months and needed to access healthcare broken down by income per capita (by quartile...")</f>
        <v>D_3 Household members that had a medical problem in the last 3 months and needed to access healthcare broken down by income per capita (by quartile...</v>
      </c>
    </row>
    <row r="86" spans="2:5" ht="15.75">
      <c r="B86" s="7" t="s">
        <v>42</v>
      </c>
      <c r="C86" s="8" t="s">
        <v>45</v>
      </c>
      <c r="D86" s="1">
        <v>93</v>
      </c>
      <c r="E86" s="2" t="str">
        <f>HYPERLINK("#'Data'!A819", "D_5 Household members by reported ability to obtain healthcare when they needed it broken down by age of household members on the admin of overall ...")</f>
        <v>D_5 Household members by reported ability to obtain healthcare when they needed it broken down by age of household members on the admin of overall ...</v>
      </c>
    </row>
    <row r="87" spans="2:5" ht="15.75">
      <c r="B87" s="5" t="s">
        <v>42</v>
      </c>
      <c r="C87" s="6" t="s">
        <v>45</v>
      </c>
      <c r="D87" s="1">
        <v>94</v>
      </c>
      <c r="E87" s="2" t="str">
        <f>HYPERLINK("#'Data'!A849", "D_5 Household members by reported ability to obtain healthcare when they needed it broken down by age and gender of household members on the admin ...")</f>
        <v>D_5 Household members by reported ability to obtain healthcare when they needed it broken down by age and gender of household members on the admin ...</v>
      </c>
    </row>
    <row r="88" spans="2:5" ht="15.75">
      <c r="B88" s="7" t="s">
        <v>42</v>
      </c>
      <c r="C88" s="8" t="s">
        <v>45</v>
      </c>
      <c r="D88" s="1">
        <v>95</v>
      </c>
      <c r="E88" s="2" t="str">
        <f>HYPERLINK("#'Data'!A905", "D_5 Household members by reported ability to obtain healthcare when they needed it broken down by rural / urban on the admin of overall perc")</f>
        <v>D_5 Household members by reported ability to obtain healthcare when they needed it broken down by rural / urban on the admin of overall perc</v>
      </c>
    </row>
    <row r="89" spans="2:5" ht="15.75">
      <c r="B89" s="5" t="s">
        <v>42</v>
      </c>
      <c r="C89" s="6" t="s">
        <v>45</v>
      </c>
      <c r="D89" s="1">
        <v>96</v>
      </c>
      <c r="E89" s="2" t="str">
        <f>HYPERLINK("#'Data'!A913", "D_5 Household members by reported ability to obtain healthcare when they needed it broken down by proximity to the Frontline / Russian border on th...")</f>
        <v>D_5 Household members by reported ability to obtain healthcare when they needed it broken down by proximity to the Frontline / Russian border on th...</v>
      </c>
    </row>
    <row r="90" spans="2:5" ht="15.75">
      <c r="B90" s="7" t="s">
        <v>42</v>
      </c>
      <c r="C90" s="8" t="s">
        <v>45</v>
      </c>
      <c r="D90" s="1">
        <v>97</v>
      </c>
      <c r="E90" s="2" t="str">
        <f>HYPERLINK("#'Data'!A923", "D_5 Household members by reported ability to obtain healthcare when they needed it broken down by member with WGSS disability on the admin of overa...")</f>
        <v>D_5 Household members by reported ability to obtain healthcare when they needed it broken down by member with WGSS disability on the admin of overa...</v>
      </c>
    </row>
    <row r="91" spans="2:5" ht="15.75">
      <c r="B91" s="5" t="s">
        <v>42</v>
      </c>
      <c r="C91" s="6" t="s">
        <v>45</v>
      </c>
      <c r="D91" s="1">
        <v>98</v>
      </c>
      <c r="E91" s="2" t="str">
        <f>HYPERLINK("#'Data'!A931", "D_5 Household members by reported ability to obtain healthcare when they needed it broken down by displacement status of HoH on the admin of overal...")</f>
        <v>D_5 Household members by reported ability to obtain healthcare when they needed it broken down by displacement status of HoH on the admin of overal...</v>
      </c>
    </row>
    <row r="92" spans="2:5" ht="15.75">
      <c r="B92" s="7" t="s">
        <v>42</v>
      </c>
      <c r="C92" s="8" t="s">
        <v>45</v>
      </c>
      <c r="D92" s="1">
        <v>99</v>
      </c>
      <c r="E92" s="2" t="str">
        <f>HYPERLINK("#'Data'!A937", "D_5 Household members by reported ability to obtain healthcare when they needed it broken down by household size on the admin of overall perc")</f>
        <v>D_5 Household members by reported ability to obtain healthcare when they needed it broken down by household size on the admin of overall perc</v>
      </c>
    </row>
    <row r="93" spans="2:5" ht="15.75">
      <c r="B93" s="5" t="s">
        <v>42</v>
      </c>
      <c r="C93" s="6" t="s">
        <v>45</v>
      </c>
      <c r="D93" s="1">
        <v>100</v>
      </c>
      <c r="E93" s="2" t="str">
        <f>HYPERLINK("#'Data'!A947", "D_5 Household members by reported ability to obtain healthcare when they needed it broken down by single/joint headed HHs on the admin of overall p...")</f>
        <v>D_5 Household members by reported ability to obtain healthcare when they needed it broken down by single/joint headed HHs on the admin of overall p...</v>
      </c>
    </row>
    <row r="94" spans="2:5" ht="15.75">
      <c r="B94" s="7" t="s">
        <v>42</v>
      </c>
      <c r="C94" s="8" t="s">
        <v>45</v>
      </c>
      <c r="D94" s="1">
        <v>101</v>
      </c>
      <c r="E94" s="2" t="str">
        <f>HYPERLINK("#'Data'!A957", "D_5 Household members by reported ability to obtain healthcare when they needed it broken down by income per capita (by quartiles) on the admin of ...")</f>
        <v>D_5 Household members by reported ability to obtain healthcare when they needed it broken down by income per capita (by quartiles) on the admin of ...</v>
      </c>
    </row>
    <row r="95" spans="2:5" ht="15.75">
      <c r="B95" s="5" t="s">
        <v>42</v>
      </c>
      <c r="C95" s="6" t="s">
        <v>46</v>
      </c>
      <c r="D95" s="1">
        <v>103</v>
      </c>
      <c r="E95" s="2" t="str">
        <f>HYPERLINK("#'Data'!A969", "D_4 Household members that reportedly needed healthcare by type of need broken down by age of household members on the admin of overall perc")</f>
        <v>D_4 Household members that reportedly needed healthcare by type of need broken down by age of household members on the admin of overall perc</v>
      </c>
    </row>
    <row r="96" spans="2:5" ht="15.75">
      <c r="B96" s="7" t="s">
        <v>42</v>
      </c>
      <c r="C96" s="8" t="s">
        <v>46</v>
      </c>
      <c r="D96" s="1">
        <v>104</v>
      </c>
      <c r="E96" s="2" t="str">
        <f>HYPERLINK("#'Data'!A999", "D_4 Household members that reportedly needed healthcare by type of need broken down by age and gender of household members on the admin of overall ...")</f>
        <v>D_4 Household members that reportedly needed healthcare by type of need broken down by age and gender of household members on the admin of overall ...</v>
      </c>
    </row>
    <row r="97" spans="2:5" ht="15.75">
      <c r="B97" s="5" t="s">
        <v>42</v>
      </c>
      <c r="C97" s="6" t="s">
        <v>46</v>
      </c>
      <c r="D97" s="1">
        <v>105</v>
      </c>
      <c r="E97" s="2" t="str">
        <f>HYPERLINK("#'Data'!A1055", "D_4 Household members that reportedly needed healthcare by type of need broken down by rural / urban on the admin of overall perc")</f>
        <v>D_4 Household members that reportedly needed healthcare by type of need broken down by rural / urban on the admin of overall perc</v>
      </c>
    </row>
    <row r="98" spans="2:5" ht="15.75">
      <c r="B98" s="7" t="s">
        <v>42</v>
      </c>
      <c r="C98" s="8" t="s">
        <v>46</v>
      </c>
      <c r="D98" s="1">
        <v>106</v>
      </c>
      <c r="E98" s="2" t="str">
        <f>HYPERLINK("#'Data'!A1063", "D_4 Household members that reportedly needed healthcare by type of need broken down by proximity to the Frontline / Russian border on the admin of ...")</f>
        <v>D_4 Household members that reportedly needed healthcare by type of need broken down by proximity to the Frontline / Russian border on the admin of ...</v>
      </c>
    </row>
    <row r="99" spans="2:5" ht="15.75">
      <c r="B99" s="5" t="s">
        <v>42</v>
      </c>
      <c r="C99" s="6" t="s">
        <v>46</v>
      </c>
      <c r="D99" s="1">
        <v>107</v>
      </c>
      <c r="E99" s="2" t="str">
        <f>HYPERLINK("#'Data'!A1073", "D_4 Household members that reportedly needed healthcare by type of need broken down by member with WGSS disability on the admin of overall perc")</f>
        <v>D_4 Household members that reportedly needed healthcare by type of need broken down by member with WGSS disability on the admin of overall perc</v>
      </c>
    </row>
    <row r="100" spans="2:5" ht="15.75">
      <c r="B100" s="7" t="s">
        <v>42</v>
      </c>
      <c r="C100" s="8" t="s">
        <v>46</v>
      </c>
      <c r="D100" s="1">
        <v>108</v>
      </c>
      <c r="E100" s="2" t="str">
        <f>HYPERLINK("#'Data'!A1081", "D_4 Household members that reportedly needed healthcare by type of need broken down by displacement status of HoH on the admin of overall perc")</f>
        <v>D_4 Household members that reportedly needed healthcare by type of need broken down by displacement status of HoH on the admin of overall perc</v>
      </c>
    </row>
    <row r="101" spans="2:5" ht="15.75">
      <c r="B101" s="5" t="s">
        <v>42</v>
      </c>
      <c r="C101" s="6" t="s">
        <v>46</v>
      </c>
      <c r="D101" s="1">
        <v>109</v>
      </c>
      <c r="E101" s="2" t="str">
        <f>HYPERLINK("#'Data'!A1087", "D_4 Household members that reportedly needed healthcare by type of need broken down by household size on the admin of overall perc")</f>
        <v>D_4 Household members that reportedly needed healthcare by type of need broken down by household size on the admin of overall perc</v>
      </c>
    </row>
    <row r="102" spans="2:5" ht="15.75">
      <c r="B102" s="7" t="s">
        <v>42</v>
      </c>
      <c r="C102" s="8" t="s">
        <v>46</v>
      </c>
      <c r="D102" s="1">
        <v>110</v>
      </c>
      <c r="E102" s="2" t="str">
        <f>HYPERLINK("#'Data'!A1097", "D_4 Household members that reportedly needed healthcare by type of need broken down by single/joint headed HHs on the admin of overall perc")</f>
        <v>D_4 Household members that reportedly needed healthcare by type of need broken down by single/joint headed HHs on the admin of overall perc</v>
      </c>
    </row>
    <row r="103" spans="2:5" ht="15.75">
      <c r="B103" s="5" t="s">
        <v>42</v>
      </c>
      <c r="C103" s="6" t="s">
        <v>46</v>
      </c>
      <c r="D103" s="1">
        <v>111</v>
      </c>
      <c r="E103" s="2" t="str">
        <f>HYPERLINK("#'Data'!A1107", "D_4 Household members that reportedly needed healthcare by type of need broken down by income per capita (by quartiles) on the admin of overall per...")</f>
        <v>D_4 Household members that reportedly needed healthcare by type of need broken down by income per capita (by quartiles) on the admin of overall per...</v>
      </c>
    </row>
    <row r="104" spans="2:5" ht="15.75">
      <c r="B104" s="7" t="s">
        <v>42</v>
      </c>
      <c r="C104" s="8" t="s">
        <v>47</v>
      </c>
      <c r="D104" s="1">
        <v>113</v>
      </c>
      <c r="E104" s="2" t="str">
        <f>HYPERLINK("#'Data'!A1119", "Distance to the nearest medical facility broken down by rural / urban on the admin of overall mean")</f>
        <v>Distance to the nearest medical facility broken down by rural / urban on the admin of overall mean</v>
      </c>
    </row>
    <row r="105" spans="2:5" ht="15.75">
      <c r="B105" s="5" t="s">
        <v>42</v>
      </c>
      <c r="C105" s="6" t="s">
        <v>47</v>
      </c>
      <c r="D105" s="1">
        <v>114</v>
      </c>
      <c r="E105" s="2" t="str">
        <f>HYPERLINK("#'Data'!A1127", "Distance to the nearest medical facility broken down by proximity to the Frontline / Russian border on the admin of overall mean")</f>
        <v>Distance to the nearest medical facility broken down by proximity to the Frontline / Russian border on the admin of overall mean</v>
      </c>
    </row>
    <row r="106" spans="2:5" ht="15.75">
      <c r="B106" s="7" t="s">
        <v>42</v>
      </c>
      <c r="C106" s="8" t="s">
        <v>47</v>
      </c>
      <c r="D106" s="1">
        <v>115</v>
      </c>
      <c r="E106" s="2" t="str">
        <f>HYPERLINK("#'Data'!A1137", "Distance to the nearest medical facility broken down by member with WGSS disability on the admin of overall mean")</f>
        <v>Distance to the nearest medical facility broken down by member with WGSS disability on the admin of overall mean</v>
      </c>
    </row>
    <row r="107" spans="2:5" ht="15.75">
      <c r="B107" s="5" t="s">
        <v>42</v>
      </c>
      <c r="C107" s="6" t="s">
        <v>47</v>
      </c>
      <c r="D107" s="1">
        <v>116</v>
      </c>
      <c r="E107" s="2" t="str">
        <f>HYPERLINK("#'Data'!A1145", "Distance to the nearest medical facility broken down by displacement status of HoH on the admin of overall mean")</f>
        <v>Distance to the nearest medical facility broken down by displacement status of HoH on the admin of overall mean</v>
      </c>
    </row>
    <row r="108" spans="2:5" ht="15.75">
      <c r="B108" s="7" t="s">
        <v>42</v>
      </c>
      <c r="C108" s="8" t="s">
        <v>47</v>
      </c>
      <c r="D108" s="1">
        <v>117</v>
      </c>
      <c r="E108" s="2" t="str">
        <f>HYPERLINK("#'Data'!A1151", "Distance to the nearest medical facility broken down by household size on the admin of overall mean")</f>
        <v>Distance to the nearest medical facility broken down by household size on the admin of overall mean</v>
      </c>
    </row>
    <row r="109" spans="2:5" ht="15.75">
      <c r="B109" s="5" t="s">
        <v>42</v>
      </c>
      <c r="C109" s="6" t="s">
        <v>47</v>
      </c>
      <c r="D109" s="1">
        <v>118</v>
      </c>
      <c r="E109" s="2" t="str">
        <f>HYPERLINK("#'Data'!A1161", "Distance to the nearest medical facility broken down by single/joint headed HHs on the admin of overall mean")</f>
        <v>Distance to the nearest medical facility broken down by single/joint headed HHs on the admin of overall mean</v>
      </c>
    </row>
    <row r="110" spans="2:5" ht="15.75">
      <c r="B110" s="7" t="s">
        <v>42</v>
      </c>
      <c r="C110" s="8" t="s">
        <v>48</v>
      </c>
      <c r="D110" s="1">
        <v>120</v>
      </c>
      <c r="E110" s="2" t="str">
        <f>HYPERLINK("#'Data'!A1171", "Households that reportedly sought any medicine in the last 3 months broken down by rural / urban on the admin of overall perc")</f>
        <v>Households that reportedly sought any medicine in the last 3 months broken down by rural / urban on the admin of overall perc</v>
      </c>
    </row>
    <row r="111" spans="2:5" ht="15.75">
      <c r="B111" s="5" t="s">
        <v>42</v>
      </c>
      <c r="C111" s="6" t="s">
        <v>48</v>
      </c>
      <c r="D111" s="1">
        <v>121</v>
      </c>
      <c r="E111" s="2" t="str">
        <f>HYPERLINK("#'Data'!A1179", "Households that reportedly sought any medicine in the last 3 months broken down by proximity to the Frontline / Russian border on the admin of over...")</f>
        <v>Households that reportedly sought any medicine in the last 3 months broken down by proximity to the Frontline / Russian border on the admin of over...</v>
      </c>
    </row>
    <row r="112" spans="2:5" ht="15.75">
      <c r="B112" s="7" t="s">
        <v>42</v>
      </c>
      <c r="C112" s="8" t="s">
        <v>48</v>
      </c>
      <c r="D112" s="1">
        <v>122</v>
      </c>
      <c r="E112" s="2" t="str">
        <f>HYPERLINK("#'Data'!A1189", "Households that reportedly sought any medicine in the last 3 months broken down by member with WGSS disability on the admin of overall perc")</f>
        <v>Households that reportedly sought any medicine in the last 3 months broken down by member with WGSS disability on the admin of overall perc</v>
      </c>
    </row>
    <row r="113" spans="2:5" ht="15.75">
      <c r="B113" s="5" t="s">
        <v>42</v>
      </c>
      <c r="C113" s="6" t="s">
        <v>48</v>
      </c>
      <c r="D113" s="1">
        <v>123</v>
      </c>
      <c r="E113" s="2" t="str">
        <f>HYPERLINK("#'Data'!A1197", "Households that reportedly sought any medicine in the last 3 months broken down by displacement status of HoH on the admin of overall perc")</f>
        <v>Households that reportedly sought any medicine in the last 3 months broken down by displacement status of HoH on the admin of overall perc</v>
      </c>
    </row>
    <row r="114" spans="2:5" ht="15.75">
      <c r="B114" s="7" t="s">
        <v>42</v>
      </c>
      <c r="C114" s="8" t="s">
        <v>48</v>
      </c>
      <c r="D114" s="1">
        <v>124</v>
      </c>
      <c r="E114" s="2" t="str">
        <f>HYPERLINK("#'Data'!A1203", "Households that reportedly sought any medicine in the last 3 months broken down by household size on the admin of overall perc")</f>
        <v>Households that reportedly sought any medicine in the last 3 months broken down by household size on the admin of overall perc</v>
      </c>
    </row>
    <row r="115" spans="2:5" ht="15.75">
      <c r="B115" s="5" t="s">
        <v>42</v>
      </c>
      <c r="C115" s="6" t="s">
        <v>48</v>
      </c>
      <c r="D115" s="1">
        <v>125</v>
      </c>
      <c r="E115" s="2" t="str">
        <f>HYPERLINK("#'Data'!A1213", "Households that reportedly sought any medicine in the last 3 months broken down by single/joint headed HHs on the admin of overall perc")</f>
        <v>Households that reportedly sought any medicine in the last 3 months broken down by single/joint headed HHs on the admin of overall perc</v>
      </c>
    </row>
    <row r="116" spans="2:5" ht="15.75">
      <c r="B116" s="7" t="s">
        <v>42</v>
      </c>
      <c r="C116" s="8" t="s">
        <v>49</v>
      </c>
      <c r="D116" s="1">
        <v>127</v>
      </c>
      <c r="E116" s="2" t="str">
        <f>HYPERLINK("#'Data'!A1223", "Households that were able to obtaine the medicine they sought in the last 3 months broken down by rural / urban on the admin of overall perc")</f>
        <v>Households that were able to obtaine the medicine they sought in the last 3 months broken down by rural / urban on the admin of overall perc</v>
      </c>
    </row>
    <row r="117" spans="2:5" ht="15.75">
      <c r="B117" s="5" t="s">
        <v>42</v>
      </c>
      <c r="C117" s="6" t="s">
        <v>49</v>
      </c>
      <c r="D117" s="1">
        <v>128</v>
      </c>
      <c r="E117" s="2" t="str">
        <f>HYPERLINK("#'Data'!A1231", "Households that were able to obtaine the medicine they sought in the last 3 months broken down by proximity to the Frontline / Russian border on th...")</f>
        <v>Households that were able to obtaine the medicine they sought in the last 3 months broken down by proximity to the Frontline / Russian border on th...</v>
      </c>
    </row>
    <row r="118" spans="2:5" ht="15.75">
      <c r="B118" s="7" t="s">
        <v>42</v>
      </c>
      <c r="C118" s="8" t="s">
        <v>49</v>
      </c>
      <c r="D118" s="1">
        <v>129</v>
      </c>
      <c r="E118" s="2" t="str">
        <f>HYPERLINK("#'Data'!A1241", "Households that were able to obtaine the medicine they sought in the last 3 months broken down by member with WGSS disability on the admin of overa...")</f>
        <v>Households that were able to obtaine the medicine they sought in the last 3 months broken down by member with WGSS disability on the admin of overa...</v>
      </c>
    </row>
    <row r="119" spans="2:5" ht="15.75">
      <c r="B119" s="5" t="s">
        <v>42</v>
      </c>
      <c r="C119" s="6" t="s">
        <v>49</v>
      </c>
      <c r="D119" s="1">
        <v>130</v>
      </c>
      <c r="E119" s="2" t="str">
        <f>HYPERLINK("#'Data'!A1249", "Households that were able to obtaine the medicine they sought in the last 3 months broken down by displacement status of HoH on the admin of overal...")</f>
        <v>Households that were able to obtaine the medicine they sought in the last 3 months broken down by displacement status of HoH on the admin of overal...</v>
      </c>
    </row>
    <row r="120" spans="2:5" ht="15.75">
      <c r="B120" s="7" t="s">
        <v>42</v>
      </c>
      <c r="C120" s="8" t="s">
        <v>49</v>
      </c>
      <c r="D120" s="1">
        <v>131</v>
      </c>
      <c r="E120" s="2" t="str">
        <f>HYPERLINK("#'Data'!A1255", "Households that were able to obtaine the medicine they sought in the last 3 months broken down by household size on the admin of overall perc")</f>
        <v>Households that were able to obtaine the medicine they sought in the last 3 months broken down by household size on the admin of overall perc</v>
      </c>
    </row>
    <row r="121" spans="2:5" ht="15.75">
      <c r="B121" s="5" t="s">
        <v>42</v>
      </c>
      <c r="C121" s="6" t="s">
        <v>49</v>
      </c>
      <c r="D121" s="1">
        <v>132</v>
      </c>
      <c r="E121" s="2" t="str">
        <f>HYPERLINK("#'Data'!A1265", "Households that were able to obtaine the medicine they sought in the last 3 months broken down by single/joint headed HHs on the admin of overall p...")</f>
        <v>Households that were able to obtaine the medicine they sought in the last 3 months broken down by single/joint headed HHs on the admin of overall p...</v>
      </c>
    </row>
    <row r="122" spans="2:5" ht="15.75">
      <c r="B122" s="7" t="s">
        <v>42</v>
      </c>
      <c r="C122" s="8" t="s">
        <v>50</v>
      </c>
      <c r="D122" s="1">
        <v>134</v>
      </c>
      <c r="E122" s="2" t="str">
        <f>HYPERLINK("#'Data'!A1275", "Households by types of medicines sought in the last 3 months broken down by rural / urban on the admin of overall perc")</f>
        <v>Households by types of medicines sought in the last 3 months broken down by rural / urban on the admin of overall perc</v>
      </c>
    </row>
    <row r="123" spans="2:5" ht="15.75">
      <c r="B123" s="5" t="s">
        <v>42</v>
      </c>
      <c r="C123" s="6" t="s">
        <v>50</v>
      </c>
      <c r="D123" s="1">
        <v>135</v>
      </c>
      <c r="E123" s="2" t="str">
        <f>HYPERLINK("#'Data'!A1283", "Households by types of medicines sought in the last 3 months broken down by proximity to the Frontline / Russian border on the admin of overall per...")</f>
        <v>Households by types of medicines sought in the last 3 months broken down by proximity to the Frontline / Russian border on the admin of overall per...</v>
      </c>
    </row>
    <row r="124" spans="2:5" ht="15.75">
      <c r="B124" s="7" t="s">
        <v>42</v>
      </c>
      <c r="C124" s="8" t="s">
        <v>50</v>
      </c>
      <c r="D124" s="1">
        <v>136</v>
      </c>
      <c r="E124" s="2" t="str">
        <f>HYPERLINK("#'Data'!A1293", "Households by types of medicines sought in the last 3 months broken down by member with WGSS disability on the admin of overall perc")</f>
        <v>Households by types of medicines sought in the last 3 months broken down by member with WGSS disability on the admin of overall perc</v>
      </c>
    </row>
    <row r="125" spans="2:5" ht="15.75">
      <c r="B125" s="5" t="s">
        <v>42</v>
      </c>
      <c r="C125" s="6" t="s">
        <v>50</v>
      </c>
      <c r="D125" s="1">
        <v>137</v>
      </c>
      <c r="E125" s="2" t="str">
        <f>HYPERLINK("#'Data'!A1301", "Households by types of medicines sought in the last 3 months broken down by displacement status of HoH on the admin of overall perc")</f>
        <v>Households by types of medicines sought in the last 3 months broken down by displacement status of HoH on the admin of overall perc</v>
      </c>
    </row>
    <row r="126" spans="2:5" ht="15.75">
      <c r="B126" s="7" t="s">
        <v>42</v>
      </c>
      <c r="C126" s="8" t="s">
        <v>50</v>
      </c>
      <c r="D126" s="1">
        <v>138</v>
      </c>
      <c r="E126" s="2" t="str">
        <f>HYPERLINK("#'Data'!A1307", "Households by types of medicines sought in the last 3 months broken down by household size on the admin of overall perc")</f>
        <v>Households by types of medicines sought in the last 3 months broken down by household size on the admin of overall perc</v>
      </c>
    </row>
    <row r="127" spans="2:5" ht="15.75">
      <c r="B127" s="5" t="s">
        <v>42</v>
      </c>
      <c r="C127" s="6" t="s">
        <v>50</v>
      </c>
      <c r="D127" s="1">
        <v>139</v>
      </c>
      <c r="E127" s="2" t="str">
        <f>HYPERLINK("#'Data'!A1317", "Households by types of medicines sought in the last 3 months broken down by single/joint headed HHs on the admin of overall perc")</f>
        <v>Households by types of medicines sought in the last 3 months broken down by single/joint headed HHs on the admin of overall perc</v>
      </c>
    </row>
    <row r="128" spans="2:5" ht="15.75">
      <c r="B128" s="7" t="s">
        <v>42</v>
      </c>
      <c r="C128" s="8" t="s">
        <v>51</v>
      </c>
      <c r="D128" s="1">
        <v>141</v>
      </c>
      <c r="E128" s="2" t="str">
        <f>HYPERLINK("#'Data'!A1326", "Households that reportedly were unable to obtain medicine from Affordable Medicine Program broken down by rural / urban on the admin of overall per...")</f>
        <v>Households that reportedly were unable to obtain medicine from Affordable Medicine Program broken down by rural / urban on the admin of overall per...</v>
      </c>
    </row>
    <row r="129" spans="2:5" ht="15.75">
      <c r="B129" s="5" t="s">
        <v>42</v>
      </c>
      <c r="C129" s="6" t="s">
        <v>51</v>
      </c>
      <c r="D129" s="1">
        <v>142</v>
      </c>
      <c r="E129" s="2" t="str">
        <f>HYPERLINK("#'Data'!A1334", "Households that reportedly were unable to obtain medicine from Affordable Medicine Program broken down by proximity to the Frontline / Russian bord...")</f>
        <v>Households that reportedly were unable to obtain medicine from Affordable Medicine Program broken down by proximity to the Frontline / Russian bord...</v>
      </c>
    </row>
    <row r="130" spans="2:5" ht="15.75">
      <c r="B130" s="7" t="s">
        <v>42</v>
      </c>
      <c r="C130" s="8" t="s">
        <v>51</v>
      </c>
      <c r="D130" s="1">
        <v>143</v>
      </c>
      <c r="E130" s="2" t="str">
        <f>HYPERLINK("#'Data'!A1344", "Households that reportedly were unable to obtain medicine from Affordable Medicine Program broken down by member with WGSS disability on the admin ...")</f>
        <v>Households that reportedly were unable to obtain medicine from Affordable Medicine Program broken down by member with WGSS disability on the admin ...</v>
      </c>
    </row>
    <row r="131" spans="2:5" ht="15.75">
      <c r="B131" s="5" t="s">
        <v>42</v>
      </c>
      <c r="C131" s="6" t="s">
        <v>51</v>
      </c>
      <c r="D131" s="1">
        <v>144</v>
      </c>
      <c r="E131" s="2" t="str">
        <f>HYPERLINK("#'Data'!A1352", "Households that reportedly were unable to obtain medicine from Affordable Medicine Program broken down by displacement status of HoH on the admin o...")</f>
        <v>Households that reportedly were unable to obtain medicine from Affordable Medicine Program broken down by displacement status of HoH on the admin o...</v>
      </c>
    </row>
    <row r="132" spans="2:5" ht="15.75">
      <c r="B132" s="7" t="s">
        <v>42</v>
      </c>
      <c r="C132" s="8" t="s">
        <v>51</v>
      </c>
      <c r="D132" s="1">
        <v>145</v>
      </c>
      <c r="E132" s="2" t="str">
        <f>HYPERLINK("#'Data'!A1358", "Households that reportedly were unable to obtain medicine from Affordable Medicine Program broken down by household size on the admin of overall pe...")</f>
        <v>Households that reportedly were unable to obtain medicine from Affordable Medicine Program broken down by household size on the admin of overall pe...</v>
      </c>
    </row>
    <row r="133" spans="2:5" ht="15.75">
      <c r="B133" s="5" t="s">
        <v>42</v>
      </c>
      <c r="C133" s="6" t="s">
        <v>51</v>
      </c>
      <c r="D133" s="1">
        <v>146</v>
      </c>
      <c r="E133" s="2" t="str">
        <f>HYPERLINK("#'Data'!A1368", "Households that reportedly were unable to obtain medicine from Affordable Medicine Program broken down by single/joint headed HHs on the admin of o...")</f>
        <v>Households that reportedly were unable to obtain medicine from Affordable Medicine Program broken down by single/joint headed HHs on the admin of o...</v>
      </c>
    </row>
    <row r="134" spans="2:5" ht="15.75">
      <c r="B134" s="7" t="s">
        <v>42</v>
      </c>
      <c r="C134" s="8" t="s">
        <v>52</v>
      </c>
      <c r="D134" s="1">
        <v>148</v>
      </c>
      <c r="E134" s="2" t="str">
        <f>HYPERLINK("#'Data'!A1377", "Households by reported reasons for not being able to obtain medicine from Affordable Medicine Program broken down by rural / urban on the admin of ...")</f>
        <v>Households by reported reasons for not being able to obtain medicine from Affordable Medicine Program broken down by rural / urban on the admin of ...</v>
      </c>
    </row>
    <row r="135" spans="2:5" ht="15.75">
      <c r="B135" s="5" t="s">
        <v>42</v>
      </c>
      <c r="C135" s="6" t="s">
        <v>52</v>
      </c>
      <c r="D135" s="1">
        <v>149</v>
      </c>
      <c r="E135" s="2" t="str">
        <f>HYPERLINK("#'Data'!A1385", "Households by reported reasons for not being able to obtain medicine from Affordable Medicine Program broken down by proximity to the Frontline / R...")</f>
        <v>Households by reported reasons for not being able to obtain medicine from Affordable Medicine Program broken down by proximity to the Frontline / R...</v>
      </c>
    </row>
    <row r="136" spans="2:5" ht="15.75">
      <c r="B136" s="7" t="s">
        <v>42</v>
      </c>
      <c r="C136" s="8" t="s">
        <v>52</v>
      </c>
      <c r="D136" s="1">
        <v>150</v>
      </c>
      <c r="E136" s="2" t="str">
        <f>HYPERLINK("#'Data'!A1394", "Households by reported reasons for not being able to obtain medicine from Affordable Medicine Program broken down by member with WGSS disability on...")</f>
        <v>Households by reported reasons for not being able to obtain medicine from Affordable Medicine Program broken down by member with WGSS disability on...</v>
      </c>
    </row>
    <row r="137" spans="2:5" ht="15.75">
      <c r="B137" s="5" t="s">
        <v>42</v>
      </c>
      <c r="C137" s="6" t="s">
        <v>52</v>
      </c>
      <c r="D137" s="1">
        <v>151</v>
      </c>
      <c r="E137" s="2" t="str">
        <f>HYPERLINK("#'Data'!A1402", "Households by reported reasons for not being able to obtain medicine from Affordable Medicine Program broken down by displacement status of HoH on ...")</f>
        <v>Households by reported reasons for not being able to obtain medicine from Affordable Medicine Program broken down by displacement status of HoH on ...</v>
      </c>
    </row>
    <row r="138" spans="2:5" ht="15.75">
      <c r="B138" s="7" t="s">
        <v>42</v>
      </c>
      <c r="C138" s="8" t="s">
        <v>52</v>
      </c>
      <c r="D138" s="1">
        <v>152</v>
      </c>
      <c r="E138" s="2" t="str">
        <f>HYPERLINK("#'Data'!A1408", "Households by reported reasons for not being able to obtain medicine from Affordable Medicine Program broken down by household size on the admin of...")</f>
        <v>Households by reported reasons for not being able to obtain medicine from Affordable Medicine Program broken down by household size on the admin of...</v>
      </c>
    </row>
    <row r="139" spans="2:5" ht="15.75">
      <c r="B139" s="5" t="s">
        <v>42</v>
      </c>
      <c r="C139" s="6" t="s">
        <v>52</v>
      </c>
      <c r="D139" s="1">
        <v>153</v>
      </c>
      <c r="E139" s="2" t="str">
        <f>HYPERLINK("#'Data'!A1417", "Households by reported reasons for not being able to obtain medicine from Affordable Medicine Program broken down by single/joint headed HHs on the...")</f>
        <v>Households by reported reasons for not being able to obtain medicine from Affordable Medicine Program broken down by single/joint headed HHs on the...</v>
      </c>
    </row>
    <row r="140" spans="2:5" ht="15.75">
      <c r="B140" s="7" t="s">
        <v>42</v>
      </c>
      <c r="C140" s="8" t="s">
        <v>53</v>
      </c>
      <c r="D140" s="1">
        <v>155</v>
      </c>
      <c r="E140" s="2" t="str">
        <f>HYPERLINK("#'Data'!A1426", "Households reporting barriers while accessing healthcare/medication broken down by rural / urban on the admin of overall perc")</f>
        <v>Households reporting barriers while accessing healthcare/medication broken down by rural / urban on the admin of overall perc</v>
      </c>
    </row>
    <row r="141" spans="2:5" ht="15.75">
      <c r="B141" s="5" t="s">
        <v>42</v>
      </c>
      <c r="C141" s="6" t="s">
        <v>53</v>
      </c>
      <c r="D141" s="1">
        <v>156</v>
      </c>
      <c r="E141" s="2" t="str">
        <f>HYPERLINK("#'Data'!A1434", "Households reporting barriers while accessing healthcare/medication broken down by proximity to the Frontline / Russian border on the admin of over...")</f>
        <v>Households reporting barriers while accessing healthcare/medication broken down by proximity to the Frontline / Russian border on the admin of over...</v>
      </c>
    </row>
    <row r="142" spans="2:5" ht="15.75">
      <c r="B142" s="7" t="s">
        <v>42</v>
      </c>
      <c r="C142" s="8" t="s">
        <v>53</v>
      </c>
      <c r="D142" s="1">
        <v>157</v>
      </c>
      <c r="E142" s="2" t="str">
        <f>HYPERLINK("#'Data'!A1444", "Households reporting barriers while accessing healthcare/medication broken down by member with WGSS disability on the admin of overall perc")</f>
        <v>Households reporting barriers while accessing healthcare/medication broken down by member with WGSS disability on the admin of overall perc</v>
      </c>
    </row>
    <row r="143" spans="2:5" ht="15.75">
      <c r="B143" s="5" t="s">
        <v>42</v>
      </c>
      <c r="C143" s="6" t="s">
        <v>53</v>
      </c>
      <c r="D143" s="1">
        <v>158</v>
      </c>
      <c r="E143" s="2" t="str">
        <f>HYPERLINK("#'Data'!A1452", "Households reporting barriers while accessing healthcare/medication broken down by displacement status of HoH on the admin of overall perc")</f>
        <v>Households reporting barriers while accessing healthcare/medication broken down by displacement status of HoH on the admin of overall perc</v>
      </c>
    </row>
    <row r="144" spans="2:5" ht="15.75">
      <c r="B144" s="7" t="s">
        <v>42</v>
      </c>
      <c r="C144" s="8" t="s">
        <v>53</v>
      </c>
      <c r="D144" s="1">
        <v>159</v>
      </c>
      <c r="E144" s="2" t="str">
        <f>HYPERLINK("#'Data'!A1458", "Households reporting barriers while accessing healthcare/medication broken down by household size on the admin of overall perc")</f>
        <v>Households reporting barriers while accessing healthcare/medication broken down by household size on the admin of overall perc</v>
      </c>
    </row>
    <row r="145" spans="2:5" ht="15.75">
      <c r="B145" s="5" t="s">
        <v>42</v>
      </c>
      <c r="C145" s="6" t="s">
        <v>53</v>
      </c>
      <c r="D145" s="1">
        <v>160</v>
      </c>
      <c r="E145" s="2" t="str">
        <f>HYPERLINK("#'Data'!A1468", "Households reporting barriers while accessing healthcare/medication broken down by single/joint headed HHs on the admin of overall perc")</f>
        <v>Households reporting barriers while accessing healthcare/medication broken down by single/joint headed HHs on the admin of overall perc</v>
      </c>
    </row>
    <row r="146" spans="2:5" ht="15.75">
      <c r="B146" s="7" t="s">
        <v>42</v>
      </c>
      <c r="C146" s="8" t="s">
        <v>54</v>
      </c>
      <c r="D146" s="1">
        <v>162</v>
      </c>
      <c r="E146" s="2" t="str">
        <f>HYPERLINK("#'Data'!A1478", "Households with women (12-49 y.o.) reportedly having the information on where to access sexual and reproductive health services broken down by rura...")</f>
        <v>Households with women (12-49 y.o.) reportedly having the information on where to access sexual and reproductive health services broken down by rura...</v>
      </c>
    </row>
    <row r="147" spans="2:5" ht="15.75">
      <c r="B147" s="5" t="s">
        <v>42</v>
      </c>
      <c r="C147" s="6" t="s">
        <v>54</v>
      </c>
      <c r="D147" s="1">
        <v>163</v>
      </c>
      <c r="E147" s="2" t="str">
        <f>HYPERLINK("#'Data'!A1486", "Households with women (12-49 y.o.) reportedly having the information on where to access sexual and reproductive health services broken down by prox...")</f>
        <v>Households with women (12-49 y.o.) reportedly having the information on where to access sexual and reproductive health services broken down by prox...</v>
      </c>
    </row>
    <row r="148" spans="2:5" ht="15.75">
      <c r="B148" s="7" t="s">
        <v>42</v>
      </c>
      <c r="C148" s="8" t="s">
        <v>54</v>
      </c>
      <c r="D148" s="1">
        <v>164</v>
      </c>
      <c r="E148" s="2" t="str">
        <f>HYPERLINK("#'Data'!A1496", "Households with women (12-49 y.o.) reportedly having the information on where to access sexual and reproductive health services broken down by memb...")</f>
        <v>Households with women (12-49 y.o.) reportedly having the information on where to access sexual and reproductive health services broken down by memb...</v>
      </c>
    </row>
    <row r="149" spans="2:5" ht="15.75">
      <c r="B149" s="5" t="s">
        <v>42</v>
      </c>
      <c r="C149" s="6" t="s">
        <v>54</v>
      </c>
      <c r="D149" s="1">
        <v>165</v>
      </c>
      <c r="E149" s="2" t="str">
        <f>HYPERLINK("#'Data'!A1504", "Households with women (12-49 y.o.) reportedly having the information on where to access sexual and reproductive health services broken down by disp...")</f>
        <v>Households with women (12-49 y.o.) reportedly having the information on where to access sexual and reproductive health services broken down by disp...</v>
      </c>
    </row>
    <row r="150" spans="2:5" ht="15.75">
      <c r="B150" s="7" t="s">
        <v>42</v>
      </c>
      <c r="C150" s="8" t="s">
        <v>54</v>
      </c>
      <c r="D150" s="1">
        <v>166</v>
      </c>
      <c r="E150" s="2" t="str">
        <f>HYPERLINK("#'Data'!A1510", "Households with women (12-49 y.o.) reportedly having the information on where to access sexual and reproductive health services broken down by hous...")</f>
        <v>Households with women (12-49 y.o.) reportedly having the information on where to access sexual and reproductive health services broken down by hous...</v>
      </c>
    </row>
    <row r="151" spans="2:5" ht="15.75">
      <c r="B151" s="5" t="s">
        <v>42</v>
      </c>
      <c r="C151" s="6" t="s">
        <v>54</v>
      </c>
      <c r="D151" s="1">
        <v>167</v>
      </c>
      <c r="E151" s="2" t="str">
        <f>HYPERLINK("#'Data'!A1520", "Households with women (12-49 y.o.) reportedly having the information on where to access sexual and reproductive health services broken down by sing...")</f>
        <v>Households with women (12-49 y.o.) reportedly having the information on where to access sexual and reproductive health services broken down by sing...</v>
      </c>
    </row>
    <row r="152" spans="2:5" ht="15.75">
      <c r="B152" s="7" t="s">
        <v>55</v>
      </c>
      <c r="C152" s="8" t="s">
        <v>56</v>
      </c>
      <c r="D152" s="1">
        <v>169</v>
      </c>
      <c r="E152" s="2" t="str">
        <f>HYPERLINK("#'Data'!A1530", "Households reportedly experiencing at least 2 weeks of notable stress in the last 6 months broken down by rural / urban on the admin of overall per...")</f>
        <v>Households reportedly experiencing at least 2 weeks of notable stress in the last 6 months broken down by rural / urban on the admin of overall per...</v>
      </c>
    </row>
    <row r="153" spans="2:5" ht="15.75">
      <c r="B153" s="5" t="s">
        <v>55</v>
      </c>
      <c r="C153" s="6" t="s">
        <v>56</v>
      </c>
      <c r="D153" s="1">
        <v>170</v>
      </c>
      <c r="E153" s="2" t="str">
        <f>HYPERLINK("#'Data'!A1538", "Households reportedly experiencing at least 2 weeks of notable stress in the last 6 months broken down by proximity to the Frontline / Russian bord...")</f>
        <v>Households reportedly experiencing at least 2 weeks of notable stress in the last 6 months broken down by proximity to the Frontline / Russian bord...</v>
      </c>
    </row>
    <row r="154" spans="2:5" ht="15.75">
      <c r="B154" s="7" t="s">
        <v>55</v>
      </c>
      <c r="C154" s="8" t="s">
        <v>56</v>
      </c>
      <c r="D154" s="1">
        <v>171</v>
      </c>
      <c r="E154" s="2" t="str">
        <f>HYPERLINK("#'Data'!A1548", "Households reportedly experiencing at least 2 weeks of notable stress in the last 6 months broken down by member with WGSS disability on the admin ...")</f>
        <v>Households reportedly experiencing at least 2 weeks of notable stress in the last 6 months broken down by member with WGSS disability on the admin ...</v>
      </c>
    </row>
    <row r="155" spans="2:5" ht="15.75">
      <c r="B155" s="5" t="s">
        <v>55</v>
      </c>
      <c r="C155" s="6" t="s">
        <v>56</v>
      </c>
      <c r="D155" s="1">
        <v>172</v>
      </c>
      <c r="E155" s="2" t="str">
        <f>HYPERLINK("#'Data'!A1556", "Households reportedly experiencing at least 2 weeks of notable stress in the last 6 months broken down by displacement status of HoH on the admin o...")</f>
        <v>Households reportedly experiencing at least 2 weeks of notable stress in the last 6 months broken down by displacement status of HoH on the admin o...</v>
      </c>
    </row>
    <row r="156" spans="2:5" ht="15.75">
      <c r="B156" s="7" t="s">
        <v>55</v>
      </c>
      <c r="C156" s="8" t="s">
        <v>56</v>
      </c>
      <c r="D156" s="1">
        <v>173</v>
      </c>
      <c r="E156" s="2" t="str">
        <f>HYPERLINK("#'Data'!A1562", "Households reportedly experiencing at least 2 weeks of notable stress in the last 6 months broken down by household size on the admin of overall pe...")</f>
        <v>Households reportedly experiencing at least 2 weeks of notable stress in the last 6 months broken down by household size on the admin of overall pe...</v>
      </c>
    </row>
    <row r="157" spans="2:5" ht="15.75">
      <c r="B157" s="5" t="s">
        <v>55</v>
      </c>
      <c r="C157" s="6" t="s">
        <v>56</v>
      </c>
      <c r="D157" s="1">
        <v>174</v>
      </c>
      <c r="E157" s="2" t="str">
        <f>HYPERLINK("#'Data'!A1572", "Households reportedly experiencing at least 2 weeks of notable stress in the last 6 months broken down by single/joint headed HHs on the admin of o...")</f>
        <v>Households reportedly experiencing at least 2 weeks of notable stress in the last 6 months broken down by single/joint headed HHs on the admin of o...</v>
      </c>
    </row>
    <row r="158" spans="2:5" ht="15.75">
      <c r="B158" s="7" t="s">
        <v>55</v>
      </c>
      <c r="C158" s="8" t="s">
        <v>57</v>
      </c>
      <c r="D158" s="1">
        <v>176</v>
      </c>
      <c r="E158" s="2" t="str">
        <f>HYPERLINK("#'Data'!A1582", "Households reportedly experiencing at least 2 weeks of depressed mood in the last 6 months broken down by rural / urban on the admin of overall per...")</f>
        <v>Households reportedly experiencing at least 2 weeks of depressed mood in the last 6 months broken down by rural / urban on the admin of overall per...</v>
      </c>
    </row>
    <row r="159" spans="2:5" ht="15.75">
      <c r="B159" s="5" t="s">
        <v>55</v>
      </c>
      <c r="C159" s="6" t="s">
        <v>57</v>
      </c>
      <c r="D159" s="1">
        <v>177</v>
      </c>
      <c r="E159" s="2" t="str">
        <f>HYPERLINK("#'Data'!A1590", "Households reportedly experiencing at least 2 weeks of depressed mood in the last 6 months broken down by proximity to the Frontline / Russian bord...")</f>
        <v>Households reportedly experiencing at least 2 weeks of depressed mood in the last 6 months broken down by proximity to the Frontline / Russian bord...</v>
      </c>
    </row>
    <row r="160" spans="2:5" ht="15.75">
      <c r="B160" s="7" t="s">
        <v>55</v>
      </c>
      <c r="C160" s="8" t="s">
        <v>57</v>
      </c>
      <c r="D160" s="1">
        <v>178</v>
      </c>
      <c r="E160" s="2" t="str">
        <f>HYPERLINK("#'Data'!A1600", "Households reportedly experiencing at least 2 weeks of depressed mood in the last 6 months broken down by member with WGSS disability on the admin ...")</f>
        <v>Households reportedly experiencing at least 2 weeks of depressed mood in the last 6 months broken down by member with WGSS disability on the admin ...</v>
      </c>
    </row>
    <row r="161" spans="2:5" ht="15.75">
      <c r="B161" s="5" t="s">
        <v>55</v>
      </c>
      <c r="C161" s="6" t="s">
        <v>57</v>
      </c>
      <c r="D161" s="1">
        <v>179</v>
      </c>
      <c r="E161" s="2" t="str">
        <f>HYPERLINK("#'Data'!A1608", "Households reportedly experiencing at least 2 weeks of depressed mood in the last 6 months broken down by displacement status of HoH on the admin o...")</f>
        <v>Households reportedly experiencing at least 2 weeks of depressed mood in the last 6 months broken down by displacement status of HoH on the admin o...</v>
      </c>
    </row>
    <row r="162" spans="2:5" ht="15.75">
      <c r="B162" s="7" t="s">
        <v>55</v>
      </c>
      <c r="C162" s="8" t="s">
        <v>57</v>
      </c>
      <c r="D162" s="1">
        <v>180</v>
      </c>
      <c r="E162" s="2" t="str">
        <f>HYPERLINK("#'Data'!A1614", "Households reportedly experiencing at least 2 weeks of depressed mood in the last 6 months broken down by household size on the admin of overall pe...")</f>
        <v>Households reportedly experiencing at least 2 weeks of depressed mood in the last 6 months broken down by household size on the admin of overall pe...</v>
      </c>
    </row>
    <row r="163" spans="2:5" ht="15.75">
      <c r="B163" s="5" t="s">
        <v>55</v>
      </c>
      <c r="C163" s="6" t="s">
        <v>57</v>
      </c>
      <c r="D163" s="1">
        <v>181</v>
      </c>
      <c r="E163" s="2" t="str">
        <f>HYPERLINK("#'Data'!A1624", "Households reportedly experiencing at least 2 weeks of depressed mood in the last 6 months broken down by single/joint headed HHs on the admin of o...")</f>
        <v>Households reportedly experiencing at least 2 weeks of depressed mood in the last 6 months broken down by single/joint headed HHs on the admin of o...</v>
      </c>
    </row>
    <row r="164" spans="2:5" ht="15.75">
      <c r="B164" s="9" t="s">
        <v>55</v>
      </c>
      <c r="C164" s="10" t="s">
        <v>58</v>
      </c>
      <c r="D164" s="1">
        <v>183</v>
      </c>
      <c r="E164" s="2" t="str">
        <f>HYPERLINK("#'Data'!A1634", "Households reportedly experiencing at least 2 weeks of anxiety in the last 6 months broken down by rural / urban on the admin of overall perc")</f>
        <v>Households reportedly experiencing at least 2 weeks of anxiety in the last 6 months broken down by rural / urban on the admin of overall perc</v>
      </c>
    </row>
    <row r="165" spans="2:5" ht="15.75">
      <c r="B165" s="11" t="s">
        <v>55</v>
      </c>
      <c r="C165" s="12" t="s">
        <v>58</v>
      </c>
      <c r="D165" s="1">
        <v>184</v>
      </c>
      <c r="E165" s="2" t="str">
        <f>HYPERLINK("#'Data'!A1642", "Households reportedly experiencing at least 2 weeks of anxiety in the last 6 months broken down by proximity to the Frontline / Russian border on t...")</f>
        <v>Households reportedly experiencing at least 2 weeks of anxiety in the last 6 months broken down by proximity to the Frontline / Russian border on t...</v>
      </c>
    </row>
    <row r="166" spans="2:5" ht="15.75">
      <c r="B166" s="9" t="s">
        <v>55</v>
      </c>
      <c r="C166" s="10" t="s">
        <v>58</v>
      </c>
      <c r="D166" s="1">
        <v>185</v>
      </c>
      <c r="E166" s="2" t="str">
        <f>HYPERLINK("#'Data'!A1652", "Households reportedly experiencing at least 2 weeks of anxiety in the last 6 months broken down by member with WGSS disability on the admin of over...")</f>
        <v>Households reportedly experiencing at least 2 weeks of anxiety in the last 6 months broken down by member with WGSS disability on the admin of over...</v>
      </c>
    </row>
    <row r="167" spans="2:5" ht="15.75">
      <c r="B167" s="11" t="s">
        <v>55</v>
      </c>
      <c r="C167" s="12" t="s">
        <v>58</v>
      </c>
      <c r="D167" s="1">
        <v>186</v>
      </c>
      <c r="E167" s="2" t="str">
        <f>HYPERLINK("#'Data'!A1660", "Households reportedly experiencing at least 2 weeks of anxiety in the last 6 months broken down by displacement status of HoH on the admin of overa...")</f>
        <v>Households reportedly experiencing at least 2 weeks of anxiety in the last 6 months broken down by displacement status of HoH on the admin of overa...</v>
      </c>
    </row>
    <row r="168" spans="2:5" ht="15.75">
      <c r="B168" s="9" t="s">
        <v>55</v>
      </c>
      <c r="C168" s="10" t="s">
        <v>58</v>
      </c>
      <c r="D168" s="1">
        <v>187</v>
      </c>
      <c r="E168" s="2" t="str">
        <f>HYPERLINK("#'Data'!A1666", "Households reportedly experiencing at least 2 weeks of anxiety in the last 6 months broken down by household size on the admin of overall perc")</f>
        <v>Households reportedly experiencing at least 2 weeks of anxiety in the last 6 months broken down by household size on the admin of overall perc</v>
      </c>
    </row>
    <row r="169" spans="2:5" ht="15.75">
      <c r="B169" s="11" t="s">
        <v>55</v>
      </c>
      <c r="C169" s="12" t="s">
        <v>58</v>
      </c>
      <c r="D169" s="1">
        <v>188</v>
      </c>
      <c r="E169" s="2" t="str">
        <f>HYPERLINK("#'Data'!A1676", "Households reportedly experiencing at least 2 weeks of anxiety in the last 6 months broken down by single/joint headed HHs on the admin of overall ...")</f>
        <v>Households reportedly experiencing at least 2 weeks of anxiety in the last 6 months broken down by single/joint headed HHs on the admin of overall ...</v>
      </c>
    </row>
    <row r="170" spans="2:5" ht="15.75">
      <c r="B170" s="7" t="s">
        <v>42</v>
      </c>
      <c r="C170" s="8" t="s">
        <v>59</v>
      </c>
      <c r="D170" s="1">
        <v>190</v>
      </c>
      <c r="E170" s="2" t="str">
        <f>HYPERLINK("#'Data'!A1686", "Households that reportedly have at least 1 member that has registered disability broken down by rural / urban on the admin of overall perc")</f>
        <v>Households that reportedly have at least 1 member that has registered disability broken down by rural / urban on the admin of overall perc</v>
      </c>
    </row>
    <row r="171" spans="2:5" ht="15.75">
      <c r="B171" s="5" t="s">
        <v>42</v>
      </c>
      <c r="C171" s="6" t="s">
        <v>59</v>
      </c>
      <c r="D171" s="1">
        <v>191</v>
      </c>
      <c r="E171" s="2" t="str">
        <f>HYPERLINK("#'Data'!A1694", "Households that reportedly have at least 1 member that has registered disability broken down by proximity to the Frontline / Russian border on the ...")</f>
        <v>Households that reportedly have at least 1 member that has registered disability broken down by proximity to the Frontline / Russian border on the ...</v>
      </c>
    </row>
    <row r="172" spans="2:5" ht="15.75">
      <c r="B172" s="7" t="s">
        <v>42</v>
      </c>
      <c r="C172" s="8" t="s">
        <v>59</v>
      </c>
      <c r="D172" s="1">
        <v>192</v>
      </c>
      <c r="E172" s="2" t="str">
        <f>HYPERLINK("#'Data'!A1704", "Households that reportedly have at least 1 member that has registered disability broken down by member with WGSS disability on the admin of overall...")</f>
        <v>Households that reportedly have at least 1 member that has registered disability broken down by member with WGSS disability on the admin of overall...</v>
      </c>
    </row>
    <row r="173" spans="2:5" ht="15.75">
      <c r="B173" s="5" t="s">
        <v>42</v>
      </c>
      <c r="C173" s="6" t="s">
        <v>59</v>
      </c>
      <c r="D173" s="1">
        <v>193</v>
      </c>
      <c r="E173" s="2" t="str">
        <f>HYPERLINK("#'Data'!A1712", "Households that reportedly have at least 1 member that has registered disability broken down by displacement status of HoH on the admin of overall ...")</f>
        <v>Households that reportedly have at least 1 member that has registered disability broken down by displacement status of HoH on the admin of overall ...</v>
      </c>
    </row>
    <row r="174" spans="2:5" ht="15.75">
      <c r="B174" s="7" t="s">
        <v>42</v>
      </c>
      <c r="C174" s="8" t="s">
        <v>59</v>
      </c>
      <c r="D174" s="1">
        <v>194</v>
      </c>
      <c r="E174" s="2" t="str">
        <f>HYPERLINK("#'Data'!A1718", "Households that reportedly have at least 1 member that has registered disability broken down by household size on the admin of overall perc")</f>
        <v>Households that reportedly have at least 1 member that has registered disability broken down by household size on the admin of overall perc</v>
      </c>
    </row>
    <row r="175" spans="2:5" ht="15.75">
      <c r="B175" s="5" t="s">
        <v>42</v>
      </c>
      <c r="C175" s="6" t="s">
        <v>59</v>
      </c>
      <c r="D175" s="1">
        <v>195</v>
      </c>
      <c r="E175" s="2" t="str">
        <f>HYPERLINK("#'Data'!A1728", "Households that reportedly have at least 1 member that has registered disability broken down by single/joint headed HHs on the admin of overall per...")</f>
        <v>Households that reportedly have at least 1 member that has registered disability broken down by single/joint headed HHs on the admin of overall per...</v>
      </c>
    </row>
    <row r="176" spans="2:5" ht="15.75">
      <c r="B176" s="7" t="s">
        <v>42</v>
      </c>
      <c r="C176" s="8" t="s">
        <v>60</v>
      </c>
      <c r="D176" s="1">
        <v>197</v>
      </c>
      <c r="E176" s="2" t="str">
        <f>HYPERLINK("#'Data'!A1738", "Households that reportedly have at least 1 member that has difficulties seeing broken down by rural / urban on the admin of overall perc")</f>
        <v>Households that reportedly have at least 1 member that has difficulties seeing broken down by rural / urban on the admin of overall perc</v>
      </c>
    </row>
    <row r="177" spans="2:5" ht="15.75">
      <c r="B177" s="5" t="s">
        <v>42</v>
      </c>
      <c r="C177" s="6" t="s">
        <v>60</v>
      </c>
      <c r="D177" s="1">
        <v>198</v>
      </c>
      <c r="E177" s="2" t="str">
        <f>HYPERLINK("#'Data'!A1746", "Households that reportedly have at least 1 member that has difficulties seeing broken down by proximity to the Frontline / Russian border on the ad...")</f>
        <v>Households that reportedly have at least 1 member that has difficulties seeing broken down by proximity to the Frontline / Russian border on the ad...</v>
      </c>
    </row>
    <row r="178" spans="2:5" ht="15.75">
      <c r="B178" s="7" t="s">
        <v>42</v>
      </c>
      <c r="C178" s="8" t="s">
        <v>60</v>
      </c>
      <c r="D178" s="1">
        <v>199</v>
      </c>
      <c r="E178" s="2" t="str">
        <f>HYPERLINK("#'Data'!A1756", "Households that reportedly have at least 1 member that has difficulties seeing broken down by member with WGSS disability on the admin of overall p...")</f>
        <v>Households that reportedly have at least 1 member that has difficulties seeing broken down by member with WGSS disability on the admin of overall p...</v>
      </c>
    </row>
    <row r="179" spans="2:5" ht="15.75">
      <c r="B179" s="5" t="s">
        <v>42</v>
      </c>
      <c r="C179" s="6" t="s">
        <v>60</v>
      </c>
      <c r="D179" s="1">
        <v>200</v>
      </c>
      <c r="E179" s="2" t="str">
        <f>HYPERLINK("#'Data'!A1764", "Households that reportedly have at least 1 member that has difficulties seeing broken down by displacement status of HoH on the admin of overall pe...")</f>
        <v>Households that reportedly have at least 1 member that has difficulties seeing broken down by displacement status of HoH on the admin of overall pe...</v>
      </c>
    </row>
    <row r="180" spans="2:5" ht="15.75">
      <c r="B180" s="7" t="s">
        <v>42</v>
      </c>
      <c r="C180" s="8" t="s">
        <v>60</v>
      </c>
      <c r="D180" s="1">
        <v>201</v>
      </c>
      <c r="E180" s="2" t="str">
        <f>HYPERLINK("#'Data'!A1770", "Households that reportedly have at least 1 member that has difficulties seeing broken down by household size on the admin of overall perc")</f>
        <v>Households that reportedly have at least 1 member that has difficulties seeing broken down by household size on the admin of overall perc</v>
      </c>
    </row>
    <row r="181" spans="2:5" ht="15.75">
      <c r="B181" s="5" t="s">
        <v>42</v>
      </c>
      <c r="C181" s="6" t="s">
        <v>60</v>
      </c>
      <c r="D181" s="1">
        <v>202</v>
      </c>
      <c r="E181" s="2" t="str">
        <f>HYPERLINK("#'Data'!A1780", "Households that reportedly have at least 1 member that has difficulties seeing broken down by single/joint headed HHs on the admin of overall perc")</f>
        <v>Households that reportedly have at least 1 member that has difficulties seeing broken down by single/joint headed HHs on the admin of overall perc</v>
      </c>
    </row>
    <row r="182" spans="2:5" ht="15.75">
      <c r="B182" s="7" t="s">
        <v>42</v>
      </c>
      <c r="C182" s="8" t="s">
        <v>61</v>
      </c>
      <c r="D182" s="1">
        <v>204</v>
      </c>
      <c r="E182" s="2" t="str">
        <f>HYPERLINK("#'Data'!A1790", "Households that reportedly have at least 1 member that has difficulties hearing broken down by rural / urban on the admin of overall perc")</f>
        <v>Households that reportedly have at least 1 member that has difficulties hearing broken down by rural / urban on the admin of overall perc</v>
      </c>
    </row>
    <row r="183" spans="2:5" ht="15.75">
      <c r="B183" s="5" t="s">
        <v>42</v>
      </c>
      <c r="C183" s="6" t="s">
        <v>61</v>
      </c>
      <c r="D183" s="1">
        <v>205</v>
      </c>
      <c r="E183" s="2" t="str">
        <f>HYPERLINK("#'Data'!A1798", "Households that reportedly have at least 1 member that has difficulties hearing broken down by proximity to the Frontline / Russian border on the a...")</f>
        <v>Households that reportedly have at least 1 member that has difficulties hearing broken down by proximity to the Frontline / Russian border on the a...</v>
      </c>
    </row>
    <row r="184" spans="2:5" ht="15.75">
      <c r="B184" s="7" t="s">
        <v>42</v>
      </c>
      <c r="C184" s="8" t="s">
        <v>61</v>
      </c>
      <c r="D184" s="1">
        <v>206</v>
      </c>
      <c r="E184" s="2" t="str">
        <f>HYPERLINK("#'Data'!A1808", "Households that reportedly have at least 1 member that has difficulties hearing broken down by member with WGSS disability on the admin of overall ...")</f>
        <v>Households that reportedly have at least 1 member that has difficulties hearing broken down by member with WGSS disability on the admin of overall ...</v>
      </c>
    </row>
    <row r="185" spans="2:5" ht="15.75">
      <c r="B185" s="5" t="s">
        <v>42</v>
      </c>
      <c r="C185" s="6" t="s">
        <v>61</v>
      </c>
      <c r="D185" s="1">
        <v>207</v>
      </c>
      <c r="E185" s="2" t="str">
        <f>HYPERLINK("#'Data'!A1816", "Households that reportedly have at least 1 member that has difficulties hearing broken down by displacement status of HoH on the admin of overall p...")</f>
        <v>Households that reportedly have at least 1 member that has difficulties hearing broken down by displacement status of HoH on the admin of overall p...</v>
      </c>
    </row>
    <row r="186" spans="2:5" ht="15.75">
      <c r="B186" s="7" t="s">
        <v>42</v>
      </c>
      <c r="C186" s="8" t="s">
        <v>61</v>
      </c>
      <c r="D186" s="1">
        <v>208</v>
      </c>
      <c r="E186" s="2" t="str">
        <f>HYPERLINK("#'Data'!A1822", "Households that reportedly have at least 1 member that has difficulties hearing broken down by household size on the admin of overall perc")</f>
        <v>Households that reportedly have at least 1 member that has difficulties hearing broken down by household size on the admin of overall perc</v>
      </c>
    </row>
    <row r="187" spans="2:5" ht="15.75">
      <c r="B187" s="5" t="s">
        <v>42</v>
      </c>
      <c r="C187" s="6" t="s">
        <v>61</v>
      </c>
      <c r="D187" s="1">
        <v>209</v>
      </c>
      <c r="E187" s="2" t="str">
        <f>HYPERLINK("#'Data'!A1832", "Households that reportedly have at least 1 member that has difficulties hearing broken down by single/joint headed HHs on the admin of overall perc")</f>
        <v>Households that reportedly have at least 1 member that has difficulties hearing broken down by single/joint headed HHs on the admin of overall perc</v>
      </c>
    </row>
    <row r="188" spans="2:5" ht="15.75">
      <c r="B188" s="7" t="s">
        <v>42</v>
      </c>
      <c r="C188" s="8" t="s">
        <v>62</v>
      </c>
      <c r="D188" s="1">
        <v>211</v>
      </c>
      <c r="E188" s="2" t="str">
        <f>HYPERLINK("#'Data'!A1842", "Households that reportedly have at least 1 member that has difficulties walking broken down by rural / urban on the admin of overall perc")</f>
        <v>Households that reportedly have at least 1 member that has difficulties walking broken down by rural / urban on the admin of overall perc</v>
      </c>
    </row>
    <row r="189" spans="2:5" ht="15.75">
      <c r="B189" s="5" t="s">
        <v>42</v>
      </c>
      <c r="C189" s="6" t="s">
        <v>62</v>
      </c>
      <c r="D189" s="1">
        <v>212</v>
      </c>
      <c r="E189" s="2" t="str">
        <f>HYPERLINK("#'Data'!A1850", "Households that reportedly have at least 1 member that has difficulties walking broken down by proximity to the Frontline / Russian border on the a...")</f>
        <v>Households that reportedly have at least 1 member that has difficulties walking broken down by proximity to the Frontline / Russian border on the a...</v>
      </c>
    </row>
    <row r="190" spans="2:5" ht="15.75">
      <c r="B190" s="7" t="s">
        <v>42</v>
      </c>
      <c r="C190" s="8" t="s">
        <v>62</v>
      </c>
      <c r="D190" s="1">
        <v>213</v>
      </c>
      <c r="E190" s="2" t="str">
        <f>HYPERLINK("#'Data'!A1860", "Households that reportedly have at least 1 member that has difficulties walking broken down by member with WGSS disability on the admin of overall ...")</f>
        <v>Households that reportedly have at least 1 member that has difficulties walking broken down by member with WGSS disability on the admin of overall ...</v>
      </c>
    </row>
    <row r="191" spans="2:5" ht="15.75">
      <c r="B191" s="5" t="s">
        <v>42</v>
      </c>
      <c r="C191" s="6" t="s">
        <v>62</v>
      </c>
      <c r="D191" s="1">
        <v>214</v>
      </c>
      <c r="E191" s="2" t="str">
        <f>HYPERLINK("#'Data'!A1868", "Households that reportedly have at least 1 member that has difficulties walking broken down by displacement status of HoH on the admin of overall p...")</f>
        <v>Households that reportedly have at least 1 member that has difficulties walking broken down by displacement status of HoH on the admin of overall p...</v>
      </c>
    </row>
    <row r="192" spans="2:5" ht="15.75">
      <c r="B192" s="7" t="s">
        <v>42</v>
      </c>
      <c r="C192" s="8" t="s">
        <v>62</v>
      </c>
      <c r="D192" s="1">
        <v>215</v>
      </c>
      <c r="E192" s="2" t="str">
        <f>HYPERLINK("#'Data'!A1874", "Households that reportedly have at least 1 member that has difficulties walking broken down by household size on the admin of overall perc")</f>
        <v>Households that reportedly have at least 1 member that has difficulties walking broken down by household size on the admin of overall perc</v>
      </c>
    </row>
    <row r="193" spans="2:5" ht="15.75">
      <c r="B193" s="5" t="s">
        <v>42</v>
      </c>
      <c r="C193" s="6" t="s">
        <v>62</v>
      </c>
      <c r="D193" s="1">
        <v>216</v>
      </c>
      <c r="E193" s="2" t="str">
        <f>HYPERLINK("#'Data'!A1884", "Households that reportedly have at least 1 member that has difficulties walking broken down by single/joint headed HHs on the admin of overall perc")</f>
        <v>Households that reportedly have at least 1 member that has difficulties walking broken down by single/joint headed HHs on the admin of overall perc</v>
      </c>
    </row>
    <row r="194" spans="2:5" ht="15.75">
      <c r="B194" s="7" t="s">
        <v>42</v>
      </c>
      <c r="C194" s="8" t="s">
        <v>63</v>
      </c>
      <c r="D194" s="1">
        <v>218</v>
      </c>
      <c r="E194" s="2" t="str">
        <f>HYPERLINK("#'Data'!A1894", "Households that reportedly have at least 1 member that has difficulties concentrating broken down by rural / urban on the admin of overall perc")</f>
        <v>Households that reportedly have at least 1 member that has difficulties concentrating broken down by rural / urban on the admin of overall perc</v>
      </c>
    </row>
    <row r="195" spans="2:5" ht="15.75">
      <c r="B195" s="5" t="s">
        <v>42</v>
      </c>
      <c r="C195" s="6" t="s">
        <v>63</v>
      </c>
      <c r="D195" s="1">
        <v>219</v>
      </c>
      <c r="E195" s="2" t="str">
        <f>HYPERLINK("#'Data'!A1902", "Households that reportedly have at least 1 member that has difficulties concentrating broken down by proximity to the Frontline / Russian border on...")</f>
        <v>Households that reportedly have at least 1 member that has difficulties concentrating broken down by proximity to the Frontline / Russian border on...</v>
      </c>
    </row>
    <row r="196" spans="2:5" ht="15.75">
      <c r="B196" s="7" t="s">
        <v>42</v>
      </c>
      <c r="C196" s="8" t="s">
        <v>63</v>
      </c>
      <c r="D196" s="1">
        <v>220</v>
      </c>
      <c r="E196" s="2" t="str">
        <f>HYPERLINK("#'Data'!A1912", "Households that reportedly have at least 1 member that has difficulties concentrating broken down by member with WGSS disability on the admin of ov...")</f>
        <v>Households that reportedly have at least 1 member that has difficulties concentrating broken down by member with WGSS disability on the admin of ov...</v>
      </c>
    </row>
    <row r="197" spans="2:5" ht="15.75">
      <c r="B197" s="5" t="s">
        <v>42</v>
      </c>
      <c r="C197" s="6" t="s">
        <v>63</v>
      </c>
      <c r="D197" s="1">
        <v>221</v>
      </c>
      <c r="E197" s="2" t="str">
        <f>HYPERLINK("#'Data'!A1920", "Households that reportedly have at least 1 member that has difficulties concentrating broken down by displacement status of HoH on the admin of ove...")</f>
        <v>Households that reportedly have at least 1 member that has difficulties concentrating broken down by displacement status of HoH on the admin of ove...</v>
      </c>
    </row>
    <row r="198" spans="2:5" ht="15.75">
      <c r="B198" s="7" t="s">
        <v>42</v>
      </c>
      <c r="C198" s="8" t="s">
        <v>63</v>
      </c>
      <c r="D198" s="1">
        <v>222</v>
      </c>
      <c r="E198" s="2" t="str">
        <f>HYPERLINK("#'Data'!A1926", "Households that reportedly have at least 1 member that has difficulties concentrating broken down by household size on the admin of overall perc")</f>
        <v>Households that reportedly have at least 1 member that has difficulties concentrating broken down by household size on the admin of overall perc</v>
      </c>
    </row>
    <row r="199" spans="2:5" ht="15.75">
      <c r="B199" s="5" t="s">
        <v>42</v>
      </c>
      <c r="C199" s="6" t="s">
        <v>63</v>
      </c>
      <c r="D199" s="1">
        <v>223</v>
      </c>
      <c r="E199" s="2" t="str">
        <f>HYPERLINK("#'Data'!A1936", "Households that reportedly have at least 1 member that has difficulties concentrating broken down by single/joint headed HHs on the admin of overal...")</f>
        <v>Households that reportedly have at least 1 member that has difficulties concentrating broken down by single/joint headed HHs on the admin of overal...</v>
      </c>
    </row>
    <row r="200" spans="2:5" ht="15.75">
      <c r="B200" s="7" t="s">
        <v>42</v>
      </c>
      <c r="C200" s="8" t="s">
        <v>64</v>
      </c>
      <c r="D200" s="1">
        <v>225</v>
      </c>
      <c r="E200" s="2" t="str">
        <f>HYPERLINK("#'Data'!A1946", "Households that reportedly have at least 1 member that has difficulties with self-care broken down by rural / urban on the admin of overall perc")</f>
        <v>Households that reportedly have at least 1 member that has difficulties with self-care broken down by rural / urban on the admin of overall perc</v>
      </c>
    </row>
    <row r="201" spans="2:5" ht="15.75">
      <c r="B201" s="5" t="s">
        <v>42</v>
      </c>
      <c r="C201" s="6" t="s">
        <v>64</v>
      </c>
      <c r="D201" s="1">
        <v>226</v>
      </c>
      <c r="E201" s="2" t="str">
        <f>HYPERLINK("#'Data'!A1954", "Households that reportedly have at least 1 member that has difficulties with self-care broken down by proximity to the Frontline / Russian border o...")</f>
        <v>Households that reportedly have at least 1 member that has difficulties with self-care broken down by proximity to the Frontline / Russian border o...</v>
      </c>
    </row>
    <row r="202" spans="2:5" ht="15.75">
      <c r="B202" s="7" t="s">
        <v>42</v>
      </c>
      <c r="C202" s="8" t="s">
        <v>64</v>
      </c>
      <c r="D202" s="1">
        <v>227</v>
      </c>
      <c r="E202" s="2" t="str">
        <f>HYPERLINK("#'Data'!A1964", "Households that reportedly have at least 1 member that has difficulties with self-care broken down by member with WGSS disability on the admin of o...")</f>
        <v>Households that reportedly have at least 1 member that has difficulties with self-care broken down by member with WGSS disability on the admin of o...</v>
      </c>
    </row>
    <row r="203" spans="2:5" ht="15.75">
      <c r="B203" s="5" t="s">
        <v>42</v>
      </c>
      <c r="C203" s="6" t="s">
        <v>64</v>
      </c>
      <c r="D203" s="1">
        <v>228</v>
      </c>
      <c r="E203" s="2" t="str">
        <f>HYPERLINK("#'Data'!A1972", "Households that reportedly have at least 1 member that has difficulties with self-care broken down by displacement status of HoH on the admin of ov...")</f>
        <v>Households that reportedly have at least 1 member that has difficulties with self-care broken down by displacement status of HoH on the admin of ov...</v>
      </c>
    </row>
    <row r="204" spans="2:5" ht="15.75">
      <c r="B204" s="7" t="s">
        <v>42</v>
      </c>
      <c r="C204" s="8" t="s">
        <v>64</v>
      </c>
      <c r="D204" s="1">
        <v>229</v>
      </c>
      <c r="E204" s="2" t="str">
        <f>HYPERLINK("#'Data'!A1978", "Households that reportedly have at least 1 member that has difficulties with self-care broken down by household size on the admin of overall perc")</f>
        <v>Households that reportedly have at least 1 member that has difficulties with self-care broken down by household size on the admin of overall perc</v>
      </c>
    </row>
    <row r="205" spans="2:5" ht="15.75">
      <c r="B205" s="5" t="s">
        <v>42</v>
      </c>
      <c r="C205" s="6" t="s">
        <v>64</v>
      </c>
      <c r="D205" s="1">
        <v>230</v>
      </c>
      <c r="E205" s="2" t="str">
        <f>HYPERLINK("#'Data'!A1988", "Households that reportedly have at least 1 member that has difficulties with self-care broken down by single/joint headed HHs on the admin of overa...")</f>
        <v>Households that reportedly have at least 1 member that has difficulties with self-care broken down by single/joint headed HHs on the admin of overa...</v>
      </c>
    </row>
    <row r="206" spans="2:5" ht="15.75">
      <c r="B206" s="7" t="s">
        <v>42</v>
      </c>
      <c r="C206" s="8" t="s">
        <v>65</v>
      </c>
      <c r="D206" s="1">
        <v>232</v>
      </c>
      <c r="E206" s="2" t="str">
        <f>HYPERLINK("#'Data'!A1998", "Households that reportedly have at least 1 member that has difficulties communicating broken down by rural / urban on the admin of overall perc")</f>
        <v>Households that reportedly have at least 1 member that has difficulties communicating broken down by rural / urban on the admin of overall perc</v>
      </c>
    </row>
    <row r="207" spans="2:5" ht="15.75">
      <c r="B207" s="5" t="s">
        <v>42</v>
      </c>
      <c r="C207" s="6" t="s">
        <v>65</v>
      </c>
      <c r="D207" s="1">
        <v>233</v>
      </c>
      <c r="E207" s="2" t="str">
        <f>HYPERLINK("#'Data'!A2006", "Households that reportedly have at least 1 member that has difficulties communicating broken down by proximity to the Frontline / Russian border on...")</f>
        <v>Households that reportedly have at least 1 member that has difficulties communicating broken down by proximity to the Frontline / Russian border on...</v>
      </c>
    </row>
    <row r="208" spans="2:5" ht="15.75">
      <c r="B208" s="7" t="s">
        <v>42</v>
      </c>
      <c r="C208" s="8" t="s">
        <v>65</v>
      </c>
      <c r="D208" s="1">
        <v>234</v>
      </c>
      <c r="E208" s="2" t="str">
        <f>HYPERLINK("#'Data'!A2016", "Households that reportedly have at least 1 member that has difficulties communicating broken down by member with WGSS disability on the admin of ov...")</f>
        <v>Households that reportedly have at least 1 member that has difficulties communicating broken down by member with WGSS disability on the admin of ov...</v>
      </c>
    </row>
    <row r="209" spans="2:5" ht="15.75">
      <c r="B209" s="5" t="s">
        <v>42</v>
      </c>
      <c r="C209" s="6" t="s">
        <v>65</v>
      </c>
      <c r="D209" s="1">
        <v>235</v>
      </c>
      <c r="E209" s="2" t="str">
        <f>HYPERLINK("#'Data'!A2024", "Households that reportedly have at least 1 member that has difficulties communicating broken down by displacement status of HoH on the admin of ove...")</f>
        <v>Households that reportedly have at least 1 member that has difficulties communicating broken down by displacement status of HoH on the admin of ove...</v>
      </c>
    </row>
    <row r="210" spans="2:5" ht="15.75">
      <c r="B210" s="7" t="s">
        <v>42</v>
      </c>
      <c r="C210" s="8" t="s">
        <v>65</v>
      </c>
      <c r="D210" s="1">
        <v>236</v>
      </c>
      <c r="E210" s="2" t="str">
        <f>HYPERLINK("#'Data'!A2030", "Households that reportedly have at least 1 member that has difficulties communicating broken down by household size on the admin of overall perc")</f>
        <v>Households that reportedly have at least 1 member that has difficulties communicating broken down by household size on the admin of overall perc</v>
      </c>
    </row>
    <row r="211" spans="2:5" ht="15.75">
      <c r="B211" s="5" t="s">
        <v>42</v>
      </c>
      <c r="C211" s="6" t="s">
        <v>65</v>
      </c>
      <c r="D211" s="1">
        <v>237</v>
      </c>
      <c r="E211" s="2" t="str">
        <f>HYPERLINK("#'Data'!A2040", "Households that reportedly have at least 1 member that has difficulties communicating broken down by single/joint headed HHs on the admin of overal...")</f>
        <v>Households that reportedly have at least 1 member that has difficulties communicating broken down by single/joint headed HHs on the admin of overal...</v>
      </c>
    </row>
    <row r="212" spans="2:5" ht="15.75">
      <c r="B212" s="7" t="s">
        <v>66</v>
      </c>
      <c r="C212" s="8" t="s">
        <v>67</v>
      </c>
      <c r="D212" s="1">
        <v>239</v>
      </c>
      <c r="E212" s="2" t="str">
        <f>HYPERLINK("#'Data'!A2050", "Households separated for three months or more due to reasons related to the war broken down by rural / urban on the admin of overall perc")</f>
        <v>Households separated for three months or more due to reasons related to the war broken down by rural / urban on the admin of overall perc</v>
      </c>
    </row>
    <row r="213" spans="2:5" ht="15.75">
      <c r="B213" s="5" t="s">
        <v>66</v>
      </c>
      <c r="C213" s="6" t="s">
        <v>67</v>
      </c>
      <c r="D213" s="1">
        <v>240</v>
      </c>
      <c r="E213" s="2" t="str">
        <f>HYPERLINK("#'Data'!A2058", "Households separated for three months or more due to reasons related to the war broken down by proximity to the Frontline / Russian border on the a...")</f>
        <v>Households separated for three months or more due to reasons related to the war broken down by proximity to the Frontline / Russian border on the a...</v>
      </c>
    </row>
    <row r="214" spans="2:5" ht="15.75">
      <c r="B214" s="7" t="s">
        <v>66</v>
      </c>
      <c r="C214" s="8" t="s">
        <v>67</v>
      </c>
      <c r="D214" s="1">
        <v>241</v>
      </c>
      <c r="E214" s="2" t="str">
        <f>HYPERLINK("#'Data'!A2068", "Households separated for three months or more due to reasons related to the war broken down by member with WGSS disability on the admin of overall ...")</f>
        <v>Households separated for three months or more due to reasons related to the war broken down by member with WGSS disability on the admin of overall ...</v>
      </c>
    </row>
    <row r="215" spans="2:5" ht="15.75">
      <c r="B215" s="5" t="s">
        <v>66</v>
      </c>
      <c r="C215" s="6" t="s">
        <v>67</v>
      </c>
      <c r="D215" s="1">
        <v>242</v>
      </c>
      <c r="E215" s="2" t="str">
        <f>HYPERLINK("#'Data'!A2076", "Households separated for three months or more due to reasons related to the war broken down by displacement status of HoH on the admin of overall p...")</f>
        <v>Households separated for three months or more due to reasons related to the war broken down by displacement status of HoH on the admin of overall p...</v>
      </c>
    </row>
    <row r="216" spans="2:5" ht="15.75">
      <c r="B216" s="7" t="s">
        <v>66</v>
      </c>
      <c r="C216" s="8" t="s">
        <v>67</v>
      </c>
      <c r="D216" s="1">
        <v>243</v>
      </c>
      <c r="E216" s="2" t="str">
        <f>HYPERLINK("#'Data'!A2082", "Households separated for three months or more due to reasons related to the war broken down by household size on the admin of overall perc")</f>
        <v>Households separated for three months or more due to reasons related to the war broken down by household size on the admin of overall perc</v>
      </c>
    </row>
    <row r="217" spans="2:5" ht="15.75">
      <c r="B217" s="5" t="s">
        <v>66</v>
      </c>
      <c r="C217" s="6" t="s">
        <v>67</v>
      </c>
      <c r="D217" s="1">
        <v>244</v>
      </c>
      <c r="E217" s="2" t="str">
        <f>HYPERLINK("#'Data'!A2092", "Households separated for three months or more due to reasons related to the war broken down by single/joint headed HHs on the admin of overall perc")</f>
        <v>Households separated for three months or more due to reasons related to the war broken down by single/joint headed HHs on the admin of overall perc</v>
      </c>
    </row>
    <row r="218" spans="2:5" ht="15.75">
      <c r="B218" s="5" t="s">
        <v>66</v>
      </c>
      <c r="C218" s="6" t="s">
        <v>68</v>
      </c>
      <c r="D218" s="1">
        <v>286</v>
      </c>
      <c r="E218" s="2" t="str">
        <f>HYPERLINK("#'Data'!A2102", "Households that moved abroad for at least 14 days broken down by rural / urban on the admin of overall perc")</f>
        <v>Households that moved abroad for at least 14 days broken down by rural / urban on the admin of overall perc</v>
      </c>
    </row>
    <row r="219" spans="2:5" ht="15.75">
      <c r="B219" s="7" t="s">
        <v>66</v>
      </c>
      <c r="C219" s="8" t="s">
        <v>68</v>
      </c>
      <c r="D219" s="1">
        <v>287</v>
      </c>
      <c r="E219" s="2" t="str">
        <f>HYPERLINK("#'Data'!A2110", "Households that moved abroad for at least 14 days broken down by proximity to the Frontline / Russian border on the admin of overall perc")</f>
        <v>Households that moved abroad for at least 14 days broken down by proximity to the Frontline / Russian border on the admin of overall perc</v>
      </c>
    </row>
    <row r="220" spans="2:5" ht="15.75">
      <c r="B220" s="5" t="s">
        <v>66</v>
      </c>
      <c r="C220" s="6" t="s">
        <v>68</v>
      </c>
      <c r="D220" s="1">
        <v>288</v>
      </c>
      <c r="E220" s="2" t="str">
        <f>HYPERLINK("#'Data'!A2120", "Households that moved abroad for at least 14 days broken down by member with WGSS disability on the admin of overall perc")</f>
        <v>Households that moved abroad for at least 14 days broken down by member with WGSS disability on the admin of overall perc</v>
      </c>
    </row>
    <row r="221" spans="2:5" ht="15.75">
      <c r="B221" s="7" t="s">
        <v>66</v>
      </c>
      <c r="C221" s="8" t="s">
        <v>68</v>
      </c>
      <c r="D221" s="1">
        <v>289</v>
      </c>
      <c r="E221" s="2" t="str">
        <f>HYPERLINK("#'Data'!A2128", "Households that moved abroad for at least 14 days broken down by displacement status of HoH on the admin of overall perc")</f>
        <v>Households that moved abroad for at least 14 days broken down by displacement status of HoH on the admin of overall perc</v>
      </c>
    </row>
    <row r="222" spans="2:5" ht="15.75">
      <c r="B222" s="5" t="s">
        <v>66</v>
      </c>
      <c r="C222" s="6" t="s">
        <v>68</v>
      </c>
      <c r="D222" s="1">
        <v>290</v>
      </c>
      <c r="E222" s="2" t="str">
        <f>HYPERLINK("#'Data'!A2134", "Households that moved abroad for at least 14 days broken down by household size on the admin of overall perc")</f>
        <v>Households that moved abroad for at least 14 days broken down by household size on the admin of overall perc</v>
      </c>
    </row>
    <row r="223" spans="2:5" ht="15.75">
      <c r="B223" s="7" t="s">
        <v>66</v>
      </c>
      <c r="C223" s="8" t="s">
        <v>68</v>
      </c>
      <c r="D223" s="1">
        <v>291</v>
      </c>
      <c r="E223" s="2" t="str">
        <f>HYPERLINK("#'Data'!A2144", "Households that moved abroad for at least 14 days broken down by single/joint headed HHs on the admin of overall perc")</f>
        <v>Households that moved abroad for at least 14 days broken down by single/joint headed HHs on the admin of overall perc</v>
      </c>
    </row>
    <row r="224" spans="2:5" ht="15.75">
      <c r="B224" s="5" t="s">
        <v>66</v>
      </c>
      <c r="C224" s="6" t="s">
        <v>69</v>
      </c>
      <c r="D224" s="1">
        <v>294</v>
      </c>
      <c r="E224" s="2" t="str">
        <f>HYPERLINK("#'Data'!A2154", "IDP households and households displaced within settlement duration in current place of residence broken down by displacement status of HoH on the a...")</f>
        <v>IDP households and households displaced within settlement duration in current place of residence broken down by displacement status of HoH on the a...</v>
      </c>
    </row>
    <row r="225" spans="2:5" ht="15.75">
      <c r="B225" s="7" t="s">
        <v>66</v>
      </c>
      <c r="C225" s="8" t="s">
        <v>70</v>
      </c>
      <c r="D225" s="1">
        <v>299</v>
      </c>
      <c r="E225" s="2" t="str">
        <f>HYPERLINK("#'Data'!A2160", "Households reporting reasons for return to their habitual place of residence broken down by rural / urban on the admin of overall perc")</f>
        <v>Households reporting reasons for return to their habitual place of residence broken down by rural / urban on the admin of overall perc</v>
      </c>
    </row>
    <row r="226" spans="2:5" ht="15.75">
      <c r="B226" s="5" t="s">
        <v>66</v>
      </c>
      <c r="C226" s="6" t="s">
        <v>70</v>
      </c>
      <c r="D226" s="1">
        <v>300</v>
      </c>
      <c r="E226" s="2" t="str">
        <f>HYPERLINK("#'Data'!A2166", "Households reporting reasons for return to their habitual place of residence broken down by proximity to the Frontline / Russian border on the admi...")</f>
        <v>Households reporting reasons for return to their habitual place of residence broken down by proximity to the Frontline / Russian border on the admi...</v>
      </c>
    </row>
    <row r="227" spans="2:5" ht="15.75">
      <c r="B227" s="7" t="s">
        <v>66</v>
      </c>
      <c r="C227" s="8" t="s">
        <v>70</v>
      </c>
      <c r="D227" s="1">
        <v>301</v>
      </c>
      <c r="E227" s="2" t="str">
        <f>HYPERLINK("#'Data'!A2173", "Households reporting reasons for return to their habitual place of residence broken down by member with WGSS disability on the admin of overall per...")</f>
        <v>Households reporting reasons for return to their habitual place of residence broken down by member with WGSS disability on the admin of overall per...</v>
      </c>
    </row>
    <row r="228" spans="2:5" ht="15.75">
      <c r="B228" s="5" t="s">
        <v>66</v>
      </c>
      <c r="C228" s="6" t="s">
        <v>70</v>
      </c>
      <c r="D228" s="1">
        <v>303</v>
      </c>
      <c r="E228" s="2" t="str">
        <f>HYPERLINK("#'Data'!A2179", "Households reporting reasons for return to their habitual place of residence broken down by household size on the admin of overall perc")</f>
        <v>Households reporting reasons for return to their habitual place of residence broken down by household size on the admin of overall perc</v>
      </c>
    </row>
    <row r="229" spans="2:5" ht="15.75">
      <c r="B229" s="7" t="s">
        <v>66</v>
      </c>
      <c r="C229" s="8" t="s">
        <v>70</v>
      </c>
      <c r="D229" s="1">
        <v>304</v>
      </c>
      <c r="E229" s="2" t="str">
        <f>HYPERLINK("#'Data'!A2186", "Households reporting reasons for return to their habitual place of residence broken down by single/joint headed HHs on the admin of overall perc")</f>
        <v>Households reporting reasons for return to their habitual place of residence broken down by single/joint headed HHs on the admin of overall perc</v>
      </c>
    </row>
    <row r="230" spans="2:5" ht="15.75">
      <c r="B230" s="5" t="s">
        <v>66</v>
      </c>
      <c r="C230" s="6" t="s">
        <v>71</v>
      </c>
      <c r="D230" s="1">
        <v>306</v>
      </c>
      <c r="E230" s="2" t="str">
        <f>HYPERLINK("#'Data'!A2193", "Households reporting their movement intentions for the next 12 months broken down by rural / urban on the admin of overall perc")</f>
        <v>Households reporting their movement intentions for the next 12 months broken down by rural / urban on the admin of overall perc</v>
      </c>
    </row>
    <row r="231" spans="2:5" ht="15.75">
      <c r="B231" s="7" t="s">
        <v>66</v>
      </c>
      <c r="C231" s="8" t="s">
        <v>71</v>
      </c>
      <c r="D231" s="1">
        <v>307</v>
      </c>
      <c r="E231" s="2" t="str">
        <f>HYPERLINK("#'Data'!A2201", "Households reporting their movement intentions for the next 12 months broken down by proximity to the Frontline / Russian border on the admin of ov...")</f>
        <v>Households reporting their movement intentions for the next 12 months broken down by proximity to the Frontline / Russian border on the admin of ov...</v>
      </c>
    </row>
    <row r="232" spans="2:5" ht="15.75">
      <c r="B232" s="5" t="s">
        <v>66</v>
      </c>
      <c r="C232" s="6" t="s">
        <v>71</v>
      </c>
      <c r="D232" s="1">
        <v>308</v>
      </c>
      <c r="E232" s="2" t="str">
        <f>HYPERLINK("#'Data'!A2211", "Households reporting their movement intentions for the next 12 months broken down by member with WGSS disability on the admin of overall perc")</f>
        <v>Households reporting their movement intentions for the next 12 months broken down by member with WGSS disability on the admin of overall perc</v>
      </c>
    </row>
    <row r="233" spans="2:5" ht="15.75">
      <c r="B233" s="7" t="s">
        <v>66</v>
      </c>
      <c r="C233" s="8" t="s">
        <v>71</v>
      </c>
      <c r="D233" s="1">
        <v>309</v>
      </c>
      <c r="E233" s="2" t="str">
        <f>HYPERLINK("#'Data'!A2219", "Households reporting their movement intentions for the next 12 months broken down by displacement status of HoH on the admin of overall perc")</f>
        <v>Households reporting their movement intentions for the next 12 months broken down by displacement status of HoH on the admin of overall perc</v>
      </c>
    </row>
    <row r="234" spans="2:5" ht="15.75">
      <c r="B234" s="5" t="s">
        <v>66</v>
      </c>
      <c r="C234" s="6" t="s">
        <v>71</v>
      </c>
      <c r="D234" s="1">
        <v>310</v>
      </c>
      <c r="E234" s="2" t="str">
        <f>HYPERLINK("#'Data'!A2225", "Households reporting their movement intentions for the next 12 months broken down by household size on the admin of overall perc")</f>
        <v>Households reporting their movement intentions for the next 12 months broken down by household size on the admin of overall perc</v>
      </c>
    </row>
    <row r="235" spans="2:5" ht="15.75">
      <c r="B235" s="7" t="s">
        <v>66</v>
      </c>
      <c r="C235" s="8" t="s">
        <v>71</v>
      </c>
      <c r="D235" s="1">
        <v>311</v>
      </c>
      <c r="E235" s="2" t="str">
        <f>HYPERLINK("#'Data'!A2235", "Households reporting their movement intentions for the next 12 months broken down by single/joint headed HHs on the admin of overall perc")</f>
        <v>Households reporting their movement intentions for the next 12 months broken down by single/joint headed HHs on the admin of overall perc</v>
      </c>
    </row>
    <row r="236" spans="2:5" ht="15.75">
      <c r="B236" s="5" t="s">
        <v>66</v>
      </c>
      <c r="C236" s="6" t="s">
        <v>72</v>
      </c>
      <c r="D236" s="1">
        <v>313</v>
      </c>
      <c r="E236" s="2" t="str">
        <f>HYPERLINK("#'Data'!A2245", "Households that reportedly have registered IDP members broken down by rural / urban on the admin of overall perc")</f>
        <v>Households that reportedly have registered IDP members broken down by rural / urban on the admin of overall perc</v>
      </c>
    </row>
    <row r="237" spans="2:5" ht="15.75">
      <c r="B237" s="7" t="s">
        <v>66</v>
      </c>
      <c r="C237" s="8" t="s">
        <v>72</v>
      </c>
      <c r="D237" s="1">
        <v>314</v>
      </c>
      <c r="E237" s="2" t="str">
        <f>HYPERLINK("#'Data'!A2253", "Households that reportedly have registered IDP members broken down by proximity to the Frontline / Russian border on the admin of overall perc")</f>
        <v>Households that reportedly have registered IDP members broken down by proximity to the Frontline / Russian border on the admin of overall perc</v>
      </c>
    </row>
    <row r="238" spans="2:5" ht="15.75">
      <c r="B238" s="5" t="s">
        <v>66</v>
      </c>
      <c r="C238" s="6" t="s">
        <v>72</v>
      </c>
      <c r="D238" s="1">
        <v>315</v>
      </c>
      <c r="E238" s="2" t="str">
        <f>HYPERLINK("#'Data'!A2263", "Households that reportedly have registered IDP members broken down by member with WGSS disability on the admin of overall perc")</f>
        <v>Households that reportedly have registered IDP members broken down by member with WGSS disability on the admin of overall perc</v>
      </c>
    </row>
    <row r="239" spans="2:5" ht="15.75">
      <c r="B239" s="7" t="s">
        <v>66</v>
      </c>
      <c r="C239" s="8" t="s">
        <v>72</v>
      </c>
      <c r="D239" s="1">
        <v>316</v>
      </c>
      <c r="E239" s="2" t="str">
        <f>HYPERLINK("#'Data'!A2271", "Households that reportedly have registered IDP members broken down by displacement status of HoH on the admin of overall perc")</f>
        <v>Households that reportedly have registered IDP members broken down by displacement status of HoH on the admin of overall perc</v>
      </c>
    </row>
    <row r="240" spans="2:5" ht="15.75">
      <c r="B240" s="5" t="s">
        <v>66</v>
      </c>
      <c r="C240" s="6" t="s">
        <v>72</v>
      </c>
      <c r="D240" s="1">
        <v>317</v>
      </c>
      <c r="E240" s="2" t="str">
        <f>HYPERLINK("#'Data'!A2277", "Households that reportedly have registered IDP members broken down by household size on the admin of overall perc")</f>
        <v>Households that reportedly have registered IDP members broken down by household size on the admin of overall perc</v>
      </c>
    </row>
    <row r="241" spans="2:5" ht="15.75">
      <c r="B241" s="7" t="s">
        <v>66</v>
      </c>
      <c r="C241" s="8" t="s">
        <v>72</v>
      </c>
      <c r="D241" s="1">
        <v>318</v>
      </c>
      <c r="E241" s="2" t="str">
        <f>HYPERLINK("#'Data'!A2287", "Households that reportedly have registered IDP members broken down by single/joint headed HHs on the admin of overall perc")</f>
        <v>Households that reportedly have registered IDP members broken down by single/joint headed HHs on the admin of overall perc</v>
      </c>
    </row>
    <row r="242" spans="2:5" ht="15.75">
      <c r="B242" s="5" t="s">
        <v>66</v>
      </c>
      <c r="C242" s="6" t="s">
        <v>72</v>
      </c>
      <c r="D242" s="1">
        <v>320</v>
      </c>
      <c r="E242" s="2" t="str">
        <f>HYPERLINK("#'Data'!A2297", "Household members (5-18 y.o) reportedly attending school or early education program during 2023-2024 years broken down by rural / urban on the admi...")</f>
        <v>Household members (5-18 y.o) reportedly attending school or early education program during 2023-2024 years broken down by rural / urban on the admi...</v>
      </c>
    </row>
    <row r="243" spans="2:5" ht="15.75">
      <c r="B243" s="7" t="s">
        <v>73</v>
      </c>
      <c r="C243" s="8" t="s">
        <v>74</v>
      </c>
      <c r="D243" s="1">
        <v>321</v>
      </c>
      <c r="E243" s="2" t="str">
        <f>HYPERLINK("#'Data'!A2305", "Household members (5-18 y.o) reportedly attending school or early education program during 2023-2024 years broken down by proximity to the Frontlin...")</f>
        <v>Household members (5-18 y.o) reportedly attending school or early education program during 2023-2024 years broken down by proximity to the Frontlin...</v>
      </c>
    </row>
    <row r="244" spans="2:5" ht="15.75">
      <c r="B244" s="5" t="s">
        <v>73</v>
      </c>
      <c r="C244" s="6" t="s">
        <v>74</v>
      </c>
      <c r="D244" s="1">
        <v>322</v>
      </c>
      <c r="E244" s="2" t="str">
        <f>HYPERLINK("#'Data'!A2315", "Household members (5-18 y.o) reportedly attending school or early education program during 2023-2024 years broken down by member with WGSS disabili...")</f>
        <v>Household members (5-18 y.o) reportedly attending school or early education program during 2023-2024 years broken down by member with WGSS disabili...</v>
      </c>
    </row>
    <row r="245" spans="2:5" ht="15.75">
      <c r="B245" s="7" t="s">
        <v>73</v>
      </c>
      <c r="C245" s="8" t="s">
        <v>74</v>
      </c>
      <c r="D245" s="1">
        <v>323</v>
      </c>
      <c r="E245" s="2" t="str">
        <f>HYPERLINK("#'Data'!A2323", "Household members (5-18 y.o) reportedly attending school or early education program during 2023-2024 years broken down by displacement status of Ho...")</f>
        <v>Household members (5-18 y.o) reportedly attending school or early education program during 2023-2024 years broken down by displacement status of Ho...</v>
      </c>
    </row>
    <row r="246" spans="2:5" ht="15.75">
      <c r="B246" s="5" t="s">
        <v>73</v>
      </c>
      <c r="C246" s="6" t="s">
        <v>74</v>
      </c>
      <c r="D246" s="1">
        <v>324</v>
      </c>
      <c r="E246" s="2" t="str">
        <f>HYPERLINK("#'Data'!A2329", "Household members (5-18 y.o) reportedly attending school or early education program during 2023-2024 years broken down by household size on the adm...")</f>
        <v>Household members (5-18 y.o) reportedly attending school or early education program during 2023-2024 years broken down by household size on the adm...</v>
      </c>
    </row>
    <row r="247" spans="2:5" ht="15.75">
      <c r="B247" s="7" t="s">
        <v>73</v>
      </c>
      <c r="C247" s="8" t="s">
        <v>74</v>
      </c>
      <c r="D247" s="1">
        <v>325</v>
      </c>
      <c r="E247" s="2" t="str">
        <f>HYPERLINK("#'Data'!A2337", "Household members (5-18 y.o) reportedly attending school or early education program during 2023-2024 years broken down by age of school-aged childr...")</f>
        <v>Household members (5-18 y.o) reportedly attending school or early education program during 2023-2024 years broken down by age of school-aged childr...</v>
      </c>
    </row>
    <row r="248" spans="2:5" ht="15.75">
      <c r="B248" s="5" t="s">
        <v>73</v>
      </c>
      <c r="C248" s="6" t="s">
        <v>74</v>
      </c>
      <c r="D248" s="1">
        <v>326</v>
      </c>
      <c r="E248" s="2" t="str">
        <f>HYPERLINK("#'Data'!A2349", "Household members (5-18 y.o) reportedly attending school or early education program during 2023-2024 years broken down by gender and age of school-...")</f>
        <v>Household members (5-18 y.o) reportedly attending school or early education program during 2023-2024 years broken down by gender and age of school-...</v>
      </c>
    </row>
    <row r="249" spans="2:5" ht="15.75">
      <c r="B249" s="7" t="s">
        <v>73</v>
      </c>
      <c r="C249" s="8" t="s">
        <v>74</v>
      </c>
      <c r="D249" s="1">
        <v>327</v>
      </c>
      <c r="E249" s="2" t="str">
        <f>HYPERLINK("#'Data'!A2369", "Household members (5-18 y.o) reportedly attending school or early education program during 2023-2024 years broken down by single care provider on t...")</f>
        <v>Household members (5-18 y.o) reportedly attending school or early education program during 2023-2024 years broken down by single care provider on t...</v>
      </c>
    </row>
    <row r="250" spans="2:5" ht="15.75">
      <c r="B250" s="5" t="s">
        <v>73</v>
      </c>
      <c r="C250" s="6" t="s">
        <v>74</v>
      </c>
      <c r="D250" s="1">
        <v>328</v>
      </c>
      <c r="E250" s="2" t="str">
        <f>HYPERLINK("#'Data'!A2381", "Household members (5-18 y.o) reportedly attending school or early education program during 2023-2024 years broken down by income per capita (by qua...")</f>
        <v>Household members (5-18 y.o) reportedly attending school or early education program during 2023-2024 years broken down by income per capita (by qua...</v>
      </c>
    </row>
    <row r="251" spans="2:5" ht="15.75">
      <c r="B251" s="7" t="s">
        <v>73</v>
      </c>
      <c r="C251" s="8" t="s">
        <v>74</v>
      </c>
      <c r="D251" s="1">
        <v>329</v>
      </c>
      <c r="E251" s="2" t="str">
        <f>HYPERLINK("#'Data'!A2393", "Household members (5-18 y.o) reportedly attending school or early education program during 2023-2024 years broken down by single/joint headed HHs o...")</f>
        <v>Household members (5-18 y.o) reportedly attending school or early education program during 2023-2024 years broken down by single/joint headed HHs o...</v>
      </c>
    </row>
    <row r="252" spans="2:5" ht="15.75">
      <c r="B252" s="5" t="s">
        <v>73</v>
      </c>
      <c r="C252" s="6" t="s">
        <v>75</v>
      </c>
      <c r="D252" s="1">
        <v>331</v>
      </c>
      <c r="E252" s="2" t="str">
        <f>HYPERLINK("#'Data'!A2403", "Household members (5-18 y.o) who attended school by learning modality broken down by rural / urban on the admin of overall perc")</f>
        <v>Household members (5-18 y.o) who attended school by learning modality broken down by rural / urban on the admin of overall perc</v>
      </c>
    </row>
    <row r="253" spans="2:5" ht="15.75">
      <c r="B253" s="7" t="s">
        <v>73</v>
      </c>
      <c r="C253" s="8" t="s">
        <v>75</v>
      </c>
      <c r="D253" s="1">
        <v>332</v>
      </c>
      <c r="E253" s="2" t="str">
        <f>HYPERLINK("#'Data'!A2411", "Household members (5-18 y.o) who attended school by learning modality broken down by proximity to the Frontline / Russian border on the admin of ov...")</f>
        <v>Household members (5-18 y.o) who attended school by learning modality broken down by proximity to the Frontline / Russian border on the admin of ov...</v>
      </c>
    </row>
    <row r="254" spans="2:5" ht="15.75">
      <c r="B254" s="5" t="s">
        <v>73</v>
      </c>
      <c r="C254" s="6" t="s">
        <v>75</v>
      </c>
      <c r="D254" s="1">
        <v>333</v>
      </c>
      <c r="E254" s="2" t="str">
        <f>HYPERLINK("#'Data'!A2421", "Household members (5-18 y.o) who attended school by learning modality broken down by member with WGSS disability on the admin of overall perc")</f>
        <v>Household members (5-18 y.o) who attended school by learning modality broken down by member with WGSS disability on the admin of overall perc</v>
      </c>
    </row>
    <row r="255" spans="2:5" ht="15.75">
      <c r="B255" s="7" t="s">
        <v>73</v>
      </c>
      <c r="C255" s="8" t="s">
        <v>75</v>
      </c>
      <c r="D255" s="1">
        <v>334</v>
      </c>
      <c r="E255" s="2" t="str">
        <f>HYPERLINK("#'Data'!A2429", "Household members (5-18 y.o) who attended school by learning modality broken down by displacement status of HoH on the admin of overall perc")</f>
        <v>Household members (5-18 y.o) who attended school by learning modality broken down by displacement status of HoH on the admin of overall perc</v>
      </c>
    </row>
    <row r="256" spans="2:5" ht="15.75">
      <c r="B256" s="5" t="s">
        <v>73</v>
      </c>
      <c r="C256" s="6" t="s">
        <v>75</v>
      </c>
      <c r="D256" s="1">
        <v>335</v>
      </c>
      <c r="E256" s="2" t="str">
        <f>HYPERLINK("#'Data'!A2435", "Household members (5-18 y.o) who attended school by learning modality broken down by household size on the admin of overall perc")</f>
        <v>Household members (5-18 y.o) who attended school by learning modality broken down by household size on the admin of overall perc</v>
      </c>
    </row>
    <row r="257" spans="2:5" ht="15.75">
      <c r="B257" s="7" t="s">
        <v>73</v>
      </c>
      <c r="C257" s="8" t="s">
        <v>75</v>
      </c>
      <c r="D257" s="1">
        <v>336</v>
      </c>
      <c r="E257" s="2" t="str">
        <f>HYPERLINK("#'Data'!A2443", "Household members (5-18 y.o) who attended school by learning modality broken down by age of school-aged children on the admin of overall perc")</f>
        <v>Household members (5-18 y.o) who attended school by learning modality broken down by age of school-aged children on the admin of overall perc</v>
      </c>
    </row>
    <row r="258" spans="2:5" ht="15.75">
      <c r="B258" s="5" t="s">
        <v>73</v>
      </c>
      <c r="C258" s="6" t="s">
        <v>75</v>
      </c>
      <c r="D258" s="1">
        <v>337</v>
      </c>
      <c r="E258" s="2" t="str">
        <f>HYPERLINK("#'Data'!A2455", "Household members (5-18 y.o) who attended school by learning modality broken down by gender and age of school-aged children on the admin of overall...")</f>
        <v>Household members (5-18 y.o) who attended school by learning modality broken down by gender and age of school-aged children on the admin of overall...</v>
      </c>
    </row>
    <row r="259" spans="2:5" ht="15.75">
      <c r="B259" s="7" t="s">
        <v>73</v>
      </c>
      <c r="C259" s="8" t="s">
        <v>75</v>
      </c>
      <c r="D259" s="1">
        <v>338</v>
      </c>
      <c r="E259" s="2" t="str">
        <f>HYPERLINK("#'Data'!A2475", "Household members (5-18 y.o) who attended school by learning modality broken down by single care provider on the admin of overall perc")</f>
        <v>Household members (5-18 y.o) who attended school by learning modality broken down by single care provider on the admin of overall perc</v>
      </c>
    </row>
    <row r="260" spans="2:5" ht="15.75">
      <c r="B260" s="5" t="s">
        <v>73</v>
      </c>
      <c r="C260" s="6" t="s">
        <v>75</v>
      </c>
      <c r="D260" s="1">
        <v>339</v>
      </c>
      <c r="E260" s="2" t="str">
        <f>HYPERLINK("#'Data'!A2487", "Household members (5-18 y.o) who attended school by learning modality broken down by income per capita (by quartiles) on the admin of overall perc")</f>
        <v>Household members (5-18 y.o) who attended school by learning modality broken down by income per capita (by quartiles) on the admin of overall perc</v>
      </c>
    </row>
    <row r="261" spans="2:5" ht="15.75">
      <c r="B261" s="7" t="s">
        <v>73</v>
      </c>
      <c r="C261" s="8" t="s">
        <v>75</v>
      </c>
      <c r="D261" s="1">
        <v>340</v>
      </c>
      <c r="E261" s="2" t="str">
        <f>HYPERLINK("#'Data'!A2499", "Household members (5-18 y.o) who attended school by learning modality broken down by single/joint headed HHs on the admin of overall perc")</f>
        <v>Household members (5-18 y.o) who attended school by learning modality broken down by single/joint headed HHs on the admin of overall perc</v>
      </c>
    </row>
    <row r="262" spans="2:5" ht="15.75">
      <c r="B262" s="5" t="s">
        <v>73</v>
      </c>
      <c r="C262" s="6" t="s">
        <v>76</v>
      </c>
      <c r="D262" s="1">
        <v>342</v>
      </c>
      <c r="E262" s="2" t="str">
        <f>HYPERLINK("#'Data'!A2509", "Household members (5-18 y.o) who attended school by grade broken down by rural / urban on the admin of overall perc")</f>
        <v>Household members (5-18 y.o) who attended school by grade broken down by rural / urban on the admin of overall perc</v>
      </c>
    </row>
    <row r="263" spans="2:5" ht="15.75">
      <c r="B263" s="7" t="s">
        <v>73</v>
      </c>
      <c r="C263" s="8" t="s">
        <v>76</v>
      </c>
      <c r="D263" s="1">
        <v>343</v>
      </c>
      <c r="E263" s="2" t="str">
        <f>HYPERLINK("#'Data'!A2517", "Household members (5-18 y.o) who attended school by grade broken down by proximity to the Frontline / Russian border on the admin of overall perc")</f>
        <v>Household members (5-18 y.o) who attended school by grade broken down by proximity to the Frontline / Russian border on the admin of overall perc</v>
      </c>
    </row>
    <row r="264" spans="2:5" ht="15.75">
      <c r="B264" s="5" t="s">
        <v>73</v>
      </c>
      <c r="C264" s="6" t="s">
        <v>76</v>
      </c>
      <c r="D264" s="1">
        <v>344</v>
      </c>
      <c r="E264" s="2" t="str">
        <f>HYPERLINK("#'Data'!A2527", "Household members (5-18 y.o) who attended school by grade broken down by member with WGSS disability on the admin of overall perc")</f>
        <v>Household members (5-18 y.o) who attended school by grade broken down by member with WGSS disability on the admin of overall perc</v>
      </c>
    </row>
    <row r="265" spans="2:5" ht="15.75">
      <c r="B265" s="7" t="s">
        <v>73</v>
      </c>
      <c r="C265" s="8" t="s">
        <v>76</v>
      </c>
      <c r="D265" s="1">
        <v>345</v>
      </c>
      <c r="E265" s="2" t="str">
        <f>HYPERLINK("#'Data'!A2535", "Household members (5-18 y.o) who attended school by grade broken down by displacement status of HoH on the admin of overall perc")</f>
        <v>Household members (5-18 y.o) who attended school by grade broken down by displacement status of HoH on the admin of overall perc</v>
      </c>
    </row>
    <row r="266" spans="2:5" ht="15.75">
      <c r="B266" s="5" t="s">
        <v>73</v>
      </c>
      <c r="C266" s="6" t="s">
        <v>76</v>
      </c>
      <c r="D266" s="1">
        <v>346</v>
      </c>
      <c r="E266" s="2" t="str">
        <f>HYPERLINK("#'Data'!A2541", "Household members (5-18 y.o) who attended school by grade broken down by household size on the admin of overall perc")</f>
        <v>Household members (5-18 y.o) who attended school by grade broken down by household size on the admin of overall perc</v>
      </c>
    </row>
    <row r="267" spans="2:5" ht="15.75">
      <c r="B267" s="7" t="s">
        <v>73</v>
      </c>
      <c r="C267" s="8" t="s">
        <v>76</v>
      </c>
      <c r="D267" s="1">
        <v>347</v>
      </c>
      <c r="E267" s="2" t="str">
        <f>HYPERLINK("#'Data'!A2549", "Household members (5-18 y.o) who attended school by grade broken down by age of school-aged children on the admin of overall perc")</f>
        <v>Household members (5-18 y.o) who attended school by grade broken down by age of school-aged children on the admin of overall perc</v>
      </c>
    </row>
    <row r="268" spans="2:5" ht="15.75">
      <c r="B268" s="5" t="s">
        <v>73</v>
      </c>
      <c r="C268" s="6" t="s">
        <v>76</v>
      </c>
      <c r="D268" s="1">
        <v>348</v>
      </c>
      <c r="E268" s="2" t="str">
        <f>HYPERLINK("#'Data'!A2561", "Household members (5-18 y.o) who attended school by grade broken down by gender and age of school-aged children on the admin of overall perc")</f>
        <v>Household members (5-18 y.o) who attended school by grade broken down by gender and age of school-aged children on the admin of overall perc</v>
      </c>
    </row>
    <row r="269" spans="2:5" ht="15.75">
      <c r="B269" s="7" t="s">
        <v>73</v>
      </c>
      <c r="C269" s="8" t="s">
        <v>76</v>
      </c>
      <c r="D269" s="1">
        <v>349</v>
      </c>
      <c r="E269" s="2" t="str">
        <f>HYPERLINK("#'Data'!A2581", "Household members (5-18 y.o) who attended school by grade broken down by single care provider on the admin of overall perc")</f>
        <v>Household members (5-18 y.o) who attended school by grade broken down by single care provider on the admin of overall perc</v>
      </c>
    </row>
    <row r="270" spans="2:5" ht="15.75">
      <c r="B270" s="5" t="s">
        <v>73</v>
      </c>
      <c r="C270" s="6" t="s">
        <v>76</v>
      </c>
      <c r="D270" s="1">
        <v>350</v>
      </c>
      <c r="E270" s="2" t="str">
        <f>HYPERLINK("#'Data'!A2593", "Household members (5-18 y.o) who attended school by grade broken down by income per capita (by quartiles) on the admin of overall perc")</f>
        <v>Household members (5-18 y.o) who attended school by grade broken down by income per capita (by quartiles) on the admin of overall perc</v>
      </c>
    </row>
    <row r="271" spans="2:5" ht="15.75">
      <c r="B271" s="7" t="s">
        <v>73</v>
      </c>
      <c r="C271" s="8" t="s">
        <v>76</v>
      </c>
      <c r="D271" s="1">
        <v>351</v>
      </c>
      <c r="E271" s="2" t="str">
        <f>HYPERLINK("#'Data'!A2605", "Household members (5-18 y.o) who attended school by grade broken down by single/joint headed HHs on the admin of overall perc")</f>
        <v>Household members (5-18 y.o) who attended school by grade broken down by single/joint headed HHs on the admin of overall perc</v>
      </c>
    </row>
    <row r="272" spans="2:5" ht="15.75">
      <c r="B272" s="5" t="s">
        <v>73</v>
      </c>
      <c r="C272" s="6" t="s">
        <v>77</v>
      </c>
      <c r="D272" s="1">
        <v>353</v>
      </c>
      <c r="E272" s="2" t="str">
        <f>HYPERLINK("#'Data'!A2615", "Household members (5-18 y.o) reporting reasons for not attending schools broken down by rural / urban on the admin of overall perc")</f>
        <v>Household members (5-18 y.o) reporting reasons for not attending schools broken down by rural / urban on the admin of overall perc</v>
      </c>
    </row>
    <row r="273" spans="2:5" ht="15.75">
      <c r="B273" s="7" t="s">
        <v>73</v>
      </c>
      <c r="C273" s="8" t="s">
        <v>77</v>
      </c>
      <c r="D273" s="1">
        <v>354</v>
      </c>
      <c r="E273" s="2" t="str">
        <f>HYPERLINK("#'Data'!A2623", "Household members (5-18 y.o) reporting reasons for not attending schools broken down by proximity to the Frontline / Russian border on the admin of...")</f>
        <v>Household members (5-18 y.o) reporting reasons for not attending schools broken down by proximity to the Frontline / Russian border on the admin of...</v>
      </c>
    </row>
    <row r="274" spans="2:5" ht="15.75">
      <c r="B274" s="5" t="s">
        <v>73</v>
      </c>
      <c r="C274" s="6" t="s">
        <v>77</v>
      </c>
      <c r="D274" s="1">
        <v>355</v>
      </c>
      <c r="E274" s="2" t="str">
        <f>HYPERLINK("#'Data'!A2633", "Household members (5-18 y.o) reporting reasons for not attending schools broken down by member with WGSS disability on the admin of overall perc")</f>
        <v>Household members (5-18 y.o) reporting reasons for not attending schools broken down by member with WGSS disability on the admin of overall perc</v>
      </c>
    </row>
    <row r="275" spans="2:5" ht="15.75">
      <c r="B275" s="7" t="s">
        <v>73</v>
      </c>
      <c r="C275" s="8" t="s">
        <v>77</v>
      </c>
      <c r="D275" s="1">
        <v>356</v>
      </c>
      <c r="E275" s="2" t="str">
        <f>HYPERLINK("#'Data'!A2641", "Household members (5-18 y.o) reporting reasons for not attending schools broken down by displacement status of HoH on the admin of overall perc")</f>
        <v>Household members (5-18 y.o) reporting reasons for not attending schools broken down by displacement status of HoH on the admin of overall perc</v>
      </c>
    </row>
    <row r="276" spans="2:5" ht="15.75">
      <c r="B276" s="5" t="s">
        <v>73</v>
      </c>
      <c r="C276" s="6" t="s">
        <v>77</v>
      </c>
      <c r="D276" s="1">
        <v>357</v>
      </c>
      <c r="E276" s="2" t="str">
        <f>HYPERLINK("#'Data'!A2647", "Household members (5-18 y.o) reporting reasons for not attending schools broken down by household size on the admin of overall perc")</f>
        <v>Household members (5-18 y.o) reporting reasons for not attending schools broken down by household size on the admin of overall perc</v>
      </c>
    </row>
    <row r="277" spans="2:5" ht="15.75">
      <c r="B277" s="7" t="s">
        <v>73</v>
      </c>
      <c r="C277" s="8" t="s">
        <v>77</v>
      </c>
      <c r="D277" s="1">
        <v>358</v>
      </c>
      <c r="E277" s="2" t="str">
        <f>HYPERLINK("#'Data'!A2655", "Household members (5-18 y.o) reporting reasons for not attending schools broken down by age of school-aged children on the admin of overall perc")</f>
        <v>Household members (5-18 y.o) reporting reasons for not attending schools broken down by age of school-aged children on the admin of overall perc</v>
      </c>
    </row>
    <row r="278" spans="2:5" ht="15.75">
      <c r="B278" s="5" t="s">
        <v>73</v>
      </c>
      <c r="C278" s="6" t="s">
        <v>77</v>
      </c>
      <c r="D278" s="1">
        <v>359</v>
      </c>
      <c r="E278" s="2" t="str">
        <f>HYPERLINK("#'Data'!A2667", "Household members (5-18 y.o) reporting reasons for not attending schools broken down by gender and age of school-aged children on the admin of over...")</f>
        <v>Household members (5-18 y.o) reporting reasons for not attending schools broken down by gender and age of school-aged children on the admin of over...</v>
      </c>
    </row>
    <row r="279" spans="2:5" ht="15.75">
      <c r="B279" s="7" t="s">
        <v>73</v>
      </c>
      <c r="C279" s="8" t="s">
        <v>77</v>
      </c>
      <c r="D279" s="1">
        <v>360</v>
      </c>
      <c r="E279" s="2" t="str">
        <f>HYPERLINK("#'Data'!A2687", "Household members (5-18 y.o) reporting reasons for not attending schools broken down by single care provider on the admin of overall perc")</f>
        <v>Household members (5-18 y.o) reporting reasons for not attending schools broken down by single care provider on the admin of overall perc</v>
      </c>
    </row>
    <row r="280" spans="2:5" ht="15.75">
      <c r="B280" s="5" t="s">
        <v>73</v>
      </c>
      <c r="C280" s="6" t="s">
        <v>77</v>
      </c>
      <c r="D280" s="1">
        <v>361</v>
      </c>
      <c r="E280" s="2" t="str">
        <f>HYPERLINK("#'Data'!A2697", "Household members (5-18 y.o) reporting reasons for not attending schools broken down by income per capita (by quartiles) on the admin of overall pe...")</f>
        <v>Household members (5-18 y.o) reporting reasons for not attending schools broken down by income per capita (by quartiles) on the admin of overall pe...</v>
      </c>
    </row>
    <row r="281" spans="2:5" ht="15.75">
      <c r="B281" s="7" t="s">
        <v>73</v>
      </c>
      <c r="C281" s="8" t="s">
        <v>77</v>
      </c>
      <c r="D281" s="1">
        <v>362</v>
      </c>
      <c r="E281" s="2" t="str">
        <f>HYPERLINK("#'Data'!A2709", "Household members (5-18 y.o) reporting reasons for not attending schools broken down by single/joint headed HHs on the admin of overall perc")</f>
        <v>Household members (5-18 y.o) reporting reasons for not attending schools broken down by single/joint headed HHs on the admin of overall perc</v>
      </c>
    </row>
    <row r="282" spans="2:5" ht="15.75">
      <c r="B282" s="5" t="s">
        <v>73</v>
      </c>
      <c r="C282" s="6" t="s">
        <v>78</v>
      </c>
      <c r="D282" s="1">
        <v>364</v>
      </c>
      <c r="E282" s="2" t="str">
        <f>HYPERLINK("#'Data'!A2719", "Households with school-aged children (5-18 y.o) that reported education disruption because of displacement/evacuation broken down by rural / urban ...")</f>
        <v>Households with school-aged children (5-18 y.o) that reported education disruption because of displacement/evacuation broken down by rural / urban ...</v>
      </c>
    </row>
    <row r="283" spans="2:5" ht="15.75">
      <c r="B283" s="7" t="s">
        <v>73</v>
      </c>
      <c r="C283" s="8" t="s">
        <v>78</v>
      </c>
      <c r="D283" s="1">
        <v>365</v>
      </c>
      <c r="E283" s="2" t="str">
        <f>HYPERLINK("#'Data'!A2727", "Households with school-aged children (5-18 y.o) that reported education disruption because of displacement/evacuation broken down by proximity to t...")</f>
        <v>Households with school-aged children (5-18 y.o) that reported education disruption because of displacement/evacuation broken down by proximity to t...</v>
      </c>
    </row>
    <row r="284" spans="2:5" ht="15.75">
      <c r="B284" s="5" t="s">
        <v>73</v>
      </c>
      <c r="C284" s="6" t="s">
        <v>78</v>
      </c>
      <c r="D284" s="1">
        <v>366</v>
      </c>
      <c r="E284" s="2" t="str">
        <f>HYPERLINK("#'Data'!A2737", "Households with school-aged children (5-18 y.o) that reported education disruption because of displacement/evacuation broken down by member with WG...")</f>
        <v>Households with school-aged children (5-18 y.o) that reported education disruption because of displacement/evacuation broken down by member with WG...</v>
      </c>
    </row>
    <row r="285" spans="2:5" ht="15.75">
      <c r="B285" s="7" t="s">
        <v>73</v>
      </c>
      <c r="C285" s="8" t="s">
        <v>78</v>
      </c>
      <c r="D285" s="1">
        <v>367</v>
      </c>
      <c r="E285" s="2" t="str">
        <f>HYPERLINK("#'Data'!A2745", "Households with school-aged children (5-18 y.o) that reported education disruption because of displacement/evacuation broken down by displacement s...")</f>
        <v>Households with school-aged children (5-18 y.o) that reported education disruption because of displacement/evacuation broken down by displacement s...</v>
      </c>
    </row>
    <row r="286" spans="2:5" ht="15.75">
      <c r="B286" s="5" t="s">
        <v>73</v>
      </c>
      <c r="C286" s="6" t="s">
        <v>78</v>
      </c>
      <c r="D286" s="1">
        <v>368</v>
      </c>
      <c r="E286" s="2" t="str">
        <f>HYPERLINK("#'Data'!A2751", "Households with school-aged children (5-18 y.o) that reported education disruption because of displacement/evacuation broken down by household size...")</f>
        <v>Households with school-aged children (5-18 y.o) that reported education disruption because of displacement/evacuation broken down by household size...</v>
      </c>
    </row>
    <row r="287" spans="2:5" ht="15.75">
      <c r="B287" s="7" t="s">
        <v>73</v>
      </c>
      <c r="C287" s="8" t="s">
        <v>78</v>
      </c>
      <c r="D287" s="1">
        <v>369</v>
      </c>
      <c r="E287" s="2" t="str">
        <f>HYPERLINK("#'Data'!A2759", "Households with school-aged children (5-18 y.o) that reported education disruption because of displacement/evacuation broken down by single care pr...")</f>
        <v>Households with school-aged children (5-18 y.o) that reported education disruption because of displacement/evacuation broken down by single care pr...</v>
      </c>
    </row>
    <row r="288" spans="2:5" ht="15.75">
      <c r="B288" s="5" t="s">
        <v>73</v>
      </c>
      <c r="C288" s="6" t="s">
        <v>78</v>
      </c>
      <c r="D288" s="1">
        <v>370</v>
      </c>
      <c r="E288" s="2" t="str">
        <f>HYPERLINK("#'Data'!A2771", "Households with school-aged children (5-18 y.o) that reported education disruption because of displacement/evacuation broken down by income per cap...")</f>
        <v>Households with school-aged children (5-18 y.o) that reported education disruption because of displacement/evacuation broken down by income per cap...</v>
      </c>
    </row>
    <row r="289" spans="2:5" ht="15.75">
      <c r="B289" s="7" t="s">
        <v>73</v>
      </c>
      <c r="C289" s="8" t="s">
        <v>78</v>
      </c>
      <c r="D289" s="1">
        <v>371</v>
      </c>
      <c r="E289" s="2" t="str">
        <f>HYPERLINK("#'Data'!A2783", "Households with school-aged children (5-18 y.o) that reported education disruption because of displacement/evacuation broken down by single/joint h...")</f>
        <v>Households with school-aged children (5-18 y.o) that reported education disruption because of displacement/evacuation broken down by single/joint h...</v>
      </c>
    </row>
    <row r="290" spans="2:5" ht="15.75">
      <c r="B290" s="5" t="s">
        <v>73</v>
      </c>
      <c r="C290" s="6" t="s">
        <v>79</v>
      </c>
      <c r="D290" s="1">
        <v>373</v>
      </c>
      <c r="E290" s="2" t="str">
        <f>HYPERLINK("#'Data'!A2793", "Households with school-aged children (5-18 y.o) that reported education disruption because of school damage broken down by rural / urban on the adm...")</f>
        <v>Households with school-aged children (5-18 y.o) that reported education disruption because of school damage broken down by rural / urban on the adm...</v>
      </c>
    </row>
    <row r="291" spans="2:5" ht="15.75">
      <c r="B291" s="7" t="s">
        <v>73</v>
      </c>
      <c r="C291" s="8" t="s">
        <v>79</v>
      </c>
      <c r="D291" s="1">
        <v>374</v>
      </c>
      <c r="E291" s="2" t="str">
        <f>HYPERLINK("#'Data'!A2801", "Households with school-aged children (5-18 y.o) that reported education disruption because of school damage broken down by proximity to the Frontli...")</f>
        <v>Households with school-aged children (5-18 y.o) that reported education disruption because of school damage broken down by proximity to the Frontli...</v>
      </c>
    </row>
    <row r="292" spans="2:5" ht="15.75">
      <c r="B292" s="5" t="s">
        <v>73</v>
      </c>
      <c r="C292" s="6" t="s">
        <v>79</v>
      </c>
      <c r="D292" s="1">
        <v>375</v>
      </c>
      <c r="E292" s="2" t="str">
        <f>HYPERLINK("#'Data'!A2811", "Households with school-aged children (5-18 y.o) that reported education disruption because of school damage broken down by member with WGSS disabil...")</f>
        <v>Households with school-aged children (5-18 y.o) that reported education disruption because of school damage broken down by member with WGSS disabil...</v>
      </c>
    </row>
    <row r="293" spans="2:5" ht="15.75">
      <c r="B293" s="7" t="s">
        <v>73</v>
      </c>
      <c r="C293" s="8" t="s">
        <v>79</v>
      </c>
      <c r="D293" s="1">
        <v>376</v>
      </c>
      <c r="E293" s="2" t="str">
        <f>HYPERLINK("#'Data'!A2819", "Households with school-aged children (5-18 y.o) that reported education disruption because of school damage broken down by displacement status of H...")</f>
        <v>Households with school-aged children (5-18 y.o) that reported education disruption because of school damage broken down by displacement status of H...</v>
      </c>
    </row>
    <row r="294" spans="2:5" ht="15.75">
      <c r="B294" s="5" t="s">
        <v>73</v>
      </c>
      <c r="C294" s="6" t="s">
        <v>79</v>
      </c>
      <c r="D294" s="1">
        <v>377</v>
      </c>
      <c r="E294" s="2" t="str">
        <f>HYPERLINK("#'Data'!A2825", "Households with school-aged children (5-18 y.o) that reported education disruption because of school damage broken down by household size on the ad...")</f>
        <v>Households with school-aged children (5-18 y.o) that reported education disruption because of school damage broken down by household size on the ad...</v>
      </c>
    </row>
    <row r="295" spans="2:5" ht="15.75">
      <c r="B295" s="7" t="s">
        <v>73</v>
      </c>
      <c r="C295" s="8" t="s">
        <v>79</v>
      </c>
      <c r="D295" s="1">
        <v>378</v>
      </c>
      <c r="E295" s="2" t="str">
        <f>HYPERLINK("#'Data'!A2833", "Households with school-aged children (5-18 y.o) that reported education disruption because of school damage broken down by single care provider on ...")</f>
        <v>Households with school-aged children (5-18 y.o) that reported education disruption because of school damage broken down by single care provider on ...</v>
      </c>
    </row>
    <row r="296" spans="2:5" ht="15.75">
      <c r="B296" s="5" t="s">
        <v>73</v>
      </c>
      <c r="C296" s="6" t="s">
        <v>79</v>
      </c>
      <c r="D296" s="1">
        <v>379</v>
      </c>
      <c r="E296" s="2" t="str">
        <f>HYPERLINK("#'Data'!A2845", "Households with school-aged children (5-18 y.o) that reported education disruption because of school damage broken down by income per capita (by qu...")</f>
        <v>Households with school-aged children (5-18 y.o) that reported education disruption because of school damage broken down by income per capita (by qu...</v>
      </c>
    </row>
    <row r="297" spans="2:5" ht="15.75">
      <c r="B297" s="7" t="s">
        <v>73</v>
      </c>
      <c r="C297" s="8" t="s">
        <v>79</v>
      </c>
      <c r="D297" s="1">
        <v>380</v>
      </c>
      <c r="E297" s="2" t="str">
        <f>HYPERLINK("#'Data'!A2857", "Households with school-aged children (5-18 y.o) that reported education disruption because of school damage broken down by single/joint headed HHs ...")</f>
        <v>Households with school-aged children (5-18 y.o) that reported education disruption because of school damage broken down by single/joint headed HHs ...</v>
      </c>
    </row>
    <row r="298" spans="2:5" ht="15.75">
      <c r="B298" s="5" t="s">
        <v>73</v>
      </c>
      <c r="C298" s="6" t="s">
        <v>80</v>
      </c>
      <c r="D298" s="1">
        <v>382</v>
      </c>
      <c r="E298" s="2" t="str">
        <f>HYPERLINK("#'Data'!A2867", "Households with school-aged children (5-18 y.o) that reported education disruption because of home damage broken down by rural / urban on the admin...")</f>
        <v>Households with school-aged children (5-18 y.o) that reported education disruption because of home damage broken down by rural / urban on the admin...</v>
      </c>
    </row>
    <row r="299" spans="2:5" ht="15.75">
      <c r="B299" s="7" t="s">
        <v>73</v>
      </c>
      <c r="C299" s="8" t="s">
        <v>80</v>
      </c>
      <c r="D299" s="1">
        <v>383</v>
      </c>
      <c r="E299" s="2" t="str">
        <f>HYPERLINK("#'Data'!A2875", "Households with school-aged children (5-18 y.o) that reported education disruption because of home damage broken down by proximity to the Frontline...")</f>
        <v>Households with school-aged children (5-18 y.o) that reported education disruption because of home damage broken down by proximity to the Frontline...</v>
      </c>
    </row>
    <row r="300" spans="2:5" ht="15.75">
      <c r="B300" s="5" t="s">
        <v>73</v>
      </c>
      <c r="C300" s="6" t="s">
        <v>80</v>
      </c>
      <c r="D300" s="1">
        <v>384</v>
      </c>
      <c r="E300" s="2" t="str">
        <f>HYPERLINK("#'Data'!A2885", "Households with school-aged children (5-18 y.o) that reported education disruption because of home damage broken down by member with WGSS disabilit...")</f>
        <v>Households with school-aged children (5-18 y.o) that reported education disruption because of home damage broken down by member with WGSS disabilit...</v>
      </c>
    </row>
    <row r="301" spans="2:5" ht="15.75">
      <c r="B301" s="7" t="s">
        <v>73</v>
      </c>
      <c r="C301" s="8" t="s">
        <v>80</v>
      </c>
      <c r="D301" s="1">
        <v>385</v>
      </c>
      <c r="E301" s="2" t="str">
        <f>HYPERLINK("#'Data'!A2893", "Households with school-aged children (5-18 y.o) that reported education disruption because of home damage broken down by displacement status of HoH...")</f>
        <v>Households with school-aged children (5-18 y.o) that reported education disruption because of home damage broken down by displacement status of HoH...</v>
      </c>
    </row>
    <row r="302" spans="2:5" ht="15.75">
      <c r="B302" s="5" t="s">
        <v>73</v>
      </c>
      <c r="C302" s="6" t="s">
        <v>80</v>
      </c>
      <c r="D302" s="1">
        <v>386</v>
      </c>
      <c r="E302" s="2" t="str">
        <f>HYPERLINK("#'Data'!A2899", "Households with school-aged children (5-18 y.o) that reported education disruption because of home damage broken down by household size on the admi...")</f>
        <v>Households with school-aged children (5-18 y.o) that reported education disruption because of home damage broken down by household size on the admi...</v>
      </c>
    </row>
    <row r="303" spans="2:5" ht="15.75">
      <c r="B303" s="7" t="s">
        <v>73</v>
      </c>
      <c r="C303" s="8" t="s">
        <v>80</v>
      </c>
      <c r="D303" s="1">
        <v>387</v>
      </c>
      <c r="E303" s="2" t="str">
        <f>HYPERLINK("#'Data'!A2907", "Households with school-aged children (5-18 y.o) that reported education disruption because of home damage broken down by single care provider on th...")</f>
        <v>Households with school-aged children (5-18 y.o) that reported education disruption because of home damage broken down by single care provider on th...</v>
      </c>
    </row>
    <row r="304" spans="2:5" ht="15.75">
      <c r="B304" s="5" t="s">
        <v>73</v>
      </c>
      <c r="C304" s="6" t="s">
        <v>80</v>
      </c>
      <c r="D304" s="1">
        <v>388</v>
      </c>
      <c r="E304" s="2" t="str">
        <f>HYPERLINK("#'Data'!A2919", "Households with school-aged children (5-18 y.o) that reported education disruption because of home damage broken down by income per capita (by quar...")</f>
        <v>Households with school-aged children (5-18 y.o) that reported education disruption because of home damage broken down by income per capita (by quar...</v>
      </c>
    </row>
    <row r="305" spans="2:5" ht="15.75">
      <c r="B305" s="7" t="s">
        <v>73</v>
      </c>
      <c r="C305" s="8" t="s">
        <v>80</v>
      </c>
      <c r="D305" s="1">
        <v>389</v>
      </c>
      <c r="E305" s="2" t="str">
        <f>HYPERLINK("#'Data'!A2931", "Households with school-aged children (5-18 y.o) that reported education disruption because of home damage broken down by single/joint headed HHs on...")</f>
        <v>Households with school-aged children (5-18 y.o) that reported education disruption because of home damage broken down by single/joint headed HHs on...</v>
      </c>
    </row>
    <row r="306" spans="2:5" ht="15.75">
      <c r="B306" s="5" t="s">
        <v>73</v>
      </c>
      <c r="C306" s="6" t="s">
        <v>81</v>
      </c>
      <c r="D306" s="1">
        <v>391</v>
      </c>
      <c r="E306" s="2" t="str">
        <f>HYPERLINK("#'Data'!A2941", "Households with school-aged children (5-18 y.o) that reported education disruption because of missile attack broken down by rural / urban on the ad...")</f>
        <v>Households with school-aged children (5-18 y.o) that reported education disruption because of missile attack broken down by rural / urban on the ad...</v>
      </c>
    </row>
    <row r="307" spans="2:5" ht="15.75">
      <c r="B307" s="7" t="s">
        <v>73</v>
      </c>
      <c r="C307" s="8" t="s">
        <v>81</v>
      </c>
      <c r="D307" s="1">
        <v>392</v>
      </c>
      <c r="E307" s="2" t="str">
        <f>HYPERLINK("#'Data'!A2949", "Households with school-aged children (5-18 y.o) that reported education disruption because of missile attack broken down by proximity to the Frontl...")</f>
        <v>Households with school-aged children (5-18 y.o) that reported education disruption because of missile attack broken down by proximity to the Frontl...</v>
      </c>
    </row>
    <row r="308" spans="2:5" ht="15.75">
      <c r="B308" s="5" t="s">
        <v>73</v>
      </c>
      <c r="C308" s="6" t="s">
        <v>81</v>
      </c>
      <c r="D308" s="1">
        <v>393</v>
      </c>
      <c r="E308" s="2" t="str">
        <f>HYPERLINK("#'Data'!A2959", "Households with school-aged children (5-18 y.o) that reported education disruption because of missile attack broken down by member with WGSS disabi...")</f>
        <v>Households with school-aged children (5-18 y.o) that reported education disruption because of missile attack broken down by member with WGSS disabi...</v>
      </c>
    </row>
    <row r="309" spans="2:5" ht="15.75">
      <c r="B309" s="7" t="s">
        <v>73</v>
      </c>
      <c r="C309" s="8" t="s">
        <v>81</v>
      </c>
      <c r="D309" s="1">
        <v>394</v>
      </c>
      <c r="E309" s="2" t="str">
        <f>HYPERLINK("#'Data'!A2967", "Households with school-aged children (5-18 y.o) that reported education disruption because of missile attack broken down by displacement status of ...")</f>
        <v>Households with school-aged children (5-18 y.o) that reported education disruption because of missile attack broken down by displacement status of ...</v>
      </c>
    </row>
    <row r="310" spans="2:5" ht="15.75">
      <c r="B310" s="5" t="s">
        <v>73</v>
      </c>
      <c r="C310" s="6" t="s">
        <v>81</v>
      </c>
      <c r="D310" s="1">
        <v>395</v>
      </c>
      <c r="E310" s="2" t="str">
        <f>HYPERLINK("#'Data'!A2973", "Households with school-aged children (5-18 y.o) that reported education disruption because of missile attack broken down by household size on the a...")</f>
        <v>Households with school-aged children (5-18 y.o) that reported education disruption because of missile attack broken down by household size on the a...</v>
      </c>
    </row>
    <row r="311" spans="2:5" ht="15.75">
      <c r="B311" s="7" t="s">
        <v>73</v>
      </c>
      <c r="C311" s="8" t="s">
        <v>81</v>
      </c>
      <c r="D311" s="1">
        <v>396</v>
      </c>
      <c r="E311" s="2" t="str">
        <f>HYPERLINK("#'Data'!A2981", "Households with school-aged children (5-18 y.o) that reported education disruption because of missile attack broken down by single care provider on...")</f>
        <v>Households with school-aged children (5-18 y.o) that reported education disruption because of missile attack broken down by single care provider on...</v>
      </c>
    </row>
    <row r="312" spans="2:5" ht="15.75">
      <c r="B312" s="5" t="s">
        <v>73</v>
      </c>
      <c r="C312" s="6" t="s">
        <v>81</v>
      </c>
      <c r="D312" s="1">
        <v>397</v>
      </c>
      <c r="E312" s="2" t="str">
        <f>HYPERLINK("#'Data'!A2993", "Households with school-aged children (5-18 y.o) that reported education disruption because of missile attack broken down by income per capita (by q...")</f>
        <v>Households with school-aged children (5-18 y.o) that reported education disruption because of missile attack broken down by income per capita (by q...</v>
      </c>
    </row>
    <row r="313" spans="2:5" ht="15.75">
      <c r="B313" s="7" t="s">
        <v>73</v>
      </c>
      <c r="C313" s="8" t="s">
        <v>81</v>
      </c>
      <c r="D313" s="1">
        <v>398</v>
      </c>
      <c r="E313" s="2" t="str">
        <f>HYPERLINK("#'Data'!A3005", "Households with school-aged children (5-18 y.o) that reported education disruption because of missile attack broken down by single/joint headed HHs...")</f>
        <v>Households with school-aged children (5-18 y.o) that reported education disruption because of missile attack broken down by single/joint headed HHs...</v>
      </c>
    </row>
    <row r="314" spans="2:5" ht="15.75">
      <c r="B314" s="5" t="s">
        <v>73</v>
      </c>
      <c r="C314" s="6" t="s">
        <v>82</v>
      </c>
      <c r="D314" s="1">
        <v>400</v>
      </c>
      <c r="E314" s="2" t="str">
        <f>HYPERLINK("#'Data'!A3015", "Households reporting time they spent supporting school-aged children with education broken down by rural / urban on the admin of overall mean")</f>
        <v>Households reporting time they spent supporting school-aged children with education broken down by rural / urban on the admin of overall mean</v>
      </c>
    </row>
    <row r="315" spans="2:5" ht="15.75">
      <c r="B315" s="7" t="s">
        <v>73</v>
      </c>
      <c r="C315" s="8" t="s">
        <v>82</v>
      </c>
      <c r="D315" s="1">
        <v>401</v>
      </c>
      <c r="E315" s="2" t="str">
        <f>HYPERLINK("#'Data'!A3023", "Households reporting time they spent supporting school-aged children with education broken down by proximity to the Frontline / Russian border on t...")</f>
        <v>Households reporting time they spent supporting school-aged children with education broken down by proximity to the Frontline / Russian border on t...</v>
      </c>
    </row>
    <row r="316" spans="2:5" ht="15.75">
      <c r="B316" s="5" t="s">
        <v>73</v>
      </c>
      <c r="C316" s="6" t="s">
        <v>82</v>
      </c>
      <c r="D316" s="1">
        <v>402</v>
      </c>
      <c r="E316" s="2" t="str">
        <f>HYPERLINK("#'Data'!A3033", "Households reporting time they spent supporting school-aged children with education broken down by member with WGSS disability on the admin of over...")</f>
        <v>Households reporting time they spent supporting school-aged children with education broken down by member with WGSS disability on the admin of over...</v>
      </c>
    </row>
    <row r="317" spans="2:5" ht="15.75">
      <c r="B317" s="7" t="s">
        <v>73</v>
      </c>
      <c r="C317" s="8" t="s">
        <v>82</v>
      </c>
      <c r="D317" s="1">
        <v>403</v>
      </c>
      <c r="E317" s="2" t="str">
        <f>HYPERLINK("#'Data'!A3041", "Households reporting time they spent supporting school-aged children with education broken down by displacement status of HoH on the admin of overa...")</f>
        <v>Households reporting time they spent supporting school-aged children with education broken down by displacement status of HoH on the admin of overa...</v>
      </c>
    </row>
    <row r="318" spans="2:5" ht="15.75">
      <c r="B318" s="5" t="s">
        <v>73</v>
      </c>
      <c r="C318" s="6" t="s">
        <v>82</v>
      </c>
      <c r="D318" s="1">
        <v>404</v>
      </c>
      <c r="E318" s="2" t="str">
        <f>HYPERLINK("#'Data'!A3047", "Households reporting time they spent supporting school-aged children with education broken down by household size on the admin of overall mean")</f>
        <v>Households reporting time they spent supporting school-aged children with education broken down by household size on the admin of overall mean</v>
      </c>
    </row>
    <row r="319" spans="2:5" ht="15.75">
      <c r="B319" s="7" t="s">
        <v>73</v>
      </c>
      <c r="C319" s="8" t="s">
        <v>82</v>
      </c>
      <c r="D319" s="1">
        <v>405</v>
      </c>
      <c r="E319" s="2" t="str">
        <f>HYPERLINK("#'Data'!A3055", "Households reporting time they spent supporting school-aged children with education broken down by single care provider on the admin of overall mea...")</f>
        <v>Households reporting time they spent supporting school-aged children with education broken down by single care provider on the admin of overall mea...</v>
      </c>
    </row>
    <row r="320" spans="2:5" ht="15.75">
      <c r="B320" s="5" t="s">
        <v>73</v>
      </c>
      <c r="C320" s="6" t="s">
        <v>82</v>
      </c>
      <c r="D320" s="1">
        <v>406</v>
      </c>
      <c r="E320" s="2" t="str">
        <f>HYPERLINK("#'Data'!A3067", "Households reporting time they spent supporting school-aged children with education broken down by income per capita (by quartiles) on the admin of...")</f>
        <v>Households reporting time they spent supporting school-aged children with education broken down by income per capita (by quartiles) on the admin of...</v>
      </c>
    </row>
    <row r="321" spans="2:5" ht="15.75">
      <c r="B321" s="7" t="s">
        <v>73</v>
      </c>
      <c r="C321" s="8" t="s">
        <v>82</v>
      </c>
      <c r="D321" s="1">
        <v>407</v>
      </c>
      <c r="E321" s="2" t="str">
        <f>HYPERLINK("#'Data'!A3079", "Households reporting time they spent supporting school-aged children with education broken down by single/joint headed HHs on the admin of overall ...")</f>
        <v>Households reporting time they spent supporting school-aged children with education broken down by single/joint headed HHs on the admin of overall ...</v>
      </c>
    </row>
    <row r="322" spans="2:5" ht="15.75">
      <c r="B322" s="5" t="s">
        <v>83</v>
      </c>
      <c r="C322" s="6" t="s">
        <v>84</v>
      </c>
      <c r="D322" s="1">
        <v>409</v>
      </c>
      <c r="E322" s="2" t="str">
        <f>HYPERLINK("#'Data'!A3089", "Households reporting types of expenditures they had in the last 30 days before DC broken down by rural / urban on the admin of overall perc")</f>
        <v>Households reporting types of expenditures they had in the last 30 days before DC broken down by rural / urban on the admin of overall perc</v>
      </c>
    </row>
    <row r="323" spans="2:5" ht="15.75">
      <c r="B323" s="7" t="s">
        <v>83</v>
      </c>
      <c r="C323" s="8" t="s">
        <v>84</v>
      </c>
      <c r="D323" s="1">
        <v>410</v>
      </c>
      <c r="E323" s="2" t="str">
        <f>HYPERLINK("#'Data'!A3097", "Households reporting types of expenditures they had in the last 30 days before DC broken down by proximity to the Frontline / Russian border on the...")</f>
        <v>Households reporting types of expenditures they had in the last 30 days before DC broken down by proximity to the Frontline / Russian border on the...</v>
      </c>
    </row>
    <row r="324" spans="2:5" ht="15.75">
      <c r="B324" s="5" t="s">
        <v>83</v>
      </c>
      <c r="C324" s="6" t="s">
        <v>84</v>
      </c>
      <c r="D324" s="1">
        <v>411</v>
      </c>
      <c r="E324" s="2" t="str">
        <f>HYPERLINK("#'Data'!A3107", "Households reporting types of expenditures they had in the last 30 days before DC broken down by member with WGSS disability on the admin of overal...")</f>
        <v>Households reporting types of expenditures they had in the last 30 days before DC broken down by member with WGSS disability on the admin of overal...</v>
      </c>
    </row>
    <row r="325" spans="2:5" ht="15.75">
      <c r="B325" s="7" t="s">
        <v>83</v>
      </c>
      <c r="C325" s="8" t="s">
        <v>84</v>
      </c>
      <c r="D325" s="1">
        <v>412</v>
      </c>
      <c r="E325" s="2" t="str">
        <f>HYPERLINK("#'Data'!A3115", "Households reporting types of expenditures they had in the last 30 days before DC broken down by displacement status of HoH on the admin of overall...")</f>
        <v>Households reporting types of expenditures they had in the last 30 days before DC broken down by displacement status of HoH on the admin of overall...</v>
      </c>
    </row>
    <row r="326" spans="2:5" ht="15.75">
      <c r="B326" s="5" t="s">
        <v>83</v>
      </c>
      <c r="C326" s="6" t="s">
        <v>84</v>
      </c>
      <c r="D326" s="1">
        <v>413</v>
      </c>
      <c r="E326" s="2" t="str">
        <f>HYPERLINK("#'Data'!A3121", "Households reporting types of expenditures they had in the last 30 days before DC broken down by household size on the admin of overall perc")</f>
        <v>Households reporting types of expenditures they had in the last 30 days before DC broken down by household size on the admin of overall perc</v>
      </c>
    </row>
    <row r="327" spans="2:5" ht="15.75">
      <c r="B327" s="7" t="s">
        <v>83</v>
      </c>
      <c r="C327" s="8" t="s">
        <v>84</v>
      </c>
      <c r="D327" s="1">
        <v>414</v>
      </c>
      <c r="E327" s="2" t="str">
        <f>HYPERLINK("#'Data'!A3131", "Households reporting types of expenditures they had in the last 30 days before DC broken down by single/joint headed HHs on the admin of overall pe...")</f>
        <v>Households reporting types of expenditures they had in the last 30 days before DC broken down by single/joint headed HHs on the admin of overall pe...</v>
      </c>
    </row>
    <row r="328" spans="2:5" ht="15.75">
      <c r="B328" s="5" t="s">
        <v>83</v>
      </c>
      <c r="C328" s="6" t="s">
        <v>85</v>
      </c>
      <c r="D328" s="1">
        <v>426</v>
      </c>
      <c r="E328" s="2" t="str">
        <f>HYPERLINK("#'Data'!A3141", "Household Domestic Expenditure over the last 30 days, by type and amount broken down by rural / urban on the admin of overall ")</f>
        <v xml:space="preserve">Household Domestic Expenditure over the last 30 days, by type and amount broken down by rural / urban on the admin of overall </v>
      </c>
    </row>
    <row r="329" spans="2:5" ht="15.75">
      <c r="B329" s="7" t="s">
        <v>83</v>
      </c>
      <c r="C329" s="8" t="s">
        <v>85</v>
      </c>
      <c r="D329" s="1">
        <v>437</v>
      </c>
      <c r="E329" s="2" t="str">
        <f>HYPERLINK("#'Data'!A3149", "Household Domestic Expenditure over the last 30 days, by type and amount broken down by proximity to the Frontline / Russian border on the...")</f>
        <v>Household Domestic Expenditure over the last 30 days, by type and amount broken down by proximity to the Frontline / Russian border on the...</v>
      </c>
    </row>
    <row r="330" spans="2:5" ht="15.75">
      <c r="B330" s="5" t="s">
        <v>83</v>
      </c>
      <c r="C330" s="6" t="s">
        <v>85</v>
      </c>
      <c r="D330" s="1">
        <v>448</v>
      </c>
      <c r="E330" s="2" t="str">
        <f>HYPERLINK("#'Data'!A3159", "Household Domestic Expenditure over the last 30 days, by type and amount broken down by member with WGSS disability on the admin of overal...")</f>
        <v>Household Domestic Expenditure over the last 30 days, by type and amount broken down by member with WGSS disability on the admin of overal...</v>
      </c>
    </row>
    <row r="331" spans="2:5" ht="15.75">
      <c r="B331" s="7" t="s">
        <v>83</v>
      </c>
      <c r="C331" s="8" t="s">
        <v>85</v>
      </c>
      <c r="D331" s="1">
        <v>459</v>
      </c>
      <c r="E331" s="2" t="str">
        <f>HYPERLINK("#'Data'!A3167", "Household Domestic Expenditure over the last 30 days, by type and amount broken down by displacement status of HoH on the admin of overall...")</f>
        <v>Household Domestic Expenditure over the last 30 days, by type and amount broken down by displacement status of HoH on the admin of overall...</v>
      </c>
    </row>
    <row r="332" spans="2:5" ht="15.75">
      <c r="B332" s="5" t="s">
        <v>83</v>
      </c>
      <c r="C332" s="6" t="s">
        <v>85</v>
      </c>
      <c r="D332" s="1">
        <v>470</v>
      </c>
      <c r="E332" s="2" t="str">
        <f>HYPERLINK("#'Data'!A3173", "Household Domestic Expenditure over the last 30 days, by type and amount broken down by household size on the admin of overall ")</f>
        <v xml:space="preserve">Household Domestic Expenditure over the last 30 days, by type and amount broken down by household size on the admin of overall </v>
      </c>
    </row>
    <row r="333" spans="2:5" ht="15.75">
      <c r="B333" s="7" t="s">
        <v>83</v>
      </c>
      <c r="C333" s="8" t="s">
        <v>85</v>
      </c>
      <c r="D333" s="1">
        <v>481</v>
      </c>
      <c r="E333" s="2" t="str">
        <f>HYPERLINK("#'Data'!A3183", "Household Domestic Expenditure over the last 30 days, by type and amount broken down by single/joint headed HHs on the admin of overall ")</f>
        <v xml:space="preserve">Household Domestic Expenditure over the last 30 days, by type and amount broken down by single/joint headed HHs on the admin of overall </v>
      </c>
    </row>
    <row r="334" spans="2:5" ht="15.75">
      <c r="B334" s="5" t="s">
        <v>83</v>
      </c>
      <c r="C334" s="6" t="s">
        <v>86</v>
      </c>
      <c r="D334" s="1">
        <v>493</v>
      </c>
      <c r="E334" s="2" t="str">
        <f>HYPERLINK("#'Data'!A3193", "Estimated Household's Domestic Expenditure on Heating during the last winter broken down by rural / urban on the admin of overall mean")</f>
        <v>Estimated Household's Domestic Expenditure on Heating during the last winter broken down by rural / urban on the admin of overall mean</v>
      </c>
    </row>
    <row r="335" spans="2:5" ht="15.75">
      <c r="B335" s="7" t="s">
        <v>83</v>
      </c>
      <c r="C335" s="8" t="s">
        <v>86</v>
      </c>
      <c r="D335" s="1">
        <v>494</v>
      </c>
      <c r="E335" s="2" t="str">
        <f>HYPERLINK("#'Data'!A3201", "Estimated Household's Domestic Expenditure on Heating during the last winter broken down by proximity to the Frontline / Russian border on the admi...")</f>
        <v>Estimated Household's Domestic Expenditure on Heating during the last winter broken down by proximity to the Frontline / Russian border on the admi...</v>
      </c>
    </row>
    <row r="336" spans="2:5" ht="15.75">
      <c r="B336" s="5" t="s">
        <v>83</v>
      </c>
      <c r="C336" s="6" t="s">
        <v>86</v>
      </c>
      <c r="D336" s="1">
        <v>495</v>
      </c>
      <c r="E336" s="2" t="str">
        <f>HYPERLINK("#'Data'!A3211", "Estimated Household's Domestic Expenditure on Heating during the last winter broken down by member with WGSS disability on the admin of overall mea...")</f>
        <v>Estimated Household's Domestic Expenditure on Heating during the last winter broken down by member with WGSS disability on the admin of overall mea...</v>
      </c>
    </row>
    <row r="337" spans="2:5" ht="15.75">
      <c r="B337" s="7" t="s">
        <v>83</v>
      </c>
      <c r="C337" s="8" t="s">
        <v>86</v>
      </c>
      <c r="D337" s="1">
        <v>496</v>
      </c>
      <c r="E337" s="2" t="str">
        <f>HYPERLINK("#'Data'!A3219", "Estimated Household's Domestic Expenditure on Heating during the last winter broken down by displacement status of HoH on the admin of overall mean")</f>
        <v>Estimated Household's Domestic Expenditure on Heating during the last winter broken down by displacement status of HoH on the admin of overall mean</v>
      </c>
    </row>
    <row r="338" spans="2:5" ht="15.75">
      <c r="B338" s="5" t="s">
        <v>83</v>
      </c>
      <c r="C338" s="6" t="s">
        <v>86</v>
      </c>
      <c r="D338" s="1">
        <v>497</v>
      </c>
      <c r="E338" s="2" t="str">
        <f>HYPERLINK("#'Data'!A3225", "Estimated Household's Domestic Expenditure on Heating during the last winter broken down by household size on the admin of overall mean")</f>
        <v>Estimated Household's Domestic Expenditure on Heating during the last winter broken down by household size on the admin of overall mean</v>
      </c>
    </row>
    <row r="339" spans="2:5" ht="15.75">
      <c r="B339" s="7" t="s">
        <v>83</v>
      </c>
      <c r="C339" s="8" t="s">
        <v>86</v>
      </c>
      <c r="D339" s="1">
        <v>498</v>
      </c>
      <c r="E339" s="2" t="str">
        <f>HYPERLINK("#'Data'!A3235", "Estimated Household's Domestic Expenditure on Heating during the last winter broken down by single/joint headed HHs on the admin of overall mean")</f>
        <v>Estimated Household's Domestic Expenditure on Heating during the last winter broken down by single/joint headed HHs on the admin of overall mean</v>
      </c>
    </row>
    <row r="340" spans="2:5" ht="15.75">
      <c r="B340" s="5" t="s">
        <v>83</v>
      </c>
      <c r="C340" s="6" t="s">
        <v>87</v>
      </c>
      <c r="D340" s="1">
        <v>500</v>
      </c>
      <c r="E340" s="2" t="str">
        <f>HYPERLINK("#'Data'!A3245", "Households reporting types of expenditures they had in the last 6 months before DC broken down by rural / urban on the admin of overall perc")</f>
        <v>Households reporting types of expenditures they had in the last 6 months before DC broken down by rural / urban on the admin of overall perc</v>
      </c>
    </row>
    <row r="341" spans="2:5" ht="15.75">
      <c r="B341" s="7" t="s">
        <v>83</v>
      </c>
      <c r="C341" s="8" t="s">
        <v>87</v>
      </c>
      <c r="D341" s="1">
        <v>501</v>
      </c>
      <c r="E341" s="2" t="str">
        <f>HYPERLINK("#'Data'!A3253", "Households reporting types of expenditures they had in the last 6 months before DC broken down by proximity to the Frontline / Russian border on th...")</f>
        <v>Households reporting types of expenditures they had in the last 6 months before DC broken down by proximity to the Frontline / Russian border on th...</v>
      </c>
    </row>
    <row r="342" spans="2:5" ht="15.75">
      <c r="B342" s="5" t="s">
        <v>83</v>
      </c>
      <c r="C342" s="6" t="s">
        <v>87</v>
      </c>
      <c r="D342" s="1">
        <v>502</v>
      </c>
      <c r="E342" s="2" t="str">
        <f>HYPERLINK("#'Data'!A3263", "Households reporting types of expenditures they had in the last 6 months before DC broken down by member with WGSS disability on the admin of overa...")</f>
        <v>Households reporting types of expenditures they had in the last 6 months before DC broken down by member with WGSS disability on the admin of overa...</v>
      </c>
    </row>
    <row r="343" spans="2:5" ht="15.75">
      <c r="B343" s="7" t="s">
        <v>83</v>
      </c>
      <c r="C343" s="8" t="s">
        <v>87</v>
      </c>
      <c r="D343" s="1">
        <v>503</v>
      </c>
      <c r="E343" s="2" t="str">
        <f>HYPERLINK("#'Data'!A3271", "Households reporting types of expenditures they had in the last 6 months before DC broken down by displacement status of HoH on the admin of overal...")</f>
        <v>Households reporting types of expenditures they had in the last 6 months before DC broken down by displacement status of HoH on the admin of overal...</v>
      </c>
    </row>
    <row r="344" spans="2:5" ht="15.75">
      <c r="B344" s="5" t="s">
        <v>83</v>
      </c>
      <c r="C344" s="6" t="s">
        <v>87</v>
      </c>
      <c r="D344" s="1">
        <v>504</v>
      </c>
      <c r="E344" s="2" t="str">
        <f>HYPERLINK("#'Data'!A3277", "Households reporting types of expenditures they had in the last 6 months before DC broken down by household size on the admin of overall perc")</f>
        <v>Households reporting types of expenditures they had in the last 6 months before DC broken down by household size on the admin of overall perc</v>
      </c>
    </row>
    <row r="345" spans="2:5" ht="15.75">
      <c r="B345" s="7" t="s">
        <v>83</v>
      </c>
      <c r="C345" s="8" t="s">
        <v>87</v>
      </c>
      <c r="D345" s="1">
        <v>505</v>
      </c>
      <c r="E345" s="2" t="str">
        <f>HYPERLINK("#'Data'!A3287", "Households reporting types of expenditures they had in the last 6 months before DC broken down by single/joint headed HHs on the admin of overall p...")</f>
        <v>Households reporting types of expenditures they had in the last 6 months before DC broken down by single/joint headed HHs on the admin of overall p...</v>
      </c>
    </row>
    <row r="346" spans="2:5" ht="15.75">
      <c r="B346" s="5" t="s">
        <v>83</v>
      </c>
      <c r="C346" s="6" t="s">
        <v>88</v>
      </c>
      <c r="D346" s="1">
        <v>512</v>
      </c>
      <c r="E346" s="2" t="str">
        <f>HYPERLINK("#'Data'!A3297", "Household Domestic Expenditure over the last 6 months by type and amount  broken down by rural / urban on the admin of ...")</f>
        <v>Household Domestic Expenditure over the last 6 months by type and amount  broken down by rural / urban on the admin of ...</v>
      </c>
    </row>
    <row r="347" spans="2:5" ht="15.75">
      <c r="B347" s="7" t="s">
        <v>83</v>
      </c>
      <c r="C347" s="8" t="s">
        <v>88</v>
      </c>
      <c r="D347" s="1">
        <v>518</v>
      </c>
      <c r="E347" s="2" t="str">
        <f>HYPERLINK("#'Data'!A3305", "Household Domestic Expenditure over the last 6 months by type and amount  broken down by proximity to the Frontline / R...")</f>
        <v>Household Domestic Expenditure over the last 6 months by type and amount  broken down by proximity to the Frontline / R...</v>
      </c>
    </row>
    <row r="348" spans="2:5" ht="15.75">
      <c r="B348" s="5" t="s">
        <v>83</v>
      </c>
      <c r="C348" s="6" t="s">
        <v>88</v>
      </c>
      <c r="D348" s="1">
        <v>524</v>
      </c>
      <c r="E348" s="2" t="str">
        <f>HYPERLINK("#'Data'!A3315", "Household Domestic Expenditure over the last 6 months by type and amount  broken down by member with WGSS disability on...")</f>
        <v>Household Domestic Expenditure over the last 6 months by type and amount  broken down by member with WGSS disability on...</v>
      </c>
    </row>
    <row r="349" spans="2:5" ht="15.75">
      <c r="B349" s="7" t="s">
        <v>83</v>
      </c>
      <c r="C349" s="8" t="s">
        <v>88</v>
      </c>
      <c r="D349" s="1">
        <v>530</v>
      </c>
      <c r="E349" s="2" t="str">
        <f>HYPERLINK("#'Data'!A3323", "Household Domestic Expenditure over the last 6 months by type and amount  broken down by displacement status of HoH on ...")</f>
        <v>Household Domestic Expenditure over the last 6 months by type and amount  broken down by displacement status of HoH on ...</v>
      </c>
    </row>
    <row r="350" spans="2:5" ht="15.75">
      <c r="B350" s="5" t="s">
        <v>83</v>
      </c>
      <c r="C350" s="6" t="s">
        <v>88</v>
      </c>
      <c r="D350" s="1">
        <v>536</v>
      </c>
      <c r="E350" s="2" t="str">
        <f>HYPERLINK("#'Data'!A3329", "Household Domestic Expenditure over the last 6 months by type and amount  broken down by household size on the admin of...")</f>
        <v>Household Domestic Expenditure over the last 6 months by type and amount  broken down by household size on the admin of...</v>
      </c>
    </row>
    <row r="351" spans="2:5" ht="15.75">
      <c r="B351" s="7" t="s">
        <v>83</v>
      </c>
      <c r="C351" s="8" t="s">
        <v>88</v>
      </c>
      <c r="D351" s="1">
        <v>542</v>
      </c>
      <c r="E351" s="2" t="str">
        <f>HYPERLINK("#'Data'!A3339", "Household Domestic Expenditure over the last 6 months by type and amount  broken down by single/joint headed HHs on the...")</f>
        <v>Household Domestic Expenditure over the last 6 months by type and amount  broken down by single/joint headed HHs on the...</v>
      </c>
    </row>
    <row r="352" spans="2:5" ht="15.75">
      <c r="B352" s="5" t="s">
        <v>83</v>
      </c>
      <c r="C352" s="6" t="s">
        <v>89</v>
      </c>
      <c r="D352" s="1">
        <v>549</v>
      </c>
      <c r="E352" s="2" t="str">
        <f>HYPERLINK("#'Data'!A3349", "Total monthly expenditure PER CAPITA among those who reported any expenditure broken down by rural / urban on the admin of overall mean")</f>
        <v>Total monthly expenditure PER CAPITA among those who reported any expenditure broken down by rural / urban on the admin of overall mean</v>
      </c>
    </row>
    <row r="353" spans="2:5" ht="15.75">
      <c r="B353" s="7" t="s">
        <v>83</v>
      </c>
      <c r="C353" s="8" t="s">
        <v>89</v>
      </c>
      <c r="D353" s="1">
        <v>550</v>
      </c>
      <c r="E353" s="2" t="str">
        <f>HYPERLINK("#'Data'!A3363", "Total monthly expenditure PER CAPITA among those who reported any expenditure broken down by proximity to the Frontline / Russian border on the adm...")</f>
        <v>Total monthly expenditure PER CAPITA among those who reported any expenditure broken down by proximity to the Frontline / Russian border on the adm...</v>
      </c>
    </row>
    <row r="354" spans="2:5" ht="15.75">
      <c r="B354" s="5" t="s">
        <v>83</v>
      </c>
      <c r="C354" s="6" t="s">
        <v>89</v>
      </c>
      <c r="D354" s="1">
        <v>551</v>
      </c>
      <c r="E354" s="2" t="str">
        <f>HYPERLINK("#'Data'!A3382", "Total monthly expenditure PER CAPITA among those who reported any expenditure broken down by member with WGSS disability on the admin of overall me...")</f>
        <v>Total monthly expenditure PER CAPITA among those who reported any expenditure broken down by member with WGSS disability on the admin of overall me...</v>
      </c>
    </row>
    <row r="355" spans="2:5" ht="15.75">
      <c r="B355" s="7" t="s">
        <v>83</v>
      </c>
      <c r="C355" s="8" t="s">
        <v>89</v>
      </c>
      <c r="D355" s="1">
        <v>552</v>
      </c>
      <c r="E355" s="2" t="str">
        <f>HYPERLINK("#'Data'!A3396", "Total monthly expenditure PER CAPITA among those who reported any expenditure broken down by displacement status of HoH on the admin of overall mea...")</f>
        <v>Total monthly expenditure PER CAPITA among those who reported any expenditure broken down by displacement status of HoH on the admin of overall mea...</v>
      </c>
    </row>
    <row r="356" spans="2:5" ht="15.75">
      <c r="B356" s="5" t="s">
        <v>83</v>
      </c>
      <c r="C356" s="6" t="s">
        <v>89</v>
      </c>
      <c r="D356" s="1">
        <v>553</v>
      </c>
      <c r="E356" s="2" t="str">
        <f>HYPERLINK("#'Data'!A3405", "Total monthly expenditure PER CAPITA among those who reported any expenditure broken down by household size on the admin of overall mean")</f>
        <v>Total monthly expenditure PER CAPITA among those who reported any expenditure broken down by household size on the admin of overall mean</v>
      </c>
    </row>
    <row r="357" spans="2:5" ht="15.75">
      <c r="B357" s="7" t="s">
        <v>83</v>
      </c>
      <c r="C357" s="8" t="s">
        <v>89</v>
      </c>
      <c r="D357" s="1">
        <v>554</v>
      </c>
      <c r="E357" s="2" t="str">
        <f>HYPERLINK("#'Data'!A3424", "Total monthly expenditure PER CAPITA among those who reported any expenditure broken down by single/joint headed HHs on the admin of overall mean")</f>
        <v>Total monthly expenditure PER CAPITA among those who reported any expenditure broken down by single/joint headed HHs on the admin of overall mean</v>
      </c>
    </row>
    <row r="358" spans="2:5" ht="15.75">
      <c r="B358" s="5" t="s">
        <v>83</v>
      </c>
      <c r="C358" s="6" t="s">
        <v>90</v>
      </c>
      <c r="D358" s="1">
        <v>556</v>
      </c>
      <c r="E358" s="2" t="str">
        <f>HYPERLINK("#'Data'!A3443", "Total monthly expenditure among those who reported any expenditure broken down by rural / urban on the admin of overall mean")</f>
        <v>Total monthly expenditure among those who reported any expenditure broken down by rural / urban on the admin of overall mean</v>
      </c>
    </row>
    <row r="359" spans="2:5" ht="15.75">
      <c r="B359" s="7" t="s">
        <v>83</v>
      </c>
      <c r="C359" s="8" t="s">
        <v>90</v>
      </c>
      <c r="D359" s="1">
        <v>557</v>
      </c>
      <c r="E359" s="2" t="str">
        <f>HYPERLINK("#'Data'!A3457", "Total monthly expenditure among those who reported any expenditure broken down by proximity to the Frontline / Russian border on the admin of overa...")</f>
        <v>Total monthly expenditure among those who reported any expenditure broken down by proximity to the Frontline / Russian border on the admin of overa...</v>
      </c>
    </row>
    <row r="360" spans="2:5" ht="15.75">
      <c r="B360" s="5" t="s">
        <v>83</v>
      </c>
      <c r="C360" s="6" t="s">
        <v>90</v>
      </c>
      <c r="D360" s="1">
        <v>558</v>
      </c>
      <c r="E360" s="2" t="str">
        <f>HYPERLINK("#'Data'!A3476", "Total monthly expenditure among those who reported any expenditure broken down by member with WGSS disability on the admin of overall mean")</f>
        <v>Total monthly expenditure among those who reported any expenditure broken down by member with WGSS disability on the admin of overall mean</v>
      </c>
    </row>
    <row r="361" spans="2:5" ht="15.75">
      <c r="B361" s="7" t="s">
        <v>83</v>
      </c>
      <c r="C361" s="8" t="s">
        <v>90</v>
      </c>
      <c r="D361" s="1">
        <v>559</v>
      </c>
      <c r="E361" s="2" t="str">
        <f>HYPERLINK("#'Data'!A3490", "Total monthly expenditure among those who reported any expenditure broken down by displacement status of HoH on the admin of overall mean")</f>
        <v>Total monthly expenditure among those who reported any expenditure broken down by displacement status of HoH on the admin of overall mean</v>
      </c>
    </row>
    <row r="362" spans="2:5" ht="15.75">
      <c r="B362" s="5" t="s">
        <v>83</v>
      </c>
      <c r="C362" s="6" t="s">
        <v>90</v>
      </c>
      <c r="D362" s="1">
        <v>560</v>
      </c>
      <c r="E362" s="2" t="str">
        <f>HYPERLINK("#'Data'!A3499", "Total monthly expenditure among those who reported any expenditure broken down by household size on the admin of overall mean")</f>
        <v>Total monthly expenditure among those who reported any expenditure broken down by household size on the admin of overall mean</v>
      </c>
    </row>
    <row r="363" spans="2:5" ht="15.75">
      <c r="B363" s="7" t="s">
        <v>83</v>
      </c>
      <c r="C363" s="8" t="s">
        <v>90</v>
      </c>
      <c r="D363" s="1">
        <v>561</v>
      </c>
      <c r="E363" s="2" t="str">
        <f>HYPERLINK("#'Data'!A3518", "Total monthly expenditure among those who reported any expenditure broken down by single/joint headed HHs on the admin of overall mean")</f>
        <v>Total monthly expenditure among those who reported any expenditure broken down by single/joint headed HHs on the admin of overall mean</v>
      </c>
    </row>
    <row r="364" spans="2:5" ht="15.75">
      <c r="B364" s="5" t="s">
        <v>91</v>
      </c>
      <c r="C364" s="6" t="s">
        <v>92</v>
      </c>
      <c r="D364" s="1">
        <v>563</v>
      </c>
      <c r="E364" s="2" t="str">
        <f>HYPERLINK("#'Data'!A3537", "Households reporting missing non-food items broken down by rural / urban on the admin of overall perc")</f>
        <v>Households reporting missing non-food items broken down by rural / urban on the admin of overall perc</v>
      </c>
    </row>
    <row r="365" spans="2:5" ht="15.75">
      <c r="B365" s="7" t="s">
        <v>91</v>
      </c>
      <c r="C365" s="8" t="s">
        <v>92</v>
      </c>
      <c r="D365" s="1">
        <v>564</v>
      </c>
      <c r="E365" s="2" t="str">
        <f>HYPERLINK("#'Data'!A3545", "Households reporting missing non-food items broken down by proximity to the Frontline / Russian border on the admin of overall perc")</f>
        <v>Households reporting missing non-food items broken down by proximity to the Frontline / Russian border on the admin of overall perc</v>
      </c>
    </row>
    <row r="366" spans="2:5" ht="15.75">
      <c r="B366" s="5" t="s">
        <v>91</v>
      </c>
      <c r="C366" s="6" t="s">
        <v>92</v>
      </c>
      <c r="D366" s="1">
        <v>565</v>
      </c>
      <c r="E366" s="2" t="str">
        <f>HYPERLINK("#'Data'!A3555", "Households reporting missing non-food items broken down by member with WGSS disability on the admin of overall perc")</f>
        <v>Households reporting missing non-food items broken down by member with WGSS disability on the admin of overall perc</v>
      </c>
    </row>
    <row r="367" spans="2:5" ht="15.75">
      <c r="B367" s="7" t="s">
        <v>91</v>
      </c>
      <c r="C367" s="8" t="s">
        <v>92</v>
      </c>
      <c r="D367" s="1">
        <v>566</v>
      </c>
      <c r="E367" s="2" t="str">
        <f>HYPERLINK("#'Data'!A3563", "Households reporting missing non-food items broken down by displacement status of HoH on the admin of overall perc")</f>
        <v>Households reporting missing non-food items broken down by displacement status of HoH on the admin of overall perc</v>
      </c>
    </row>
    <row r="368" spans="2:5" ht="15.75">
      <c r="B368" s="5" t="s">
        <v>91</v>
      </c>
      <c r="C368" s="6" t="s">
        <v>92</v>
      </c>
      <c r="D368" s="1">
        <v>567</v>
      </c>
      <c r="E368" s="2" t="str">
        <f>HYPERLINK("#'Data'!A3569", "Households reporting missing non-food items broken down by household size on the admin of overall perc")</f>
        <v>Households reporting missing non-food items broken down by household size on the admin of overall perc</v>
      </c>
    </row>
    <row r="369" spans="2:5" ht="15.75">
      <c r="B369" s="7" t="s">
        <v>91</v>
      </c>
      <c r="C369" s="8" t="s">
        <v>92</v>
      </c>
      <c r="D369" s="1">
        <v>568</v>
      </c>
      <c r="E369" s="2" t="str">
        <f>HYPERLINK("#'Data'!A3579", "Households reporting missing non-food items broken down by single/joint headed HHs on the admin of overall perc")</f>
        <v>Households reporting missing non-food items broken down by single/joint headed HHs on the admin of overall perc</v>
      </c>
    </row>
    <row r="370" spans="2:5" ht="15.75">
      <c r="B370" s="5" t="s">
        <v>83</v>
      </c>
      <c r="C370" s="6" t="s">
        <v>93</v>
      </c>
      <c r="D370" s="1">
        <v>570</v>
      </c>
      <c r="E370" s="2" t="str">
        <f>HYPERLINK("#'Data'!A3589", "Primary Income Sources Reported by Households Over the Last 30 Days Prior to DC broken down by rural / urban on the admin of overall perc")</f>
        <v>Primary Income Sources Reported by Households Over the Last 30 Days Prior to DC broken down by rural / urban on the admin of overall perc</v>
      </c>
    </row>
    <row r="371" spans="2:5" ht="15.75">
      <c r="B371" s="7" t="s">
        <v>83</v>
      </c>
      <c r="C371" s="8" t="s">
        <v>93</v>
      </c>
      <c r="D371" s="1">
        <v>571</v>
      </c>
      <c r="E371" s="2" t="str">
        <f>HYPERLINK("#'Data'!A3597", "Primary Income Sources Reported by Households Over the Last 30 Days Prior to DC broken down by proximity to the Frontline / Russian border on the a...")</f>
        <v>Primary Income Sources Reported by Households Over the Last 30 Days Prior to DC broken down by proximity to the Frontline / Russian border on the a...</v>
      </c>
    </row>
    <row r="372" spans="2:5" ht="15.75">
      <c r="B372" s="5" t="s">
        <v>83</v>
      </c>
      <c r="C372" s="6" t="s">
        <v>93</v>
      </c>
      <c r="D372" s="1">
        <v>572</v>
      </c>
      <c r="E372" s="2" t="str">
        <f>HYPERLINK("#'Data'!A3607", "Primary Income Sources Reported by Households Over the Last 30 Days Prior to DC broken down by member with WGSS disability on the admin of overall ...")</f>
        <v>Primary Income Sources Reported by Households Over the Last 30 Days Prior to DC broken down by member with WGSS disability on the admin of overall ...</v>
      </c>
    </row>
    <row r="373" spans="2:5" ht="15.75">
      <c r="B373" s="7" t="s">
        <v>83</v>
      </c>
      <c r="C373" s="8" t="s">
        <v>93</v>
      </c>
      <c r="D373" s="1">
        <v>573</v>
      </c>
      <c r="E373" s="2" t="str">
        <f>HYPERLINK("#'Data'!A3615", "Primary Income Sources Reported by Households Over the Last 30 Days Prior to DC broken down by displacement status of HoH on the admin of overall p...")</f>
        <v>Primary Income Sources Reported by Households Over the Last 30 Days Prior to DC broken down by displacement status of HoH on the admin of overall p...</v>
      </c>
    </row>
    <row r="374" spans="2:5" ht="15.75">
      <c r="B374" s="5" t="s">
        <v>83</v>
      </c>
      <c r="C374" s="6" t="s">
        <v>93</v>
      </c>
      <c r="D374" s="1">
        <v>574</v>
      </c>
      <c r="E374" s="2" t="str">
        <f>HYPERLINK("#'Data'!A3621", "Primary Income Sources Reported by Households Over the Last 30 Days Prior to DC broken down by household size on the admin of overall perc")</f>
        <v>Primary Income Sources Reported by Households Over the Last 30 Days Prior to DC broken down by household size on the admin of overall perc</v>
      </c>
    </row>
    <row r="375" spans="2:5" ht="15.75">
      <c r="B375" s="7" t="s">
        <v>83</v>
      </c>
      <c r="C375" s="8" t="s">
        <v>93</v>
      </c>
      <c r="D375" s="1">
        <v>575</v>
      </c>
      <c r="E375" s="2" t="str">
        <f>HYPERLINK("#'Data'!A3631", "Primary Income Sources Reported by Households Over the Last 30 Days Prior to DC broken down by single/joint headed HHs on the admin of overall perc")</f>
        <v>Primary Income Sources Reported by Households Over the Last 30 Days Prior to DC broken down by single/joint headed HHs on the admin of overall perc</v>
      </c>
    </row>
    <row r="376" spans="2:5" ht="15.75">
      <c r="B376" s="5" t="s">
        <v>83</v>
      </c>
      <c r="C376" s="6" t="s">
        <v>94</v>
      </c>
      <c r="D376" s="1">
        <v>589</v>
      </c>
      <c r="E376" s="2" t="str">
        <f>HYPERLINK("#'Data'!A3641", "Household income over the 30 days prior to data collection, by types of income source broken down by rural / urban on the admin of over...")</f>
        <v>Household income over the 30 days prior to data collection, by types of income source broken down by rural / urban on the admin of over...</v>
      </c>
    </row>
    <row r="377" spans="2:5" ht="15.75">
      <c r="B377" s="7" t="s">
        <v>83</v>
      </c>
      <c r="C377" s="8" t="s">
        <v>94</v>
      </c>
      <c r="D377" s="1">
        <v>602</v>
      </c>
      <c r="E377" s="2" t="str">
        <f>HYPERLINK("#'Data'!A3649", "Household income over the 30 days prior to data collection, by types of income source broken down by proximity to the Frontline / Russi...")</f>
        <v>Household income over the 30 days prior to data collection, by types of income source broken down by proximity to the Frontline / Russi...</v>
      </c>
    </row>
    <row r="378" spans="2:5" ht="15.75">
      <c r="B378" s="5" t="s">
        <v>83</v>
      </c>
      <c r="C378" s="6" t="s">
        <v>94</v>
      </c>
      <c r="D378" s="1">
        <v>615</v>
      </c>
      <c r="E378" s="2" t="str">
        <f>HYPERLINK("#'Data'!A3659", "Household income over the 30 days prior to data collection, by types of income source broken down by member with WGSS disability on the...")</f>
        <v>Household income over the 30 days prior to data collection, by types of income source broken down by member with WGSS disability on the...</v>
      </c>
    </row>
    <row r="379" spans="2:5" ht="15.75">
      <c r="B379" s="7" t="s">
        <v>83</v>
      </c>
      <c r="C379" s="8" t="s">
        <v>94</v>
      </c>
      <c r="D379" s="1">
        <v>628</v>
      </c>
      <c r="E379" s="2" t="str">
        <f>HYPERLINK("#'Data'!A3667", "Household income over the 30 days prior to data collection, by types of income source broken down by displacement status of HoH on the ...")</f>
        <v>Household income over the 30 days prior to data collection, by types of income source broken down by displacement status of HoH on the ...</v>
      </c>
    </row>
    <row r="380" spans="2:5" ht="15.75">
      <c r="B380" s="5" t="s">
        <v>83</v>
      </c>
      <c r="C380" s="6" t="s">
        <v>94</v>
      </c>
      <c r="D380" s="1">
        <v>641</v>
      </c>
      <c r="E380" s="2" t="str">
        <f>HYPERLINK("#'Data'!A3673", "Household income over the 30 days prior to data collection, by types of income source broken down by household size on the admin of ove...")</f>
        <v>Household income over the 30 days prior to data collection, by types of income source broken down by household size on the admin of ove...</v>
      </c>
    </row>
    <row r="381" spans="2:5" ht="15.75">
      <c r="B381" s="7" t="s">
        <v>83</v>
      </c>
      <c r="C381" s="8" t="s">
        <v>94</v>
      </c>
      <c r="D381" s="1">
        <v>654</v>
      </c>
      <c r="E381" s="2" t="str">
        <f>HYPERLINK("#'Data'!A3683", "Household income over the 30 days prior to data collection, by types of income source broken down by single/joint headed HHs on the adm...")</f>
        <v>Household income over the 30 days prior to data collection, by types of income source broken down by single/joint headed HHs on the adm...</v>
      </c>
    </row>
    <row r="382" spans="2:5" ht="15.75">
      <c r="B382" s="5" t="s">
        <v>83</v>
      </c>
      <c r="C382" s="6" t="s">
        <v>95</v>
      </c>
      <c r="D382" s="1">
        <v>668</v>
      </c>
      <c r="E382" s="2" t="str">
        <f>HYPERLINK("#'Data'!A3693", "Total income per capita among those who reported any income broken down by rural / urban on the admin of overall mean")</f>
        <v>Total income per capita among those who reported any income broken down by rural / urban on the admin of overall mean</v>
      </c>
    </row>
    <row r="383" spans="2:5" ht="15.75">
      <c r="B383" s="7" t="s">
        <v>83</v>
      </c>
      <c r="C383" s="8" t="s">
        <v>95</v>
      </c>
      <c r="D383" s="1">
        <v>669</v>
      </c>
      <c r="E383" s="2" t="str">
        <f>HYPERLINK("#'Data'!A3707", "Total income per capita among those who reported any income broken down by proximity to the Frontline / Russian border on the admin of overall mean")</f>
        <v>Total income per capita among those who reported any income broken down by proximity to the Frontline / Russian border on the admin of overall mean</v>
      </c>
    </row>
    <row r="384" spans="2:5" ht="15.75">
      <c r="B384" s="5" t="s">
        <v>83</v>
      </c>
      <c r="C384" s="6" t="s">
        <v>95</v>
      </c>
      <c r="D384" s="1">
        <v>670</v>
      </c>
      <c r="E384" s="2" t="str">
        <f>HYPERLINK("#'Data'!A3726", "Total income per capita among those who reported any income broken down by member with WGSS disability on the admin of overall mean")</f>
        <v>Total income per capita among those who reported any income broken down by member with WGSS disability on the admin of overall mean</v>
      </c>
    </row>
    <row r="385" spans="2:5" ht="15.75">
      <c r="B385" s="7" t="s">
        <v>83</v>
      </c>
      <c r="C385" s="8" t="s">
        <v>95</v>
      </c>
      <c r="D385" s="1">
        <v>671</v>
      </c>
      <c r="E385" s="2" t="str">
        <f>HYPERLINK("#'Data'!A3740", "Total income per capita among those who reported any income broken down by displacement status of HoH on the admin of overall mean")</f>
        <v>Total income per capita among those who reported any income broken down by displacement status of HoH on the admin of overall mean</v>
      </c>
    </row>
    <row r="386" spans="2:5" ht="15.75">
      <c r="B386" s="5" t="s">
        <v>83</v>
      </c>
      <c r="C386" s="6" t="s">
        <v>95</v>
      </c>
      <c r="D386" s="1">
        <v>672</v>
      </c>
      <c r="E386" s="2" t="str">
        <f>HYPERLINK("#'Data'!A3749", "Total income per capita among those who reported any income broken down by household size on the admin of overall mean")</f>
        <v>Total income per capita among those who reported any income broken down by household size on the admin of overall mean</v>
      </c>
    </row>
    <row r="387" spans="2:5" ht="15.75">
      <c r="B387" s="7" t="s">
        <v>83</v>
      </c>
      <c r="C387" s="8" t="s">
        <v>95</v>
      </c>
      <c r="D387" s="1">
        <v>673</v>
      </c>
      <c r="E387" s="2" t="str">
        <f>HYPERLINK("#'Data'!A3768", "Total income per capita among those who reported any income broken down by single/joint headed HHs on the admin of overall mean")</f>
        <v>Total income per capita among those who reported any income broken down by single/joint headed HHs on the admin of overall mean</v>
      </c>
    </row>
    <row r="388" spans="2:5" ht="15.75">
      <c r="B388" s="5" t="s">
        <v>83</v>
      </c>
      <c r="C388" s="6" t="s">
        <v>96</v>
      </c>
      <c r="D388" s="1">
        <v>675</v>
      </c>
      <c r="E388" s="2" t="str">
        <f>HYPERLINK("#'Data'!A3787", "Total income per household among those who reported any income broken down by rural / urban on the admin of overall mean")</f>
        <v>Total income per household among those who reported any income broken down by rural / urban on the admin of overall mean</v>
      </c>
    </row>
    <row r="389" spans="2:5" ht="15.75">
      <c r="B389" s="7" t="s">
        <v>83</v>
      </c>
      <c r="C389" s="8" t="s">
        <v>96</v>
      </c>
      <c r="D389" s="1">
        <v>676</v>
      </c>
      <c r="E389" s="2" t="str">
        <f>HYPERLINK("#'Data'!A3795", "Total income per household among those who reported any income broken down by proximity to the Frontline / Russian border on the admin of overall m...")</f>
        <v>Total income per household among those who reported any income broken down by proximity to the Frontline / Russian border on the admin of overall m...</v>
      </c>
    </row>
    <row r="390" spans="2:5" ht="15.75">
      <c r="B390" s="5" t="s">
        <v>83</v>
      </c>
      <c r="C390" s="6" t="s">
        <v>96</v>
      </c>
      <c r="D390" s="1">
        <v>677</v>
      </c>
      <c r="E390" s="2" t="str">
        <f>HYPERLINK("#'Data'!A3805", "Total income per household among those who reported any income broken down by member with WGSS disability on the admin of overall mean")</f>
        <v>Total income per household among those who reported any income broken down by member with WGSS disability on the admin of overall mean</v>
      </c>
    </row>
    <row r="391" spans="2:5" ht="15.75">
      <c r="B391" s="7" t="s">
        <v>83</v>
      </c>
      <c r="C391" s="8" t="s">
        <v>96</v>
      </c>
      <c r="D391" s="1">
        <v>678</v>
      </c>
      <c r="E391" s="2" t="str">
        <f>HYPERLINK("#'Data'!A3813", "Total income per household among those who reported any income broken down by displacement status of HoH on the admin of overall mean")</f>
        <v>Total income per household among those who reported any income broken down by displacement status of HoH on the admin of overall mean</v>
      </c>
    </row>
    <row r="392" spans="2:5" ht="15.75">
      <c r="B392" s="5" t="s">
        <v>83</v>
      </c>
      <c r="C392" s="6" t="s">
        <v>96</v>
      </c>
      <c r="D392" s="1">
        <v>679</v>
      </c>
      <c r="E392" s="2" t="str">
        <f>HYPERLINK("#'Data'!A3819", "Total income per household among those who reported any income broken down by household size on the admin of overall mean")</f>
        <v>Total income per household among those who reported any income broken down by household size on the admin of overall mean</v>
      </c>
    </row>
    <row r="393" spans="2:5" ht="15.75">
      <c r="B393" s="7" t="s">
        <v>83</v>
      </c>
      <c r="C393" s="8" t="s">
        <v>96</v>
      </c>
      <c r="D393" s="1">
        <v>680</v>
      </c>
      <c r="E393" s="2" t="str">
        <f>HYPERLINK("#'Data'!A3829", "Total income per household among those who reported any income broken down by presence of children on the admin of overall mean")</f>
        <v>Total income per household among those who reported any income broken down by presence of children on the admin of overall mean</v>
      </c>
    </row>
    <row r="394" spans="2:5" ht="15.75">
      <c r="B394" s="5" t="s">
        <v>83</v>
      </c>
      <c r="C394" s="6" t="s">
        <v>96</v>
      </c>
      <c r="D394" s="1">
        <v>681</v>
      </c>
      <c r="E394" s="2" t="str">
        <f>HYPERLINK("#'Data'!A3837", "Total income per household among those who reported any income broken down by single/joint headed HHs on the admin of overall mean")</f>
        <v>Total income per household among those who reported any income broken down by single/joint headed HHs on the admin of overall mean</v>
      </c>
    </row>
    <row r="395" spans="2:5" ht="15.75">
      <c r="B395" s="7" t="s">
        <v>83</v>
      </c>
      <c r="C395" s="8" t="s">
        <v>97</v>
      </c>
      <c r="D395" s="1">
        <v>683</v>
      </c>
      <c r="E395" s="2" t="str">
        <f>HYPERLINK("#'Data'!A3847", "Households that have borrowed money that they still have to pay back broken down by rural / urban on the admin of overall perc")</f>
        <v>Households that have borrowed money that they still have to pay back broken down by rural / urban on the admin of overall perc</v>
      </c>
    </row>
    <row r="396" spans="2:5" ht="15.75">
      <c r="B396" s="5" t="s">
        <v>83</v>
      </c>
      <c r="C396" s="6" t="s">
        <v>97</v>
      </c>
      <c r="D396" s="1">
        <v>684</v>
      </c>
      <c r="E396" s="2" t="str">
        <f>HYPERLINK("#'Data'!A3855", "Households that have borrowed money that they still have to pay back broken down by proximity to the Frontline / Russian border on the admin of ove...")</f>
        <v>Households that have borrowed money that they still have to pay back broken down by proximity to the Frontline / Russian border on the admin of ove...</v>
      </c>
    </row>
    <row r="397" spans="2:5" ht="15.75">
      <c r="B397" s="7" t="s">
        <v>83</v>
      </c>
      <c r="C397" s="8" t="s">
        <v>97</v>
      </c>
      <c r="D397" s="1">
        <v>685</v>
      </c>
      <c r="E397" s="2" t="str">
        <f>HYPERLINK("#'Data'!A3865", "Households that have borrowed money that they still have to pay back broken down by member with WGSS disability on the admin of overall perc")</f>
        <v>Households that have borrowed money that they still have to pay back broken down by member with WGSS disability on the admin of overall perc</v>
      </c>
    </row>
    <row r="398" spans="2:5" ht="15.75">
      <c r="B398" s="5" t="s">
        <v>83</v>
      </c>
      <c r="C398" s="6" t="s">
        <v>97</v>
      </c>
      <c r="D398" s="1">
        <v>686</v>
      </c>
      <c r="E398" s="2" t="str">
        <f>HYPERLINK("#'Data'!A3873", "Households that have borrowed money that they still have to pay back broken down by displacement status of HoH on the admin of overall perc")</f>
        <v>Households that have borrowed money that they still have to pay back broken down by displacement status of HoH on the admin of overall perc</v>
      </c>
    </row>
    <row r="399" spans="2:5" ht="15.75">
      <c r="B399" s="7" t="s">
        <v>83</v>
      </c>
      <c r="C399" s="8" t="s">
        <v>97</v>
      </c>
      <c r="D399" s="1">
        <v>687</v>
      </c>
      <c r="E399" s="2" t="str">
        <f>HYPERLINK("#'Data'!A3879", "Households that have borrowed money that they still have to pay back broken down by household size on the admin of overall perc")</f>
        <v>Households that have borrowed money that they still have to pay back broken down by household size on the admin of overall perc</v>
      </c>
    </row>
    <row r="400" spans="2:5" ht="15.75">
      <c r="B400" s="5" t="s">
        <v>83</v>
      </c>
      <c r="C400" s="6" t="s">
        <v>97</v>
      </c>
      <c r="D400" s="1">
        <v>688</v>
      </c>
      <c r="E400" s="2" t="str">
        <f>HYPERLINK("#'Data'!A3889", "Households that have borrowed money that they still have to pay back broken down by single/joint headed HHs on the admin of overall perc")</f>
        <v>Households that have borrowed money that they still have to pay back broken down by single/joint headed HHs on the admin of overall perc</v>
      </c>
    </row>
    <row r="401" spans="2:5" ht="15.75">
      <c r="B401" s="7" t="s">
        <v>83</v>
      </c>
      <c r="C401" s="8" t="s">
        <v>98</v>
      </c>
      <c r="D401" s="1">
        <v>690</v>
      </c>
      <c r="E401" s="2" t="str">
        <f>HYPERLINK("#'Data'!A3899", "Households reporting reasons why they took on debt since February 2022 broken down by rural / urban on the admin of overall perc")</f>
        <v>Households reporting reasons why they took on debt since February 2022 broken down by rural / urban on the admin of overall perc</v>
      </c>
    </row>
    <row r="402" spans="2:5" ht="15.75">
      <c r="B402" s="5" t="s">
        <v>83</v>
      </c>
      <c r="C402" s="6" t="s">
        <v>98</v>
      </c>
      <c r="D402" s="1">
        <v>691</v>
      </c>
      <c r="E402" s="2" t="str">
        <f>HYPERLINK("#'Data'!A3907", "Households reporting reasons why they took on debt since February 2022 broken down by proximity to the Frontline / Russian border on the admin of o...")</f>
        <v>Households reporting reasons why they took on debt since February 2022 broken down by proximity to the Frontline / Russian border on the admin of o...</v>
      </c>
    </row>
    <row r="403" spans="2:5" ht="15.75">
      <c r="B403" s="7" t="s">
        <v>83</v>
      </c>
      <c r="C403" s="8" t="s">
        <v>98</v>
      </c>
      <c r="D403" s="1">
        <v>692</v>
      </c>
      <c r="E403" s="2" t="str">
        <f>HYPERLINK("#'Data'!A3917", "Households reporting reasons why they took on debt since February 2022 broken down by member with WGSS disability on the admin of overall perc")</f>
        <v>Households reporting reasons why they took on debt since February 2022 broken down by member with WGSS disability on the admin of overall perc</v>
      </c>
    </row>
    <row r="404" spans="2:5" ht="15.75">
      <c r="B404" s="5" t="s">
        <v>83</v>
      </c>
      <c r="C404" s="6" t="s">
        <v>98</v>
      </c>
      <c r="D404" s="1">
        <v>693</v>
      </c>
      <c r="E404" s="2" t="str">
        <f>HYPERLINK("#'Data'!A3925", "Households reporting reasons why they took on debt since February 2022 broken down by displacement status of HoH on the admin of overall perc")</f>
        <v>Households reporting reasons why they took on debt since February 2022 broken down by displacement status of HoH on the admin of overall perc</v>
      </c>
    </row>
    <row r="405" spans="2:5" ht="15.75">
      <c r="B405" s="7" t="s">
        <v>83</v>
      </c>
      <c r="C405" s="8" t="s">
        <v>98</v>
      </c>
      <c r="D405" s="1">
        <v>694</v>
      </c>
      <c r="E405" s="2" t="str">
        <f>HYPERLINK("#'Data'!A3931", "Households reporting reasons why they took on debt since February 2022 broken down by household size on the admin of overall perc")</f>
        <v>Households reporting reasons why they took on debt since February 2022 broken down by household size on the admin of overall perc</v>
      </c>
    </row>
    <row r="406" spans="2:5" ht="15.75">
      <c r="B406" s="5" t="s">
        <v>83</v>
      </c>
      <c r="C406" s="6" t="s">
        <v>98</v>
      </c>
      <c r="D406" s="1">
        <v>695</v>
      </c>
      <c r="E406" s="2" t="str">
        <f>HYPERLINK("#'Data'!A3941", "Households reporting reasons why they took on debt since February 2022 broken down by single/joint headed HHs on the admin of overall perc")</f>
        <v>Households reporting reasons why they took on debt since February 2022 broken down by single/joint headed HHs on the admin of overall perc</v>
      </c>
    </row>
    <row r="407" spans="2:5" ht="15.75">
      <c r="B407" s="7" t="s">
        <v>83</v>
      </c>
      <c r="C407" s="8" t="s">
        <v>99</v>
      </c>
      <c r="D407" s="1">
        <v>697</v>
      </c>
      <c r="E407" s="2" t="str">
        <f>HYPERLINK("#'Data'!A3951", "Households reporting barriers while accessing markets broken down by rural / urban on the admin of overall perc")</f>
        <v>Households reporting barriers while accessing markets broken down by rural / urban on the admin of overall perc</v>
      </c>
    </row>
    <row r="408" spans="2:5" ht="15.75">
      <c r="B408" s="5" t="s">
        <v>83</v>
      </c>
      <c r="C408" s="6" t="s">
        <v>99</v>
      </c>
      <c r="D408" s="1">
        <v>698</v>
      </c>
      <c r="E408" s="2" t="str">
        <f>HYPERLINK("#'Data'!A3959", "Households reporting barriers while accessing markets broken down by proximity to the Frontline / Russian border on the admin of overall perc")</f>
        <v>Households reporting barriers while accessing markets broken down by proximity to the Frontline / Russian border on the admin of overall perc</v>
      </c>
    </row>
    <row r="409" spans="2:5" ht="15.75">
      <c r="B409" s="7" t="s">
        <v>83</v>
      </c>
      <c r="C409" s="8" t="s">
        <v>99</v>
      </c>
      <c r="D409" s="1">
        <v>699</v>
      </c>
      <c r="E409" s="2" t="str">
        <f>HYPERLINK("#'Data'!A3969", "Households reporting barriers while accessing markets broken down by member with WGSS disability on the admin of overall perc")</f>
        <v>Households reporting barriers while accessing markets broken down by member with WGSS disability on the admin of overall perc</v>
      </c>
    </row>
    <row r="410" spans="2:5" ht="15.75">
      <c r="B410" s="5" t="s">
        <v>83</v>
      </c>
      <c r="C410" s="6" t="s">
        <v>99</v>
      </c>
      <c r="D410" s="1">
        <v>700</v>
      </c>
      <c r="E410" s="2" t="str">
        <f>HYPERLINK("#'Data'!A3977", "Households reporting barriers while accessing markets broken down by displacement status of HoH on the admin of overall perc")</f>
        <v>Households reporting barriers while accessing markets broken down by displacement status of HoH on the admin of overall perc</v>
      </c>
    </row>
    <row r="411" spans="2:5" ht="15.75">
      <c r="B411" s="7" t="s">
        <v>83</v>
      </c>
      <c r="C411" s="8" t="s">
        <v>99</v>
      </c>
      <c r="D411" s="1">
        <v>701</v>
      </c>
      <c r="E411" s="2" t="str">
        <f>HYPERLINK("#'Data'!A3983", "Households reporting barriers while accessing markets broken down by household size on the admin of overall perc")</f>
        <v>Households reporting barriers while accessing markets broken down by household size on the admin of overall perc</v>
      </c>
    </row>
    <row r="412" spans="2:5" ht="15.75">
      <c r="B412" s="5" t="s">
        <v>83</v>
      </c>
      <c r="C412" s="6" t="s">
        <v>99</v>
      </c>
      <c r="D412" s="1">
        <v>702</v>
      </c>
      <c r="E412" s="2" t="str">
        <f>HYPERLINK("#'Data'!A3993", "Households reporting barriers while accessing markets broken down by single/joint headed HHs on the admin of overall perc")</f>
        <v>Households reporting barriers while accessing markets broken down by single/joint headed HHs on the admin of overall perc</v>
      </c>
    </row>
    <row r="413" spans="2:5" ht="15.75">
      <c r="B413" s="7" t="s">
        <v>83</v>
      </c>
      <c r="C413" s="8" t="s">
        <v>100</v>
      </c>
      <c r="D413" s="1">
        <v>713</v>
      </c>
      <c r="E413" s="2" t="str">
        <f>HYPERLINK("#'Data'!A4003", "Households adopting Livelihood Coping Strategies, by strategy broken down by rural / urban on the admin of overall ")</f>
        <v xml:space="preserve">Households adopting Livelihood Coping Strategies, by strategy broken down by rural / urban on the admin of overall </v>
      </c>
    </row>
    <row r="414" spans="2:5" ht="15.75">
      <c r="B414" s="5" t="s">
        <v>83</v>
      </c>
      <c r="C414" s="6" t="s">
        <v>100</v>
      </c>
      <c r="D414" s="1">
        <v>723</v>
      </c>
      <c r="E414" s="2" t="str">
        <f>HYPERLINK("#'Data'!A4026", "Households adopting Livelihood Coping Strategies, by strategy broken down by proximity to the Frontline / Russian borde...")</f>
        <v>Households adopting Livelihood Coping Strategies, by strategy broken down by proximity to the Frontline / Russian borde...</v>
      </c>
    </row>
    <row r="415" spans="2:5" ht="15.75">
      <c r="B415" s="7" t="s">
        <v>83</v>
      </c>
      <c r="C415" s="8" t="s">
        <v>100</v>
      </c>
      <c r="D415" s="1">
        <v>733</v>
      </c>
      <c r="E415" s="2" t="str">
        <f>HYPERLINK("#'Data'!A4057", "Households adopting Livelihood Coping Strategies, by strategy broken down by member with WGSS disability on the admin o...")</f>
        <v>Households adopting Livelihood Coping Strategies, by strategy broken down by member with WGSS disability on the admin o...</v>
      </c>
    </row>
    <row r="416" spans="2:5" ht="15.75">
      <c r="B416" s="5" t="s">
        <v>83</v>
      </c>
      <c r="C416" s="6" t="s">
        <v>100</v>
      </c>
      <c r="D416" s="1">
        <v>743</v>
      </c>
      <c r="E416" s="2" t="str">
        <f>HYPERLINK("#'Data'!A4080", "Households adopting Livelihood Coping Strategies, by strategy broken down by displacement status of HoH on the admin of...")</f>
        <v>Households adopting Livelihood Coping Strategies, by strategy broken down by displacement status of HoH on the admin of...</v>
      </c>
    </row>
    <row r="417" spans="2:5" ht="15.75">
      <c r="B417" s="7" t="s">
        <v>83</v>
      </c>
      <c r="C417" s="8" t="s">
        <v>100</v>
      </c>
      <c r="D417" s="1">
        <v>753</v>
      </c>
      <c r="E417" s="2" t="str">
        <f>HYPERLINK("#'Data'!A4095", "Households adopting Livelihood Coping Strategies, by strategy broken down by household size on the admin of overall ")</f>
        <v xml:space="preserve">Households adopting Livelihood Coping Strategies, by strategy broken down by household size on the admin of overall </v>
      </c>
    </row>
    <row r="418" spans="2:5" ht="15.75">
      <c r="B418" s="5" t="s">
        <v>83</v>
      </c>
      <c r="C418" s="6" t="s">
        <v>100</v>
      </c>
      <c r="D418" s="1">
        <v>763</v>
      </c>
      <c r="E418" s="2" t="str">
        <f>HYPERLINK("#'Data'!A4126", "Households adopting Livelihood Coping Strategies, by strategy broken down by single/joint headed HHs on the admin of ov...")</f>
        <v>Households adopting Livelihood Coping Strategies, by strategy broken down by single/joint headed HHs on the admin of ov...</v>
      </c>
    </row>
    <row r="419" spans="2:5" ht="15.75">
      <c r="B419" s="7" t="s">
        <v>83</v>
      </c>
      <c r="C419" s="8" t="s">
        <v>101</v>
      </c>
      <c r="D419" s="1">
        <v>774</v>
      </c>
      <c r="E419" s="2" t="str">
        <f>HYPERLINK("#'Data'!A4156", "Main Reasons Households Reported for Using Livelihood Coping Strategies  broken down by rural / urban on the admin of overall perc")</f>
        <v>Main Reasons Households Reported for Using Livelihood Coping Strategies  broken down by rural / urban on the admin of overall perc</v>
      </c>
    </row>
    <row r="420" spans="2:5" ht="15.75">
      <c r="B420" s="5" t="s">
        <v>83</v>
      </c>
      <c r="C420" s="6" t="s">
        <v>101</v>
      </c>
      <c r="D420" s="1">
        <v>775</v>
      </c>
      <c r="E420" s="2" t="str">
        <f>HYPERLINK("#'Data'!A4164", "Main Reasons Households Reported for Using Livelihood Coping Strategies  broken down by proximity to the Frontline / Russian border on the admin of...")</f>
        <v>Main Reasons Households Reported for Using Livelihood Coping Strategies  broken down by proximity to the Frontline / Russian border on the admin of...</v>
      </c>
    </row>
    <row r="421" spans="2:5" ht="15.75">
      <c r="B421" s="7" t="s">
        <v>83</v>
      </c>
      <c r="C421" s="8" t="s">
        <v>101</v>
      </c>
      <c r="D421" s="1">
        <v>776</v>
      </c>
      <c r="E421" s="2" t="str">
        <f>HYPERLINK("#'Data'!A4174", "Main Reasons Households Reported for Using Livelihood Coping Strategies  broken down by member with WGSS disability on the admin of overall perc")</f>
        <v>Main Reasons Households Reported for Using Livelihood Coping Strategies  broken down by member with WGSS disability on the admin of overall perc</v>
      </c>
    </row>
    <row r="422" spans="2:5" ht="15.75">
      <c r="B422" s="5" t="s">
        <v>83</v>
      </c>
      <c r="C422" s="6" t="s">
        <v>101</v>
      </c>
      <c r="D422" s="1">
        <v>777</v>
      </c>
      <c r="E422" s="2" t="str">
        <f>HYPERLINK("#'Data'!A4182", "Main Reasons Households Reported for Using Livelihood Coping Strategies  broken down by displacement status of HoH on the admin of overall perc")</f>
        <v>Main Reasons Households Reported for Using Livelihood Coping Strategies  broken down by displacement status of HoH on the admin of overall perc</v>
      </c>
    </row>
    <row r="423" spans="2:5" ht="15.75">
      <c r="B423" s="7" t="s">
        <v>83</v>
      </c>
      <c r="C423" s="8" t="s">
        <v>101</v>
      </c>
      <c r="D423" s="1">
        <v>778</v>
      </c>
      <c r="E423" s="2" t="str">
        <f>HYPERLINK("#'Data'!A4188", "Main Reasons Households Reported for Using Livelihood Coping Strategies  broken down by household size on the admin of overall perc")</f>
        <v>Main Reasons Households Reported for Using Livelihood Coping Strategies  broken down by household size on the admin of overall perc</v>
      </c>
    </row>
    <row r="424" spans="2:5" ht="15.75">
      <c r="B424" s="5" t="s">
        <v>83</v>
      </c>
      <c r="C424" s="6" t="s">
        <v>101</v>
      </c>
      <c r="D424" s="1">
        <v>779</v>
      </c>
      <c r="E424" s="2" t="str">
        <f>HYPERLINK("#'Data'!A4198", "Main Reasons Households Reported for Using Livelihood Coping Strategies  broken down by single/joint headed HHs on the admin of overall perc")</f>
        <v>Main Reasons Households Reported for Using Livelihood Coping Strategies  broken down by single/joint headed HHs on the admin of overall perc</v>
      </c>
    </row>
    <row r="425" spans="2:5" ht="15.75">
      <c r="B425" s="7" t="s">
        <v>83</v>
      </c>
      <c r="C425" s="8" t="s">
        <v>102</v>
      </c>
      <c r="D425" s="1">
        <v>781</v>
      </c>
      <c r="E425" s="2" t="str">
        <f>HYPERLINK("#'Data'!A4208", "Livelihood Coping Strategy - Essential Needs (LCS-EN) broken down by rural / urban on the admin of overall perc")</f>
        <v>Livelihood Coping Strategy - Essential Needs (LCS-EN) broken down by rural / urban on the admin of overall perc</v>
      </c>
    </row>
    <row r="426" spans="2:5" ht="15.75">
      <c r="B426" s="5" t="s">
        <v>83</v>
      </c>
      <c r="C426" s="6" t="s">
        <v>102</v>
      </c>
      <c r="D426" s="1">
        <v>782</v>
      </c>
      <c r="E426" s="2" t="str">
        <f>HYPERLINK("#'Data'!A4216", "Livelihood Coping Strategy - Essential Needs (LCS-EN) broken down by proximity to the Frontline / Russian border on the admin of overall perc")</f>
        <v>Livelihood Coping Strategy - Essential Needs (LCS-EN) broken down by proximity to the Frontline / Russian border on the admin of overall perc</v>
      </c>
    </row>
    <row r="427" spans="2:5" ht="15.75">
      <c r="B427" s="7" t="s">
        <v>83</v>
      </c>
      <c r="C427" s="8" t="s">
        <v>102</v>
      </c>
      <c r="D427" s="1">
        <v>783</v>
      </c>
      <c r="E427" s="2" t="str">
        <f>HYPERLINK("#'Data'!A4226", "Livelihood Coping Strategy - Essential Needs (LCS-EN) broken down by member with WGSS disability on the admin of overall perc")</f>
        <v>Livelihood Coping Strategy - Essential Needs (LCS-EN) broken down by member with WGSS disability on the admin of overall perc</v>
      </c>
    </row>
    <row r="428" spans="2:5" ht="15.75">
      <c r="B428" s="5" t="s">
        <v>83</v>
      </c>
      <c r="C428" s="6" t="s">
        <v>102</v>
      </c>
      <c r="D428" s="1">
        <v>784</v>
      </c>
      <c r="E428" s="2" t="str">
        <f>HYPERLINK("#'Data'!A4234", "Livelihood Coping Strategy - Essential Needs (LCS-EN) broken down by displacement status of HoH on the admin of overall perc")</f>
        <v>Livelihood Coping Strategy - Essential Needs (LCS-EN) broken down by displacement status of HoH on the admin of overall perc</v>
      </c>
    </row>
    <row r="429" spans="2:5" ht="15.75">
      <c r="B429" s="7" t="s">
        <v>83</v>
      </c>
      <c r="C429" s="8" t="s">
        <v>102</v>
      </c>
      <c r="D429" s="1">
        <v>785</v>
      </c>
      <c r="E429" s="2" t="str">
        <f>HYPERLINK("#'Data'!A4240", "Livelihood Coping Strategy - Essential Needs (LCS-EN) broken down by household size on the admin of overall perc")</f>
        <v>Livelihood Coping Strategy - Essential Needs (LCS-EN) broken down by household size on the admin of overall perc</v>
      </c>
    </row>
    <row r="430" spans="2:5" ht="15.75">
      <c r="B430" s="5" t="s">
        <v>83</v>
      </c>
      <c r="C430" s="6" t="s">
        <v>102</v>
      </c>
      <c r="D430" s="1">
        <v>786</v>
      </c>
      <c r="E430" s="2" t="str">
        <f>HYPERLINK("#'Data'!A4250", "Livelihood Coping Strategy - Essential Needs (LCS-EN) broken down by presence of children on the admin of overall perc")</f>
        <v>Livelihood Coping Strategy - Essential Needs (LCS-EN) broken down by presence of children on the admin of overall perc</v>
      </c>
    </row>
    <row r="431" spans="2:5" ht="15.75">
      <c r="B431" s="7" t="s">
        <v>83</v>
      </c>
      <c r="C431" s="8" t="s">
        <v>102</v>
      </c>
      <c r="D431" s="1">
        <v>787</v>
      </c>
      <c r="E431" s="2" t="str">
        <f>HYPERLINK("#'Data'!A4258", "Livelihood Coping Strategy - Essential Needs (LCS-EN) broken down by single care provider on the admin of overall perc")</f>
        <v>Livelihood Coping Strategy - Essential Needs (LCS-EN) broken down by single care provider on the admin of overall perc</v>
      </c>
    </row>
    <row r="432" spans="2:5" ht="15.75">
      <c r="B432" s="5" t="s">
        <v>83</v>
      </c>
      <c r="C432" s="6" t="s">
        <v>102</v>
      </c>
      <c r="D432" s="1">
        <v>788</v>
      </c>
      <c r="E432" s="2" t="str">
        <f>HYPERLINK("#'Data'!A4270", "Livelihood Coping Strategy - Essential Needs (LCS-EN) broken down by single/joint headed HHs on the admin of overall perc")</f>
        <v>Livelihood Coping Strategy - Essential Needs (LCS-EN) broken down by single/joint headed HHs on the admin of overall perc</v>
      </c>
    </row>
    <row r="433" spans="2:5" ht="15.75">
      <c r="B433" s="7" t="s">
        <v>103</v>
      </c>
      <c r="C433" s="8" t="s">
        <v>104</v>
      </c>
      <c r="D433" s="1">
        <v>790</v>
      </c>
      <c r="E433" s="2" t="str">
        <f>HYPERLINK("#'Data'!A4280", "Security Factors that reportedly influenced households' sense of safety broken down by gender of respondent on the admin of overall perc")</f>
        <v>Security Factors that reportedly influenced households' sense of safety broken down by gender of respondent on the admin of overall perc</v>
      </c>
    </row>
    <row r="434" spans="2:5" ht="15.75">
      <c r="B434" s="5" t="s">
        <v>103</v>
      </c>
      <c r="C434" s="6" t="s">
        <v>104</v>
      </c>
      <c r="D434" s="1">
        <v>791</v>
      </c>
      <c r="E434" s="2" t="str">
        <f>HYPERLINK("#'Data'!A4288", "Security Factors that reportedly influenced households' sense of safety broken down by age of respondents on the admin of overall perc")</f>
        <v>Security Factors that reportedly influenced households' sense of safety broken down by age of respondents on the admin of overall perc</v>
      </c>
    </row>
    <row r="435" spans="2:5" ht="15.75">
      <c r="B435" s="7" t="s">
        <v>103</v>
      </c>
      <c r="C435" s="8" t="s">
        <v>104</v>
      </c>
      <c r="D435" s="1">
        <v>792</v>
      </c>
      <c r="E435" s="2" t="str">
        <f>HYPERLINK("#'Data'!A4300", "Security Factors that reportedly influenced households' sense of safety broken down by rural / urban on the admin of overall perc")</f>
        <v>Security Factors that reportedly influenced households' sense of safety broken down by rural / urban on the admin of overall perc</v>
      </c>
    </row>
    <row r="436" spans="2:5" ht="15.75">
      <c r="B436" s="5" t="s">
        <v>103</v>
      </c>
      <c r="C436" s="6" t="s">
        <v>104</v>
      </c>
      <c r="D436" s="1">
        <v>793</v>
      </c>
      <c r="E436" s="2" t="str">
        <f>HYPERLINK("#'Data'!A4308", "Security Factors that reportedly influenced households' sense of safety broken down by proximity to the Frontline / Russian border on the admin of ...")</f>
        <v>Security Factors that reportedly influenced households' sense of safety broken down by proximity to the Frontline / Russian border on the admin of ...</v>
      </c>
    </row>
    <row r="437" spans="2:5" ht="15.75">
      <c r="B437" s="7" t="s">
        <v>103</v>
      </c>
      <c r="C437" s="8" t="s">
        <v>104</v>
      </c>
      <c r="D437" s="1">
        <v>794</v>
      </c>
      <c r="E437" s="2" t="str">
        <f>HYPERLINK("#'Data'!A4318", "Security Factors that reportedly influenced households' sense of safety broken down by member with WGSS disability on the admin of overall perc")</f>
        <v>Security Factors that reportedly influenced households' sense of safety broken down by member with WGSS disability on the admin of overall perc</v>
      </c>
    </row>
    <row r="438" spans="2:5" ht="15.75">
      <c r="B438" s="5" t="s">
        <v>103</v>
      </c>
      <c r="C438" s="6" t="s">
        <v>104</v>
      </c>
      <c r="D438" s="1">
        <v>795</v>
      </c>
      <c r="E438" s="2" t="str">
        <f>HYPERLINK("#'Data'!A4326", "Security Factors that reportedly influenced households' sense of safety broken down by displacement status of HoH on the admin of overall perc")</f>
        <v>Security Factors that reportedly influenced households' sense of safety broken down by displacement status of HoH on the admin of overall perc</v>
      </c>
    </row>
    <row r="439" spans="2:5" ht="15.75">
      <c r="B439" s="7" t="s">
        <v>103</v>
      </c>
      <c r="C439" s="8" t="s">
        <v>104</v>
      </c>
      <c r="D439" s="1">
        <v>796</v>
      </c>
      <c r="E439" s="2" t="str">
        <f>HYPERLINK("#'Data'!A4332", "Security Factors that reportedly influenced households' sense of safety broken down by household size on the admin of overall perc")</f>
        <v>Security Factors that reportedly influenced households' sense of safety broken down by household size on the admin of overall perc</v>
      </c>
    </row>
    <row r="440" spans="2:5" ht="15.75">
      <c r="B440" s="5" t="s">
        <v>103</v>
      </c>
      <c r="C440" s="6" t="s">
        <v>104</v>
      </c>
      <c r="D440" s="1">
        <v>797</v>
      </c>
      <c r="E440" s="2" t="str">
        <f>HYPERLINK("#'Data'!A4342", "Security Factors that reportedly influenced households' sense of safety broken down by single/joint headed HHs on the admin of overall perc")</f>
        <v>Security Factors that reportedly influenced households' sense of safety broken down by single/joint headed HHs on the admin of overall perc</v>
      </c>
    </row>
    <row r="441" spans="2:5" ht="15.75">
      <c r="B441" s="7" t="s">
        <v>103</v>
      </c>
      <c r="C441" s="8" t="s">
        <v>105</v>
      </c>
      <c r="D441" s="1">
        <v>799</v>
      </c>
      <c r="E441" s="2" t="str">
        <f>HYPERLINK("#'Data'!A4352", "Reasons why social tension or discrimination impacted households' sense of safety broken down by gender of respondent on the admin of overall perc")</f>
        <v>Reasons why social tension or discrimination impacted households' sense of safety broken down by gender of respondent on the admin of overall perc</v>
      </c>
    </row>
    <row r="442" spans="2:5" ht="15.75">
      <c r="B442" s="5" t="s">
        <v>103</v>
      </c>
      <c r="C442" s="6" t="s">
        <v>105</v>
      </c>
      <c r="D442" s="1">
        <v>800</v>
      </c>
      <c r="E442" s="2" t="str">
        <f>HYPERLINK("#'Data'!A4360", "Reasons why social tension or discrimination impacted households' sense of safety broken down by age of respondents on the admin of overall perc")</f>
        <v>Reasons why social tension or discrimination impacted households' sense of safety broken down by age of respondents on the admin of overall perc</v>
      </c>
    </row>
    <row r="443" spans="2:5" ht="15.75">
      <c r="B443" s="7" t="s">
        <v>103</v>
      </c>
      <c r="C443" s="8" t="s">
        <v>105</v>
      </c>
      <c r="D443" s="1">
        <v>801</v>
      </c>
      <c r="E443" s="2" t="str">
        <f>HYPERLINK("#'Data'!A4372", "Reasons why social tension or discrimination impacted households' sense of safety broken down by rural / urban on the admin of overall perc")</f>
        <v>Reasons why social tension or discrimination impacted households' sense of safety broken down by rural / urban on the admin of overall perc</v>
      </c>
    </row>
    <row r="444" spans="2:5" ht="15.75">
      <c r="B444" s="5" t="s">
        <v>103</v>
      </c>
      <c r="C444" s="6" t="s">
        <v>105</v>
      </c>
      <c r="D444" s="1">
        <v>802</v>
      </c>
      <c r="E444" s="2" t="str">
        <f>HYPERLINK("#'Data'!A4380", "Reasons why social tension or discrimination impacted households' sense of safety broken down by proximity to the Frontline / Russian border on the...")</f>
        <v>Reasons why social tension or discrimination impacted households' sense of safety broken down by proximity to the Frontline / Russian border on the...</v>
      </c>
    </row>
    <row r="445" spans="2:5" ht="15.75">
      <c r="B445" s="7" t="s">
        <v>103</v>
      </c>
      <c r="C445" s="8" t="s">
        <v>105</v>
      </c>
      <c r="D445" s="1">
        <v>803</v>
      </c>
      <c r="E445" s="2" t="str">
        <f>HYPERLINK("#'Data'!A4390", "Reasons why social tension or discrimination impacted households' sense of safety broken down by member with WGSS disability on the admin of overal...")</f>
        <v>Reasons why social tension or discrimination impacted households' sense of safety broken down by member with WGSS disability on the admin of overal...</v>
      </c>
    </row>
    <row r="446" spans="2:5" ht="15.75">
      <c r="B446" s="5" t="s">
        <v>103</v>
      </c>
      <c r="C446" s="6" t="s">
        <v>105</v>
      </c>
      <c r="D446" s="1">
        <v>804</v>
      </c>
      <c r="E446" s="2" t="str">
        <f>HYPERLINK("#'Data'!A4398", "Reasons why social tension or discrimination impacted households' sense of safety broken down by displacement status of HoH on the admin of overall...")</f>
        <v>Reasons why social tension or discrimination impacted households' sense of safety broken down by displacement status of HoH on the admin of overall...</v>
      </c>
    </row>
    <row r="447" spans="2:5" ht="15.75">
      <c r="B447" s="7" t="s">
        <v>103</v>
      </c>
      <c r="C447" s="8" t="s">
        <v>105</v>
      </c>
      <c r="D447" s="1">
        <v>805</v>
      </c>
      <c r="E447" s="2" t="str">
        <f>HYPERLINK("#'Data'!A4404", "Reasons why social tension or discrimination impacted households' sense of safety broken down by household size on the admin of overall perc")</f>
        <v>Reasons why social tension or discrimination impacted households' sense of safety broken down by household size on the admin of overall perc</v>
      </c>
    </row>
    <row r="448" spans="2:5" ht="15.75">
      <c r="B448" s="5" t="s">
        <v>103</v>
      </c>
      <c r="C448" s="6" t="s">
        <v>105</v>
      </c>
      <c r="D448" s="1">
        <v>806</v>
      </c>
      <c r="E448" s="2" t="str">
        <f>HYPERLINK("#'Data'!A4414", "Reasons why social tension or discrimination impacted households' sense of safety broken down by single/joint headed HHs on the admin of overall pe...")</f>
        <v>Reasons why social tension or discrimination impacted households' sense of safety broken down by single/joint headed HHs on the admin of overall pe...</v>
      </c>
    </row>
    <row r="449" spans="2:5" ht="15.75">
      <c r="B449" s="7" t="s">
        <v>103</v>
      </c>
      <c r="C449" s="8" t="s">
        <v>106</v>
      </c>
      <c r="D449" s="1">
        <v>808</v>
      </c>
      <c r="E449" s="2" t="str">
        <f>HYPERLINK("#'Data'!A4424", "Households that reported being concerned about having any HH member engaging in risky activities due to the economic needs broken down by gender of...")</f>
        <v>Households that reported being concerned about having any HH member engaging in risky activities due to the economic needs broken down by gender of...</v>
      </c>
    </row>
    <row r="450" spans="2:5" ht="15.75">
      <c r="B450" s="5" t="s">
        <v>103</v>
      </c>
      <c r="C450" s="6" t="s">
        <v>106</v>
      </c>
      <c r="D450" s="1">
        <v>809</v>
      </c>
      <c r="E450" s="2" t="str">
        <f>HYPERLINK("#'Data'!A4432", "Households that reported being concerned about having any HH member engaging in risky activities due to the economic needs broken down by age of re...")</f>
        <v>Households that reported being concerned about having any HH member engaging in risky activities due to the economic needs broken down by age of re...</v>
      </c>
    </row>
    <row r="451" spans="2:5" ht="15.75">
      <c r="B451" s="7" t="s">
        <v>103</v>
      </c>
      <c r="C451" s="8" t="s">
        <v>106</v>
      </c>
      <c r="D451" s="1">
        <v>810</v>
      </c>
      <c r="E451" s="2" t="str">
        <f>HYPERLINK("#'Data'!A4444", "Households that reported being concerned about having any HH member engaging in risky activities due to the economic needs broken down by rural / u...")</f>
        <v>Households that reported being concerned about having any HH member engaging in risky activities due to the economic needs broken down by rural / u...</v>
      </c>
    </row>
    <row r="452" spans="2:5" ht="15.75">
      <c r="B452" s="5" t="s">
        <v>103</v>
      </c>
      <c r="C452" s="6" t="s">
        <v>106</v>
      </c>
      <c r="D452" s="1">
        <v>811</v>
      </c>
      <c r="E452" s="2" t="str">
        <f>HYPERLINK("#'Data'!A4452", "Households that reported being concerned about having any HH member engaging in risky activities due to the economic needs broken down by proximity...")</f>
        <v>Households that reported being concerned about having any HH member engaging in risky activities due to the economic needs broken down by proximity...</v>
      </c>
    </row>
    <row r="453" spans="2:5" ht="15.75">
      <c r="B453" s="7" t="s">
        <v>103</v>
      </c>
      <c r="C453" s="8" t="s">
        <v>106</v>
      </c>
      <c r="D453" s="1">
        <v>812</v>
      </c>
      <c r="E453" s="2" t="str">
        <f>HYPERLINK("#'Data'!A4462", "Households that reported being concerned about having any HH member engaging in risky activities due to the economic needs broken down by member wi...")</f>
        <v>Households that reported being concerned about having any HH member engaging in risky activities due to the economic needs broken down by member wi...</v>
      </c>
    </row>
    <row r="454" spans="2:5" ht="15.75">
      <c r="B454" s="5" t="s">
        <v>103</v>
      </c>
      <c r="C454" s="6" t="s">
        <v>106</v>
      </c>
      <c r="D454" s="1">
        <v>813</v>
      </c>
      <c r="E454" s="2" t="str">
        <f>HYPERLINK("#'Data'!A4470", "Households that reported being concerned about having any HH member engaging in risky activities due to the economic needs broken down by displacem...")</f>
        <v>Households that reported being concerned about having any HH member engaging in risky activities due to the economic needs broken down by displacem...</v>
      </c>
    </row>
    <row r="455" spans="2:5" ht="15.75">
      <c r="B455" s="7" t="s">
        <v>103</v>
      </c>
      <c r="C455" s="8" t="s">
        <v>106</v>
      </c>
      <c r="D455" s="1">
        <v>814</v>
      </c>
      <c r="E455" s="2" t="str">
        <f>HYPERLINK("#'Data'!A4476", "Households that reported being concerned about having any HH member engaging in risky activities due to the economic needs broken down by household...")</f>
        <v>Households that reported being concerned about having any HH member engaging in risky activities due to the economic needs broken down by household...</v>
      </c>
    </row>
    <row r="456" spans="2:5" ht="15.75">
      <c r="B456" s="5" t="s">
        <v>103</v>
      </c>
      <c r="C456" s="6" t="s">
        <v>106</v>
      </c>
      <c r="D456" s="1">
        <v>815</v>
      </c>
      <c r="E456" s="2" t="str">
        <f>HYPERLINK("#'Data'!A4486", "Households that reported being concerned about having any HH member engaging in risky activities due to the economic needs broken down by single/jo...")</f>
        <v>Households that reported being concerned about having any HH member engaging in risky activities due to the economic needs broken down by single/jo...</v>
      </c>
    </row>
    <row r="457" spans="2:5" ht="15.75">
      <c r="B457" s="7" t="s">
        <v>103</v>
      </c>
      <c r="C457" s="8" t="s">
        <v>107</v>
      </c>
      <c r="D457" s="1">
        <v>817</v>
      </c>
      <c r="E457" s="2" t="str">
        <f>HYPERLINK("#'Data'!A4496", "Households that reported being concerned about being forced to flee their home broken down by gender of respondent on the admin of overall perc")</f>
        <v>Households that reported being concerned about being forced to flee their home broken down by gender of respondent on the admin of overall perc</v>
      </c>
    </row>
    <row r="458" spans="2:5" ht="15.75">
      <c r="B458" s="5" t="s">
        <v>103</v>
      </c>
      <c r="C458" s="6" t="s">
        <v>107</v>
      </c>
      <c r="D458" s="1">
        <v>818</v>
      </c>
      <c r="E458" s="2" t="str">
        <f>HYPERLINK("#'Data'!A4504", "Households that reported being concerned about being forced to flee their home broken down by age of respondents on the admin of overall perc")</f>
        <v>Households that reported being concerned about being forced to flee their home broken down by age of respondents on the admin of overall perc</v>
      </c>
    </row>
    <row r="459" spans="2:5" ht="15.75">
      <c r="B459" s="7" t="s">
        <v>103</v>
      </c>
      <c r="C459" s="8" t="s">
        <v>107</v>
      </c>
      <c r="D459" s="1">
        <v>819</v>
      </c>
      <c r="E459" s="2" t="str">
        <f>HYPERLINK("#'Data'!A4516", "Households that reported being concerned about being forced to flee their home broken down by rural / urban on the admin of overall perc")</f>
        <v>Households that reported being concerned about being forced to flee their home broken down by rural / urban on the admin of overall perc</v>
      </c>
    </row>
    <row r="460" spans="2:5" ht="15.75">
      <c r="B460" s="5" t="s">
        <v>103</v>
      </c>
      <c r="C460" s="6" t="s">
        <v>107</v>
      </c>
      <c r="D460" s="1">
        <v>820</v>
      </c>
      <c r="E460" s="2" t="str">
        <f>HYPERLINK("#'Data'!A4524", "Households that reported being concerned about being forced to flee their home broken down by proximity to the Frontline / Russian border on the ad...")</f>
        <v>Households that reported being concerned about being forced to flee their home broken down by proximity to the Frontline / Russian border on the ad...</v>
      </c>
    </row>
    <row r="461" spans="2:5" ht="15.75">
      <c r="B461" s="7" t="s">
        <v>103</v>
      </c>
      <c r="C461" s="8" t="s">
        <v>107</v>
      </c>
      <c r="D461" s="1">
        <v>821</v>
      </c>
      <c r="E461" s="2" t="str">
        <f>HYPERLINK("#'Data'!A4534", "Households that reported being concerned about being forced to flee their home broken down by member with WGSS disability on the admin of overall p...")</f>
        <v>Households that reported being concerned about being forced to flee their home broken down by member with WGSS disability on the admin of overall p...</v>
      </c>
    </row>
    <row r="462" spans="2:5" ht="15.75">
      <c r="B462" s="5" t="s">
        <v>103</v>
      </c>
      <c r="C462" s="6" t="s">
        <v>107</v>
      </c>
      <c r="D462" s="1">
        <v>822</v>
      </c>
      <c r="E462" s="2" t="str">
        <f>HYPERLINK("#'Data'!A4542", "Households that reported being concerned about being forced to flee their home broken down by displacement status of HoH on the admin of overall pe...")</f>
        <v>Households that reported being concerned about being forced to flee their home broken down by displacement status of HoH on the admin of overall pe...</v>
      </c>
    </row>
    <row r="463" spans="2:5" ht="15.75">
      <c r="B463" s="7" t="s">
        <v>103</v>
      </c>
      <c r="C463" s="8" t="s">
        <v>107</v>
      </c>
      <c r="D463" s="1">
        <v>823</v>
      </c>
      <c r="E463" s="2" t="str">
        <f>HYPERLINK("#'Data'!A4548", "Households that reported being concerned about being forced to flee their home broken down by household size on the admin of overall perc")</f>
        <v>Households that reported being concerned about being forced to flee their home broken down by household size on the admin of overall perc</v>
      </c>
    </row>
    <row r="464" spans="2:5" ht="15.75">
      <c r="B464" s="5" t="s">
        <v>103</v>
      </c>
      <c r="C464" s="6" t="s">
        <v>107</v>
      </c>
      <c r="D464" s="1">
        <v>824</v>
      </c>
      <c r="E464" s="2" t="str">
        <f>HYPERLINK("#'Data'!A4558", "Households that reported being concerned about being forced to flee their home broken down by single/joint headed HHs on the admin of overall perc")</f>
        <v>Households that reported being concerned about being forced to flee their home broken down by single/joint headed HHs on the admin of overall perc</v>
      </c>
    </row>
    <row r="465" spans="2:5" ht="15.75">
      <c r="B465" s="7" t="s">
        <v>103</v>
      </c>
      <c r="C465" s="8" t="s">
        <v>108</v>
      </c>
      <c r="D465" s="1">
        <v>826</v>
      </c>
      <c r="E465" s="2" t="str">
        <f>HYPERLINK("#'Data'!A4568", "Security factors that reportedly influenced sense of safety of WOMEN in community broken down by gender of respondent on the admin of overall perc")</f>
        <v>Security factors that reportedly influenced sense of safety of WOMEN in community broken down by gender of respondent on the admin of overall perc</v>
      </c>
    </row>
    <row r="466" spans="2:5" ht="15.75">
      <c r="B466" s="5" t="s">
        <v>103</v>
      </c>
      <c r="C466" s="6" t="s">
        <v>108</v>
      </c>
      <c r="D466" s="1">
        <v>827</v>
      </c>
      <c r="E466" s="2" t="str">
        <f>HYPERLINK("#'Data'!A4576", "Security factors that reportedly influenced sense of safety of WOMEN in community broken down by age of respondents on the admin of overall perc")</f>
        <v>Security factors that reportedly influenced sense of safety of WOMEN in community broken down by age of respondents on the admin of overall perc</v>
      </c>
    </row>
    <row r="467" spans="2:5" ht="15.75">
      <c r="B467" s="7" t="s">
        <v>103</v>
      </c>
      <c r="C467" s="8" t="s">
        <v>108</v>
      </c>
      <c r="D467" s="1">
        <v>828</v>
      </c>
      <c r="E467" s="2" t="str">
        <f>HYPERLINK("#'Data'!A4588", "Security factors that reportedly influenced sense of safety of WOMEN in community broken down by rural / urban on the admin of overall perc")</f>
        <v>Security factors that reportedly influenced sense of safety of WOMEN in community broken down by rural / urban on the admin of overall perc</v>
      </c>
    </row>
    <row r="468" spans="2:5" ht="15.75">
      <c r="B468" s="5" t="s">
        <v>103</v>
      </c>
      <c r="C468" s="6" t="s">
        <v>108</v>
      </c>
      <c r="D468" s="1">
        <v>829</v>
      </c>
      <c r="E468" s="2" t="str">
        <f>HYPERLINK("#'Data'!A4596", "Security factors that reportedly influenced sense of safety of WOMEN in community broken down by proximity to the Frontline / Russian border on the...")</f>
        <v>Security factors that reportedly influenced sense of safety of WOMEN in community broken down by proximity to the Frontline / Russian border on the...</v>
      </c>
    </row>
    <row r="469" spans="2:5" ht="15.75">
      <c r="B469" s="7" t="s">
        <v>103</v>
      </c>
      <c r="C469" s="8" t="s">
        <v>108</v>
      </c>
      <c r="D469" s="1">
        <v>830</v>
      </c>
      <c r="E469" s="2" t="str">
        <f>HYPERLINK("#'Data'!A4606", "Security factors that reportedly influenced sense of safety of WOMEN in community broken down by member with WGSS disability on the admin of overal...")</f>
        <v>Security factors that reportedly influenced sense of safety of WOMEN in community broken down by member with WGSS disability on the admin of overal...</v>
      </c>
    </row>
    <row r="470" spans="2:5" ht="15.75">
      <c r="B470" s="5" t="s">
        <v>103</v>
      </c>
      <c r="C470" s="6" t="s">
        <v>108</v>
      </c>
      <c r="D470" s="1">
        <v>831</v>
      </c>
      <c r="E470" s="2" t="str">
        <f>HYPERLINK("#'Data'!A4614", "Security factors that reportedly influenced sense of safety of WOMEN in community broken down by displacement status of HoH on the admin of overall...")</f>
        <v>Security factors that reportedly influenced sense of safety of WOMEN in community broken down by displacement status of HoH on the admin of overall...</v>
      </c>
    </row>
    <row r="471" spans="2:5" ht="15.75">
      <c r="B471" s="7" t="s">
        <v>103</v>
      </c>
      <c r="C471" s="8" t="s">
        <v>108</v>
      </c>
      <c r="D471" s="1">
        <v>832</v>
      </c>
      <c r="E471" s="2" t="str">
        <f>HYPERLINK("#'Data'!A4620", "Security factors that reportedly influenced sense of safety of WOMEN in community broken down by household size on the admin of overall perc")</f>
        <v>Security factors that reportedly influenced sense of safety of WOMEN in community broken down by household size on the admin of overall perc</v>
      </c>
    </row>
    <row r="472" spans="2:5" ht="15.75">
      <c r="B472" s="5" t="s">
        <v>103</v>
      </c>
      <c r="C472" s="6" t="s">
        <v>108</v>
      </c>
      <c r="D472" s="1">
        <v>833</v>
      </c>
      <c r="E472" s="2" t="str">
        <f>HYPERLINK("#'Data'!A4630", "Security factors that reportedly influenced sense of safety of WOMEN in community broken down by single/joint headed HHs on the admin of overall pe...")</f>
        <v>Security factors that reportedly influenced sense of safety of WOMEN in community broken down by single/joint headed HHs on the admin of overall pe...</v>
      </c>
    </row>
    <row r="473" spans="2:5" ht="15.75">
      <c r="B473" s="7" t="s">
        <v>103</v>
      </c>
      <c r="C473" s="8" t="s">
        <v>109</v>
      </c>
      <c r="D473" s="1">
        <v>835</v>
      </c>
      <c r="E473" s="2" t="str">
        <f>HYPERLINK("#'Data'!A4640", "Households with women that reportedly feel unsafe walking in community broken down by gender of respondent on the admin of overall perc")</f>
        <v>Households with women that reportedly feel unsafe walking in community broken down by gender of respondent on the admin of overall perc</v>
      </c>
    </row>
    <row r="474" spans="2:5" ht="15.75">
      <c r="B474" s="5" t="s">
        <v>103</v>
      </c>
      <c r="C474" s="6" t="s">
        <v>109</v>
      </c>
      <c r="D474" s="1">
        <v>836</v>
      </c>
      <c r="E474" s="2" t="str">
        <f>HYPERLINK("#'Data'!A4648", "Households with women that reportedly feel unsafe walking in community broken down by age of respondents on the admin of overall perc")</f>
        <v>Households with women that reportedly feel unsafe walking in community broken down by age of respondents on the admin of overall perc</v>
      </c>
    </row>
    <row r="475" spans="2:5" ht="15.75">
      <c r="B475" s="7" t="s">
        <v>103</v>
      </c>
      <c r="C475" s="8" t="s">
        <v>109</v>
      </c>
      <c r="D475" s="1">
        <v>837</v>
      </c>
      <c r="E475" s="2" t="str">
        <f>HYPERLINK("#'Data'!A4660", "Households with women that reportedly feel unsafe walking in community broken down by rural / urban on the admin of overall perc")</f>
        <v>Households with women that reportedly feel unsafe walking in community broken down by rural / urban on the admin of overall perc</v>
      </c>
    </row>
    <row r="476" spans="2:5" ht="15.75">
      <c r="B476" s="5" t="s">
        <v>103</v>
      </c>
      <c r="C476" s="6" t="s">
        <v>109</v>
      </c>
      <c r="D476" s="1">
        <v>838</v>
      </c>
      <c r="E476" s="2" t="str">
        <f>HYPERLINK("#'Data'!A4668", "Households with women that reportedly feel unsafe walking in community broken down by proximity to the Frontline / Russian border on the admin of o...")</f>
        <v>Households with women that reportedly feel unsafe walking in community broken down by proximity to the Frontline / Russian border on the admin of o...</v>
      </c>
    </row>
    <row r="477" spans="2:5" ht="15.75">
      <c r="B477" s="7" t="s">
        <v>103</v>
      </c>
      <c r="C477" s="8" t="s">
        <v>109</v>
      </c>
      <c r="D477" s="1">
        <v>839</v>
      </c>
      <c r="E477" s="2" t="str">
        <f>HYPERLINK("#'Data'!A4678", "Households with women that reportedly feel unsafe walking in community broken down by member with WGSS disability on the admin of overall perc")</f>
        <v>Households with women that reportedly feel unsafe walking in community broken down by member with WGSS disability on the admin of overall perc</v>
      </c>
    </row>
    <row r="478" spans="2:5" ht="15.75">
      <c r="B478" s="5" t="s">
        <v>103</v>
      </c>
      <c r="C478" s="6" t="s">
        <v>109</v>
      </c>
      <c r="D478" s="1">
        <v>840</v>
      </c>
      <c r="E478" s="2" t="str">
        <f>HYPERLINK("#'Data'!A4686", "Households with women that reportedly feel unsafe walking in community broken down by displacement status of HoH on the admin of overall perc")</f>
        <v>Households with women that reportedly feel unsafe walking in community broken down by displacement status of HoH on the admin of overall perc</v>
      </c>
    </row>
    <row r="479" spans="2:5" ht="15.75">
      <c r="B479" s="7" t="s">
        <v>103</v>
      </c>
      <c r="C479" s="8" t="s">
        <v>109</v>
      </c>
      <c r="D479" s="1">
        <v>841</v>
      </c>
      <c r="E479" s="2" t="str">
        <f>HYPERLINK("#'Data'!A4692", "Households with women that reportedly feel unsafe walking in community broken down by household size on the admin of overall perc")</f>
        <v>Households with women that reportedly feel unsafe walking in community broken down by household size on the admin of overall perc</v>
      </c>
    </row>
    <row r="480" spans="2:5" ht="15.75">
      <c r="B480" s="5" t="s">
        <v>103</v>
      </c>
      <c r="C480" s="6" t="s">
        <v>109</v>
      </c>
      <c r="D480" s="1">
        <v>842</v>
      </c>
      <c r="E480" s="2" t="str">
        <f>HYPERLINK("#'Data'!A4702", "Households with women that reportedly feel unsafe walking in community broken down by single/joint headed HHs on the admin of overall perc")</f>
        <v>Households with women that reportedly feel unsafe walking in community broken down by single/joint headed HHs on the admin of overall perc</v>
      </c>
    </row>
    <row r="481" spans="2:5" ht="15.75">
      <c r="B481" s="7" t="s">
        <v>103</v>
      </c>
      <c r="C481" s="8" t="s">
        <v>110</v>
      </c>
      <c r="D481" s="1">
        <v>844</v>
      </c>
      <c r="E481" s="2" t="str">
        <f>HYPERLINK("#'Data'!A4712", "Places women reportedly avoid because of security concerns broken down by gender of respondent on the admin of overall perc")</f>
        <v>Places women reportedly avoid because of security concerns broken down by gender of respondent on the admin of overall perc</v>
      </c>
    </row>
    <row r="482" spans="2:5" ht="15.75">
      <c r="B482" s="5" t="s">
        <v>103</v>
      </c>
      <c r="C482" s="6" t="s">
        <v>110</v>
      </c>
      <c r="D482" s="1">
        <v>845</v>
      </c>
      <c r="E482" s="2" t="str">
        <f>HYPERLINK("#'Data'!A4720", "Places women reportedly avoid because of security concerns broken down by age of respondents on the admin of overall perc")</f>
        <v>Places women reportedly avoid because of security concerns broken down by age of respondents on the admin of overall perc</v>
      </c>
    </row>
    <row r="483" spans="2:5" ht="15.75">
      <c r="B483" s="7" t="s">
        <v>103</v>
      </c>
      <c r="C483" s="8" t="s">
        <v>110</v>
      </c>
      <c r="D483" s="1">
        <v>846</v>
      </c>
      <c r="E483" s="2" t="str">
        <f>HYPERLINK("#'Data'!A4732", "Places women reportedly avoid because of security concerns broken down by rural / urban on the admin of overall perc")</f>
        <v>Places women reportedly avoid because of security concerns broken down by rural / urban on the admin of overall perc</v>
      </c>
    </row>
    <row r="484" spans="2:5" ht="15.75">
      <c r="B484" s="5" t="s">
        <v>103</v>
      </c>
      <c r="C484" s="6" t="s">
        <v>110</v>
      </c>
      <c r="D484" s="1">
        <v>847</v>
      </c>
      <c r="E484" s="2" t="str">
        <f>HYPERLINK("#'Data'!A4740", "Places women reportedly avoid because of security concerns broken down by proximity to the Frontline / Russian border on the admin of overall perc")</f>
        <v>Places women reportedly avoid because of security concerns broken down by proximity to the Frontline / Russian border on the admin of overall perc</v>
      </c>
    </row>
    <row r="485" spans="2:5" ht="15.75">
      <c r="B485" s="7" t="s">
        <v>103</v>
      </c>
      <c r="C485" s="8" t="s">
        <v>110</v>
      </c>
      <c r="D485" s="1">
        <v>848</v>
      </c>
      <c r="E485" s="2" t="str">
        <f>HYPERLINK("#'Data'!A4750", "Places women reportedly avoid because of security concerns broken down by member with WGSS disability on the admin of overall perc")</f>
        <v>Places women reportedly avoid because of security concerns broken down by member with WGSS disability on the admin of overall perc</v>
      </c>
    </row>
    <row r="486" spans="2:5" ht="15.75">
      <c r="B486" s="5" t="s">
        <v>103</v>
      </c>
      <c r="C486" s="6" t="s">
        <v>110</v>
      </c>
      <c r="D486" s="1">
        <v>849</v>
      </c>
      <c r="E486" s="2" t="str">
        <f>HYPERLINK("#'Data'!A4758", "Places women reportedly avoid because of security concerns broken down by displacement status of HoH on the admin of overall perc")</f>
        <v>Places women reportedly avoid because of security concerns broken down by displacement status of HoH on the admin of overall perc</v>
      </c>
    </row>
    <row r="487" spans="2:5" ht="15.75">
      <c r="B487" s="7" t="s">
        <v>103</v>
      </c>
      <c r="C487" s="8" t="s">
        <v>110</v>
      </c>
      <c r="D487" s="1">
        <v>850</v>
      </c>
      <c r="E487" s="2" t="str">
        <f>HYPERLINK("#'Data'!A4764", "Places women reportedly avoid because of security concerns broken down by household size on the admin of overall perc")</f>
        <v>Places women reportedly avoid because of security concerns broken down by household size on the admin of overall perc</v>
      </c>
    </row>
    <row r="488" spans="2:5" ht="15.75">
      <c r="B488" s="5" t="s">
        <v>103</v>
      </c>
      <c r="C488" s="6" t="s">
        <v>110</v>
      </c>
      <c r="D488" s="1">
        <v>851</v>
      </c>
      <c r="E488" s="2" t="str">
        <f>HYPERLINK("#'Data'!A4774", "Places women reportedly avoid because of security concerns broken down by single/joint headed HHs on the admin of overall perc")</f>
        <v>Places women reportedly avoid because of security concerns broken down by single/joint headed HHs on the admin of overall perc</v>
      </c>
    </row>
    <row r="489" spans="2:5" ht="15.75">
      <c r="B489" s="7" t="s">
        <v>103</v>
      </c>
      <c r="C489" s="8" t="s">
        <v>111</v>
      </c>
      <c r="D489" s="1">
        <v>853</v>
      </c>
      <c r="E489" s="2" t="str">
        <f>HYPERLINK("#'Data'!A4784", "Security factors that reportedly influenced sense of safety of MEN in community broken down by gender of respondent on the admin of overall perc")</f>
        <v>Security factors that reportedly influenced sense of safety of MEN in community broken down by gender of respondent on the admin of overall perc</v>
      </c>
    </row>
    <row r="490" spans="2:5" ht="15.75">
      <c r="B490" s="5" t="s">
        <v>103</v>
      </c>
      <c r="C490" s="6" t="s">
        <v>111</v>
      </c>
      <c r="D490" s="1">
        <v>854</v>
      </c>
      <c r="E490" s="2" t="str">
        <f>HYPERLINK("#'Data'!A4792", "Security factors that reportedly influenced sense of safety of MEN in community broken down by age of respondents on the admin of overall perc")</f>
        <v>Security factors that reportedly influenced sense of safety of MEN in community broken down by age of respondents on the admin of overall perc</v>
      </c>
    </row>
    <row r="491" spans="2:5" ht="15.75">
      <c r="B491" s="7" t="s">
        <v>103</v>
      </c>
      <c r="C491" s="8" t="s">
        <v>111</v>
      </c>
      <c r="D491" s="1">
        <v>855</v>
      </c>
      <c r="E491" s="2" t="str">
        <f>HYPERLINK("#'Data'!A4804", "Security factors that reportedly influenced sense of safety of MEN in community broken down by rural / urban on the admin of overall perc")</f>
        <v>Security factors that reportedly influenced sense of safety of MEN in community broken down by rural / urban on the admin of overall perc</v>
      </c>
    </row>
    <row r="492" spans="2:5" ht="15.75">
      <c r="B492" s="5" t="s">
        <v>103</v>
      </c>
      <c r="C492" s="6" t="s">
        <v>111</v>
      </c>
      <c r="D492" s="1">
        <v>856</v>
      </c>
      <c r="E492" s="2" t="str">
        <f>HYPERLINK("#'Data'!A4812", "Security factors that reportedly influenced sense of safety of MEN in community broken down by proximity to the Frontline / Russian border on the a...")</f>
        <v>Security factors that reportedly influenced sense of safety of MEN in community broken down by proximity to the Frontline / Russian border on the a...</v>
      </c>
    </row>
    <row r="493" spans="2:5" ht="15.75">
      <c r="B493" s="7" t="s">
        <v>103</v>
      </c>
      <c r="C493" s="8" t="s">
        <v>111</v>
      </c>
      <c r="D493" s="1">
        <v>857</v>
      </c>
      <c r="E493" s="2" t="str">
        <f>HYPERLINK("#'Data'!A4822", "Security factors that reportedly influenced sense of safety of MEN in community broken down by member with WGSS disability on the admin of overall ...")</f>
        <v>Security factors that reportedly influenced sense of safety of MEN in community broken down by member with WGSS disability on the admin of overall ...</v>
      </c>
    </row>
    <row r="494" spans="2:5" ht="15.75">
      <c r="B494" s="5" t="s">
        <v>103</v>
      </c>
      <c r="C494" s="6" t="s">
        <v>111</v>
      </c>
      <c r="D494" s="1">
        <v>858</v>
      </c>
      <c r="E494" s="2" t="str">
        <f>HYPERLINK("#'Data'!A4830", "Security factors that reportedly influenced sense of safety of MEN in community broken down by displacement status of HoH on the admin of overall p...")</f>
        <v>Security factors that reportedly influenced sense of safety of MEN in community broken down by displacement status of HoH on the admin of overall p...</v>
      </c>
    </row>
    <row r="495" spans="2:5" ht="15.75">
      <c r="B495" s="7" t="s">
        <v>103</v>
      </c>
      <c r="C495" s="8" t="s">
        <v>111</v>
      </c>
      <c r="D495" s="1">
        <v>859</v>
      </c>
      <c r="E495" s="2" t="str">
        <f>HYPERLINK("#'Data'!A4836", "Security factors that reportedly influenced sense of safety of MEN in community broken down by household size on the admin of overall perc")</f>
        <v>Security factors that reportedly influenced sense of safety of MEN in community broken down by household size on the admin of overall perc</v>
      </c>
    </row>
    <row r="496" spans="2:5" ht="15.75">
      <c r="B496" s="5" t="s">
        <v>103</v>
      </c>
      <c r="C496" s="6" t="s">
        <v>111</v>
      </c>
      <c r="D496" s="1">
        <v>860</v>
      </c>
      <c r="E496" s="2" t="str">
        <f>HYPERLINK("#'Data'!A4846", "Security factors that reportedly influenced sense of safety of MEN in community broken down by single/joint headed HHs on the admin of overall perc")</f>
        <v>Security factors that reportedly influenced sense of safety of MEN in community broken down by single/joint headed HHs on the admin of overall perc</v>
      </c>
    </row>
    <row r="497" spans="2:5" ht="15.75">
      <c r="B497" s="7" t="s">
        <v>103</v>
      </c>
      <c r="C497" s="8" t="s">
        <v>112</v>
      </c>
      <c r="D497" s="1">
        <v>862</v>
      </c>
      <c r="E497" s="2" t="str">
        <f>HYPERLINK("#'Data'!A4856", "Security factors that reportedly influenced sense of safety of CHILDREN in community broken down by gender of respondent on the admin of overall pe...")</f>
        <v>Security factors that reportedly influenced sense of safety of CHILDREN in community broken down by gender of respondent on the admin of overall pe...</v>
      </c>
    </row>
    <row r="498" spans="2:5" ht="15.75">
      <c r="B498" s="5" t="s">
        <v>103</v>
      </c>
      <c r="C498" s="6" t="s">
        <v>112</v>
      </c>
      <c r="D498" s="1">
        <v>863</v>
      </c>
      <c r="E498" s="2" t="str">
        <f>HYPERLINK("#'Data'!A4864", "Security factors that reportedly influenced sense of safety of CHILDREN in community broken down by presence of children on the admin of overall pe...")</f>
        <v>Security factors that reportedly influenced sense of safety of CHILDREN in community broken down by presence of children on the admin of overall pe...</v>
      </c>
    </row>
    <row r="499" spans="2:5" ht="15.75">
      <c r="B499" s="7" t="s">
        <v>103</v>
      </c>
      <c r="C499" s="8" t="s">
        <v>112</v>
      </c>
      <c r="D499" s="1">
        <v>864</v>
      </c>
      <c r="E499" s="2" t="str">
        <f>HYPERLINK("#'Data'!A4872", "Security factors that reportedly influenced sense of safety of CHILDREN in community broken down by age of respondents on the admin of overall perc")</f>
        <v>Security factors that reportedly influenced sense of safety of CHILDREN in community broken down by age of respondents on the admin of overall perc</v>
      </c>
    </row>
    <row r="500" spans="2:5" ht="15.75">
      <c r="B500" s="5" t="s">
        <v>103</v>
      </c>
      <c r="C500" s="6" t="s">
        <v>112</v>
      </c>
      <c r="D500" s="1">
        <v>865</v>
      </c>
      <c r="E500" s="2" t="str">
        <f>HYPERLINK("#'Data'!A4884", "Security factors that reportedly influenced sense of safety of CHILDREN in community broken down by rural / urban on the admin of overall perc")</f>
        <v>Security factors that reportedly influenced sense of safety of CHILDREN in community broken down by rural / urban on the admin of overall perc</v>
      </c>
    </row>
    <row r="501" spans="2:5" ht="15.75">
      <c r="B501" s="7" t="s">
        <v>103</v>
      </c>
      <c r="C501" s="8" t="s">
        <v>112</v>
      </c>
      <c r="D501" s="1">
        <v>866</v>
      </c>
      <c r="E501" s="2" t="str">
        <f>HYPERLINK("#'Data'!A4892", "Security factors that reportedly influenced sense of safety of CHILDREN in community broken down by proximity to the Frontline / Russian border on ...")</f>
        <v>Security factors that reportedly influenced sense of safety of CHILDREN in community broken down by proximity to the Frontline / Russian border on ...</v>
      </c>
    </row>
    <row r="502" spans="2:5" ht="15.75">
      <c r="B502" s="5" t="s">
        <v>103</v>
      </c>
      <c r="C502" s="6" t="s">
        <v>112</v>
      </c>
      <c r="D502" s="1">
        <v>867</v>
      </c>
      <c r="E502" s="2" t="str">
        <f>HYPERLINK("#'Data'!A4902", "Security factors that reportedly influenced sense of safety of CHILDREN in community broken down by member with WGSS disability on the admin of ove...")</f>
        <v>Security factors that reportedly influenced sense of safety of CHILDREN in community broken down by member with WGSS disability on the admin of ove...</v>
      </c>
    </row>
    <row r="503" spans="2:5" ht="15.75">
      <c r="B503" s="7" t="s">
        <v>103</v>
      </c>
      <c r="C503" s="8" t="s">
        <v>112</v>
      </c>
      <c r="D503" s="1">
        <v>868</v>
      </c>
      <c r="E503" s="2" t="str">
        <f>HYPERLINK("#'Data'!A4910", "Security factors that reportedly influenced sense of safety of CHILDREN in community broken down by displacement status of HoH on the admin of over...")</f>
        <v>Security factors that reportedly influenced sense of safety of CHILDREN in community broken down by displacement status of HoH on the admin of over...</v>
      </c>
    </row>
    <row r="504" spans="2:5" ht="15.75">
      <c r="B504" s="5" t="s">
        <v>103</v>
      </c>
      <c r="C504" s="6" t="s">
        <v>112</v>
      </c>
      <c r="D504" s="1">
        <v>869</v>
      </c>
      <c r="E504" s="2" t="str">
        <f>HYPERLINK("#'Data'!A4916", "Security factors that reportedly influenced sense of safety of CHILDREN in community broken down by household size on the admin of overall perc")</f>
        <v>Security factors that reportedly influenced sense of safety of CHILDREN in community broken down by household size on the admin of overall perc</v>
      </c>
    </row>
    <row r="505" spans="2:5" ht="15.75">
      <c r="B505" s="7" t="s">
        <v>103</v>
      </c>
      <c r="C505" s="8" t="s">
        <v>112</v>
      </c>
      <c r="D505" s="1">
        <v>870</v>
      </c>
      <c r="E505" s="2" t="str">
        <f>HYPERLINK("#'Data'!A4926", "Security factors that reportedly influenced sense of safety of CHILDREN in community broken down by single/joint headed HHs on the admin of overall...")</f>
        <v>Security factors that reportedly influenced sense of safety of CHILDREN in community broken down by single/joint headed HHs on the admin of overall...</v>
      </c>
    </row>
    <row r="506" spans="2:5" ht="15.75">
      <c r="B506" s="5" t="s">
        <v>103</v>
      </c>
      <c r="C506" s="6" t="s">
        <v>113</v>
      </c>
      <c r="D506" s="1">
        <v>872</v>
      </c>
      <c r="E506" s="2" t="str">
        <f>HYPERLINK("#'Data'!A4936", "Housing/land/property (HLP) concerns households reported experiencing broken down by rural / urban on the admin of overall perc")</f>
        <v>Housing/land/property (HLP) concerns households reported experiencing broken down by rural / urban on the admin of overall perc</v>
      </c>
    </row>
    <row r="507" spans="2:5" ht="15.75">
      <c r="B507" s="7" t="s">
        <v>103</v>
      </c>
      <c r="C507" s="8" t="s">
        <v>113</v>
      </c>
      <c r="D507" s="1">
        <v>873</v>
      </c>
      <c r="E507" s="2" t="str">
        <f>HYPERLINK("#'Data'!A4944", "Housing/land/property (HLP) concerns households reported experiencing broken down by proximity to the Frontline / Russian border on the admin of ov...")</f>
        <v>Housing/land/property (HLP) concerns households reported experiencing broken down by proximity to the Frontline / Russian border on the admin of ov...</v>
      </c>
    </row>
    <row r="508" spans="2:5" ht="15.75">
      <c r="B508" s="5" t="s">
        <v>103</v>
      </c>
      <c r="C508" s="6" t="s">
        <v>113</v>
      </c>
      <c r="D508" s="1">
        <v>874</v>
      </c>
      <c r="E508" s="2" t="str">
        <f>HYPERLINK("#'Data'!A4954", "Housing/land/property (HLP) concerns households reported experiencing broken down by member with WGSS disability on the admin of overall perc")</f>
        <v>Housing/land/property (HLP) concerns households reported experiencing broken down by member with WGSS disability on the admin of overall perc</v>
      </c>
    </row>
    <row r="509" spans="2:5" ht="15.75">
      <c r="B509" s="7" t="s">
        <v>103</v>
      </c>
      <c r="C509" s="8" t="s">
        <v>113</v>
      </c>
      <c r="D509" s="1">
        <v>875</v>
      </c>
      <c r="E509" s="2" t="str">
        <f>HYPERLINK("#'Data'!A4962", "Housing/land/property (HLP) concerns households reported experiencing broken down by displacement status of HoH on the admin of overall perc")</f>
        <v>Housing/land/property (HLP) concerns households reported experiencing broken down by displacement status of HoH on the admin of overall perc</v>
      </c>
    </row>
    <row r="510" spans="2:5" ht="15.75">
      <c r="B510" s="5" t="s">
        <v>103</v>
      </c>
      <c r="C510" s="6" t="s">
        <v>113</v>
      </c>
      <c r="D510" s="1">
        <v>876</v>
      </c>
      <c r="E510" s="2" t="str">
        <f>HYPERLINK("#'Data'!A4968", "Housing/land/property (HLP) concerns households reported experiencing broken down by household size on the admin of overall perc")</f>
        <v>Housing/land/property (HLP) concerns households reported experiencing broken down by household size on the admin of overall perc</v>
      </c>
    </row>
    <row r="511" spans="2:5" ht="15.75">
      <c r="B511" s="7" t="s">
        <v>103</v>
      </c>
      <c r="C511" s="8" t="s">
        <v>113</v>
      </c>
      <c r="D511" s="1">
        <v>877</v>
      </c>
      <c r="E511" s="2" t="str">
        <f>HYPERLINK("#'Data'!A4978", "Housing/land/property (HLP) concerns households reported experiencing broken down by single/joint headed HHs on the admin of overall perc")</f>
        <v>Housing/land/property (HLP) concerns households reported experiencing broken down by single/joint headed HHs on the admin of overall perc</v>
      </c>
    </row>
    <row r="512" spans="2:5" ht="15.75">
      <c r="B512" s="5" t="s">
        <v>114</v>
      </c>
      <c r="C512" s="6" t="s">
        <v>115</v>
      </c>
      <c r="D512" s="1">
        <v>879</v>
      </c>
      <c r="E512" s="2" t="str">
        <f>HYPERLINK("#'Data'!A4988", "Number of times Household members reportedly were trained on safe behaviours towards Explosive Ordnances  broken down by rural / urban on the admin...")</f>
        <v>Number of times Household members reportedly were trained on safe behaviours towards Explosive Ordnances  broken down by rural / urban on the admin...</v>
      </c>
    </row>
    <row r="513" spans="2:5" ht="15.75">
      <c r="B513" s="7" t="s">
        <v>114</v>
      </c>
      <c r="C513" s="8" t="s">
        <v>115</v>
      </c>
      <c r="D513" s="1">
        <v>880</v>
      </c>
      <c r="E513" s="2" t="str">
        <f>HYPERLINK("#'Data'!A4996", "Number of times Household members reportedly were trained on safe behaviours towards Explosive Ordnances  broken down by proximity to the Frontline...")</f>
        <v>Number of times Household members reportedly were trained on safe behaviours towards Explosive Ordnances  broken down by proximity to the Frontline...</v>
      </c>
    </row>
    <row r="514" spans="2:5" ht="15.75">
      <c r="B514" s="5" t="s">
        <v>114</v>
      </c>
      <c r="C514" s="6" t="s">
        <v>115</v>
      </c>
      <c r="D514" s="1">
        <v>881</v>
      </c>
      <c r="E514" s="2" t="str">
        <f>HYPERLINK("#'Data'!A5006", "Number of times Household members reportedly were trained on safe behaviours towards Explosive Ordnances  broken down by member with WGSS disabilit...")</f>
        <v>Number of times Household members reportedly were trained on safe behaviours towards Explosive Ordnances  broken down by member with WGSS disabilit...</v>
      </c>
    </row>
    <row r="515" spans="2:5" ht="15.75">
      <c r="B515" s="7" t="s">
        <v>114</v>
      </c>
      <c r="C515" s="8" t="s">
        <v>115</v>
      </c>
      <c r="D515" s="1">
        <v>882</v>
      </c>
      <c r="E515" s="2" t="str">
        <f>HYPERLINK("#'Data'!A5014", "Number of times Household members reportedly were trained on safe behaviours towards Explosive Ordnances  broken down by displacement status of HoH...")</f>
        <v>Number of times Household members reportedly were trained on safe behaviours towards Explosive Ordnances  broken down by displacement status of HoH...</v>
      </c>
    </row>
    <row r="516" spans="2:5" ht="15.75">
      <c r="B516" s="5" t="s">
        <v>114</v>
      </c>
      <c r="C516" s="6" t="s">
        <v>115</v>
      </c>
      <c r="D516" s="1">
        <v>883</v>
      </c>
      <c r="E516" s="2" t="str">
        <f>HYPERLINK("#'Data'!A5020", "Number of times Household members reportedly were trained on safe behaviours towards Explosive Ordnances  broken down by household size on the admi...")</f>
        <v>Number of times Household members reportedly were trained on safe behaviours towards Explosive Ordnances  broken down by household size on the admi...</v>
      </c>
    </row>
    <row r="517" spans="2:5" ht="15.75">
      <c r="B517" s="7" t="s">
        <v>114</v>
      </c>
      <c r="C517" s="8" t="s">
        <v>115</v>
      </c>
      <c r="D517" s="1">
        <v>884</v>
      </c>
      <c r="E517" s="2" t="str">
        <f>HYPERLINK("#'Data'!A5030", "Number of times Household members reportedly were trained on safe behaviours towards Explosive Ordnances  broken down by single/joint headed HHs on...")</f>
        <v>Number of times Household members reportedly were trained on safe behaviours towards Explosive Ordnances  broken down by single/joint headed HHs on...</v>
      </c>
    </row>
    <row r="518" spans="2:5" ht="15.75">
      <c r="B518" s="5" t="s">
        <v>114</v>
      </c>
      <c r="C518" s="6" t="s">
        <v>116</v>
      </c>
      <c r="D518" s="1">
        <v>886</v>
      </c>
      <c r="E518" s="2" t="str">
        <f>HYPERLINK("#'Data'!A5040", "Households Reporting Explosive Ordnance Currently Present in their Community broken down by rural / urban on the admin of overall perc")</f>
        <v>Households Reporting Explosive Ordnance Currently Present in their Community broken down by rural / urban on the admin of overall perc</v>
      </c>
    </row>
    <row r="519" spans="2:5" ht="15.75">
      <c r="B519" s="7" t="s">
        <v>114</v>
      </c>
      <c r="C519" s="8" t="s">
        <v>116</v>
      </c>
      <c r="D519" s="1">
        <v>887</v>
      </c>
      <c r="E519" s="2" t="str">
        <f>HYPERLINK("#'Data'!A5048", "Households Reporting Explosive Ordnance Currently Present in their Community broken down by proximity to the Frontline / Russian border on the admi...")</f>
        <v>Households Reporting Explosive Ordnance Currently Present in their Community broken down by proximity to the Frontline / Russian border on the admi...</v>
      </c>
    </row>
    <row r="520" spans="2:5" ht="15.75">
      <c r="B520" s="5" t="s">
        <v>114</v>
      </c>
      <c r="C520" s="6" t="s">
        <v>116</v>
      </c>
      <c r="D520" s="1">
        <v>888</v>
      </c>
      <c r="E520" s="2" t="str">
        <f>HYPERLINK("#'Data'!A5058", "Households Reporting Explosive Ordnance Currently Present in their Community broken down by member with WGSS disability on the admin of overall per...")</f>
        <v>Households Reporting Explosive Ordnance Currently Present in their Community broken down by member with WGSS disability on the admin of overall per...</v>
      </c>
    </row>
    <row r="521" spans="2:5" ht="15.75">
      <c r="B521" s="7" t="s">
        <v>114</v>
      </c>
      <c r="C521" s="8" t="s">
        <v>116</v>
      </c>
      <c r="D521" s="1">
        <v>889</v>
      </c>
      <c r="E521" s="2" t="str">
        <f>HYPERLINK("#'Data'!A5066", "Households Reporting Explosive Ordnance Currently Present in their Community broken down by displacement status of HoH on the admin of overall perc")</f>
        <v>Households Reporting Explosive Ordnance Currently Present in their Community broken down by displacement status of HoH on the admin of overall perc</v>
      </c>
    </row>
    <row r="522" spans="2:5" ht="15.75">
      <c r="B522" s="5" t="s">
        <v>114</v>
      </c>
      <c r="C522" s="6" t="s">
        <v>116</v>
      </c>
      <c r="D522" s="1">
        <v>890</v>
      </c>
      <c r="E522" s="2" t="str">
        <f>HYPERLINK("#'Data'!A5072", "Households Reporting Explosive Ordnance Currently Present in their Community broken down by household size on the admin of overall perc")</f>
        <v>Households Reporting Explosive Ordnance Currently Present in their Community broken down by household size on the admin of overall perc</v>
      </c>
    </row>
    <row r="523" spans="2:5" ht="15.75">
      <c r="B523" s="7" t="s">
        <v>114</v>
      </c>
      <c r="C523" s="8" t="s">
        <v>116</v>
      </c>
      <c r="D523" s="1">
        <v>891</v>
      </c>
      <c r="E523" s="2" t="str">
        <f>HYPERLINK("#'Data'!A5082", "Households Reporting Explosive Ordnance Currently Present in their Community broken down by single/joint headed HHs on the admin of overall perc")</f>
        <v>Households Reporting Explosive Ordnance Currently Present in their Community broken down by single/joint headed HHs on the admin of overall perc</v>
      </c>
    </row>
    <row r="524" spans="2:5" ht="15.75">
      <c r="B524" s="5" t="s">
        <v>114</v>
      </c>
      <c r="C524" s="6" t="s">
        <v>117</v>
      </c>
      <c r="D524" s="1">
        <v>893</v>
      </c>
      <c r="E524" s="2" t="str">
        <f>HYPERLINK("#'Data'!A5092", "Households Reporting that Explosive Ordnance Affect the Livelihoods of People within their Community broken down by rural / urban on the admin of o...")</f>
        <v>Households Reporting that Explosive Ordnance Affect the Livelihoods of People within their Community broken down by rural / urban on the admin of o...</v>
      </c>
    </row>
    <row r="525" spans="2:5" ht="15.75">
      <c r="B525" s="7" t="s">
        <v>114</v>
      </c>
      <c r="C525" s="8" t="s">
        <v>117</v>
      </c>
      <c r="D525" s="1">
        <v>894</v>
      </c>
      <c r="E525" s="2" t="str">
        <f>HYPERLINK("#'Data'!A5100", "Households Reporting that Explosive Ordnance Affect the Livelihoods of People within their Community broken down by proximity to the Frontline / Ru...")</f>
        <v>Households Reporting that Explosive Ordnance Affect the Livelihoods of People within their Community broken down by proximity to the Frontline / Ru...</v>
      </c>
    </row>
    <row r="526" spans="2:5" ht="15.75">
      <c r="B526" s="5" t="s">
        <v>114</v>
      </c>
      <c r="C526" s="6" t="s">
        <v>117</v>
      </c>
      <c r="D526" s="1">
        <v>895</v>
      </c>
      <c r="E526" s="2" t="str">
        <f>HYPERLINK("#'Data'!A5110", "Households Reporting that Explosive Ordnance Affect the Livelihoods of People within their Community broken down by member with WGSS disability on ...")</f>
        <v>Households Reporting that Explosive Ordnance Affect the Livelihoods of People within their Community broken down by member with WGSS disability on ...</v>
      </c>
    </row>
    <row r="527" spans="2:5" ht="15.75">
      <c r="B527" s="7" t="s">
        <v>114</v>
      </c>
      <c r="C527" s="8" t="s">
        <v>117</v>
      </c>
      <c r="D527" s="1">
        <v>896</v>
      </c>
      <c r="E527" s="2" t="str">
        <f>HYPERLINK("#'Data'!A5118", "Households Reporting that Explosive Ordnance Affect the Livelihoods of People within their Community broken down by displacement status of HoH on t...")</f>
        <v>Households Reporting that Explosive Ordnance Affect the Livelihoods of People within their Community broken down by displacement status of HoH on t...</v>
      </c>
    </row>
    <row r="528" spans="2:5" ht="15.75">
      <c r="B528" s="5" t="s">
        <v>114</v>
      </c>
      <c r="C528" s="6" t="s">
        <v>117</v>
      </c>
      <c r="D528" s="1">
        <v>897</v>
      </c>
      <c r="E528" s="2" t="str">
        <f>HYPERLINK("#'Data'!A5124", "Households Reporting that Explosive Ordnance Affect the Livelihoods of People within their Community broken down by household size on the admin of ...")</f>
        <v>Households Reporting that Explosive Ordnance Affect the Livelihoods of People within their Community broken down by household size on the admin of ...</v>
      </c>
    </row>
    <row r="529" spans="2:5" ht="15.75">
      <c r="B529" s="7" t="s">
        <v>114</v>
      </c>
      <c r="C529" s="8" t="s">
        <v>117</v>
      </c>
      <c r="D529" s="1">
        <v>898</v>
      </c>
      <c r="E529" s="2" t="str">
        <f>HYPERLINK("#'Data'!A5134", "Households Reporting that Explosive Ordnance Affect the Livelihoods of People within their Community broken down by single/joint headed HHs on the ...")</f>
        <v>Households Reporting that Explosive Ordnance Affect the Livelihoods of People within their Community broken down by single/joint headed HHs on the ...</v>
      </c>
    </row>
    <row r="530" spans="2:5" ht="15.75">
      <c r="B530" s="5" t="s">
        <v>91</v>
      </c>
      <c r="C530" s="6" t="s">
        <v>118</v>
      </c>
      <c r="D530" s="1">
        <v>900</v>
      </c>
      <c r="E530" s="2" t="str">
        <f>HYPERLINK("#'Data'!A5144", "Households describing their shelter situation broken down by rural / urban on the admin of overall perc")</f>
        <v>Households describing their shelter situation broken down by rural / urban on the admin of overall perc</v>
      </c>
    </row>
    <row r="531" spans="2:5" ht="15.75">
      <c r="B531" s="7" t="s">
        <v>91</v>
      </c>
      <c r="C531" s="8" t="s">
        <v>118</v>
      </c>
      <c r="D531" s="1">
        <v>901</v>
      </c>
      <c r="E531" s="2" t="str">
        <f>HYPERLINK("#'Data'!A5152", "Households describing their shelter situation broken down by proximity to the Frontline / Russian border on the admin of overall perc")</f>
        <v>Households describing their shelter situation broken down by proximity to the Frontline / Russian border on the admin of overall perc</v>
      </c>
    </row>
    <row r="532" spans="2:5" ht="15.75">
      <c r="B532" s="5" t="s">
        <v>91</v>
      </c>
      <c r="C532" s="6" t="s">
        <v>118</v>
      </c>
      <c r="D532" s="1">
        <v>902</v>
      </c>
      <c r="E532" s="2" t="str">
        <f>HYPERLINK("#'Data'!A5162", "Households describing their shelter situation broken down by member with WGSS disability on the admin of overall perc")</f>
        <v>Households describing their shelter situation broken down by member with WGSS disability on the admin of overall perc</v>
      </c>
    </row>
    <row r="533" spans="2:5" ht="15.75">
      <c r="B533" s="7" t="s">
        <v>91</v>
      </c>
      <c r="C533" s="8" t="s">
        <v>118</v>
      </c>
      <c r="D533" s="1">
        <v>903</v>
      </c>
      <c r="E533" s="2" t="str">
        <f>HYPERLINK("#'Data'!A5170", "Households describing their shelter situation broken down by displacement status of HoH on the admin of overall perc")</f>
        <v>Households describing their shelter situation broken down by displacement status of HoH on the admin of overall perc</v>
      </c>
    </row>
    <row r="534" spans="2:5" ht="15.75">
      <c r="B534" s="5" t="s">
        <v>91</v>
      </c>
      <c r="C534" s="6" t="s">
        <v>118</v>
      </c>
      <c r="D534" s="1">
        <v>904</v>
      </c>
      <c r="E534" s="2" t="str">
        <f>HYPERLINK("#'Data'!A5176", "Households describing their shelter situation broken down by household size on the admin of overall perc")</f>
        <v>Households describing their shelter situation broken down by household size on the admin of overall perc</v>
      </c>
    </row>
    <row r="535" spans="2:5" ht="15.75">
      <c r="B535" s="7" t="s">
        <v>91</v>
      </c>
      <c r="C535" s="8" t="s">
        <v>118</v>
      </c>
      <c r="D535" s="1">
        <v>905</v>
      </c>
      <c r="E535" s="2" t="str">
        <f>HYPERLINK("#'Data'!A5186", "Households describing their shelter situation broken down by single/joint headed HHs on the admin of overall perc")</f>
        <v>Households describing their shelter situation broken down by single/joint headed HHs on the admin of overall perc</v>
      </c>
    </row>
    <row r="536" spans="2:5" ht="15.75">
      <c r="B536" s="5" t="s">
        <v>91</v>
      </c>
      <c r="C536" s="6" t="s">
        <v>119</v>
      </c>
      <c r="D536" s="1">
        <v>907</v>
      </c>
      <c r="E536" s="2" t="str">
        <f>HYPERLINK("#'Data'!A5196", "Households reporting type of shelter they live in broken down by rural / urban on the admin of overall perc")</f>
        <v>Households reporting type of shelter they live in broken down by rural / urban on the admin of overall perc</v>
      </c>
    </row>
    <row r="537" spans="2:5" ht="15.75">
      <c r="B537" s="7" t="s">
        <v>91</v>
      </c>
      <c r="C537" s="8" t="s">
        <v>119</v>
      </c>
      <c r="D537" s="1">
        <v>908</v>
      </c>
      <c r="E537" s="2" t="str">
        <f>HYPERLINK("#'Data'!A5204", "Households reporting type of shelter they live in broken down by proximity to the Frontline / Russian border on the admin of overall perc")</f>
        <v>Households reporting type of shelter they live in broken down by proximity to the Frontline / Russian border on the admin of overall perc</v>
      </c>
    </row>
    <row r="538" spans="2:5" ht="15.75">
      <c r="B538" s="5" t="s">
        <v>91</v>
      </c>
      <c r="C538" s="6" t="s">
        <v>119</v>
      </c>
      <c r="D538" s="1">
        <v>909</v>
      </c>
      <c r="E538" s="2" t="str">
        <f>HYPERLINK("#'Data'!A5214", "Households reporting type of shelter they live in broken down by member with WGSS disability on the admin of overall perc")</f>
        <v>Households reporting type of shelter they live in broken down by member with WGSS disability on the admin of overall perc</v>
      </c>
    </row>
    <row r="539" spans="2:5" ht="15.75">
      <c r="B539" s="7" t="s">
        <v>91</v>
      </c>
      <c r="C539" s="8" t="s">
        <v>119</v>
      </c>
      <c r="D539" s="1">
        <v>910</v>
      </c>
      <c r="E539" s="2" t="str">
        <f>HYPERLINK("#'Data'!A5222", "Households reporting type of shelter they live in broken down by displacement status of HoH on the admin of overall perc")</f>
        <v>Households reporting type of shelter they live in broken down by displacement status of HoH on the admin of overall perc</v>
      </c>
    </row>
    <row r="540" spans="2:5" ht="15.75">
      <c r="B540" s="5" t="s">
        <v>91</v>
      </c>
      <c r="C540" s="6" t="s">
        <v>119</v>
      </c>
      <c r="D540" s="1">
        <v>911</v>
      </c>
      <c r="E540" s="2" t="str">
        <f>HYPERLINK("#'Data'!A5228", "Households reporting type of shelter they live in broken down by household size on the admin of overall perc")</f>
        <v>Households reporting type of shelter they live in broken down by household size on the admin of overall perc</v>
      </c>
    </row>
    <row r="541" spans="2:5" ht="15.75">
      <c r="B541" s="7" t="s">
        <v>91</v>
      </c>
      <c r="C541" s="8" t="s">
        <v>119</v>
      </c>
      <c r="D541" s="1">
        <v>912</v>
      </c>
      <c r="E541" s="2" t="str">
        <f>HYPERLINK("#'Data'!A5238", "Households reporting type of shelter they live in broken down by single/joint headed HHs on the admin of overall perc")</f>
        <v>Households reporting type of shelter they live in broken down by single/joint headed HHs on the admin of overall perc</v>
      </c>
    </row>
    <row r="542" spans="2:5" ht="15.75">
      <c r="B542" s="5" t="s">
        <v>91</v>
      </c>
      <c r="C542" s="6" t="s">
        <v>120</v>
      </c>
      <c r="D542" s="1">
        <v>914</v>
      </c>
      <c r="E542" s="2" t="str">
        <f>HYPERLINK("#'Data'!A5248", "Households reporting number of square meters in their shelter broken down by rural / urban on the admin of overall mean")</f>
        <v>Households reporting number of square meters in their shelter broken down by rural / urban on the admin of overall mean</v>
      </c>
    </row>
    <row r="543" spans="2:5" ht="15.75">
      <c r="B543" s="7" t="s">
        <v>91</v>
      </c>
      <c r="C543" s="8" t="s">
        <v>120</v>
      </c>
      <c r="D543" s="1">
        <v>915</v>
      </c>
      <c r="E543" s="2" t="str">
        <f>HYPERLINK("#'Data'!A5256", "Households reporting number of square meters in their shelter broken down by proximity to the Frontline / Russian border on the admin of overall me...")</f>
        <v>Households reporting number of square meters in their shelter broken down by proximity to the Frontline / Russian border on the admin of overall me...</v>
      </c>
    </row>
    <row r="544" spans="2:5" ht="15.75">
      <c r="B544" s="5" t="s">
        <v>91</v>
      </c>
      <c r="C544" s="6" t="s">
        <v>120</v>
      </c>
      <c r="D544" s="1">
        <v>916</v>
      </c>
      <c r="E544" s="2" t="str">
        <f>HYPERLINK("#'Data'!A5266", "Households reporting number of square meters in their shelter broken down by member with WGSS disability on the admin of overall mean")</f>
        <v>Households reporting number of square meters in their shelter broken down by member with WGSS disability on the admin of overall mean</v>
      </c>
    </row>
    <row r="545" spans="2:5" ht="15.75">
      <c r="B545" s="7" t="s">
        <v>91</v>
      </c>
      <c r="C545" s="8" t="s">
        <v>120</v>
      </c>
      <c r="D545" s="1">
        <v>917</v>
      </c>
      <c r="E545" s="2" t="str">
        <f>HYPERLINK("#'Data'!A5274", "Households reporting number of square meters in their shelter broken down by displacement status of HoH on the admin of overall mean")</f>
        <v>Households reporting number of square meters in their shelter broken down by displacement status of HoH on the admin of overall mean</v>
      </c>
    </row>
    <row r="546" spans="2:5" ht="15.75">
      <c r="B546" s="5" t="s">
        <v>91</v>
      </c>
      <c r="C546" s="6" t="s">
        <v>120</v>
      </c>
      <c r="D546" s="1">
        <v>918</v>
      </c>
      <c r="E546" s="2" t="str">
        <f>HYPERLINK("#'Data'!A5280", "Households reporting number of square meters in their shelter broken down by household size on the admin of overall mean")</f>
        <v>Households reporting number of square meters in their shelter broken down by household size on the admin of overall mean</v>
      </c>
    </row>
    <row r="547" spans="2:5" ht="15.75">
      <c r="B547" s="7" t="s">
        <v>91</v>
      </c>
      <c r="C547" s="8" t="s">
        <v>120</v>
      </c>
      <c r="D547" s="1">
        <v>919</v>
      </c>
      <c r="E547" s="2" t="str">
        <f>HYPERLINK("#'Data'!A5290", "Households reporting number of square meters in their shelter broken down by single/joint headed HHs on the admin of overall mean")</f>
        <v>Households reporting number of square meters in their shelter broken down by single/joint headed HHs on the admin of overall mean</v>
      </c>
    </row>
    <row r="548" spans="2:5" ht="15.75">
      <c r="B548" s="5" t="s">
        <v>91</v>
      </c>
      <c r="C548" s="6" t="s">
        <v>121</v>
      </c>
      <c r="D548" s="1">
        <v>921</v>
      </c>
      <c r="E548" s="2" t="str">
        <f>HYPERLINK("#'Data'!A5300", "Households reporting number of individuals living in their current shelter broken down by rural / urban on the admin of overall mean")</f>
        <v>Households reporting number of individuals living in their current shelter broken down by rural / urban on the admin of overall mean</v>
      </c>
    </row>
    <row r="549" spans="2:5" ht="15.75">
      <c r="B549" s="7" t="s">
        <v>91</v>
      </c>
      <c r="C549" s="8" t="s">
        <v>121</v>
      </c>
      <c r="D549" s="1">
        <v>922</v>
      </c>
      <c r="E549" s="2" t="str">
        <f>HYPERLINK("#'Data'!A5308", "Households reporting number of individuals living in their current shelter broken down by proximity to the Frontline / Russian border on the admin ...")</f>
        <v>Households reporting number of individuals living in their current shelter broken down by proximity to the Frontline / Russian border on the admin ...</v>
      </c>
    </row>
    <row r="550" spans="2:5" ht="15.75">
      <c r="B550" s="5" t="s">
        <v>91</v>
      </c>
      <c r="C550" s="6" t="s">
        <v>121</v>
      </c>
      <c r="D550" s="1">
        <v>923</v>
      </c>
      <c r="E550" s="2" t="str">
        <f>HYPERLINK("#'Data'!A5318", "Households reporting number of individuals living in their current shelter broken down by member with WGSS disability on the admin of overall mean")</f>
        <v>Households reporting number of individuals living in their current shelter broken down by member with WGSS disability on the admin of overall mean</v>
      </c>
    </row>
    <row r="551" spans="2:5" ht="15.75">
      <c r="B551" s="7" t="s">
        <v>91</v>
      </c>
      <c r="C551" s="8" t="s">
        <v>121</v>
      </c>
      <c r="D551" s="1">
        <v>924</v>
      </c>
      <c r="E551" s="2" t="str">
        <f>HYPERLINK("#'Data'!A5326", "Households reporting number of individuals living in their current shelter broken down by displacement status of HoH on the admin of overall mean")</f>
        <v>Households reporting number of individuals living in their current shelter broken down by displacement status of HoH on the admin of overall mean</v>
      </c>
    </row>
    <row r="552" spans="2:5" ht="15.75">
      <c r="B552" s="5" t="s">
        <v>91</v>
      </c>
      <c r="C552" s="6" t="s">
        <v>121</v>
      </c>
      <c r="D552" s="1">
        <v>925</v>
      </c>
      <c r="E552" s="2" t="str">
        <f>HYPERLINK("#'Data'!A5332", "Households reporting number of individuals living in their current shelter broken down by household size on the admin of overall mean")</f>
        <v>Households reporting number of individuals living in their current shelter broken down by household size on the admin of overall mean</v>
      </c>
    </row>
    <row r="553" spans="2:5" ht="15.75">
      <c r="B553" s="7" t="s">
        <v>91</v>
      </c>
      <c r="C553" s="8" t="s">
        <v>121</v>
      </c>
      <c r="D553" s="1">
        <v>926</v>
      </c>
      <c r="E553" s="2" t="str">
        <f>HYPERLINK("#'Data'!A5342", "Households reporting number of individuals living in their current shelter broken down by single/joint headed HHs on the admin of overall mean")</f>
        <v>Households reporting number of individuals living in their current shelter broken down by single/joint headed HHs on the admin of overall mean</v>
      </c>
    </row>
    <row r="554" spans="2:5" ht="15.75">
      <c r="B554" s="5" t="s">
        <v>91</v>
      </c>
      <c r="C554" s="6" t="s">
        <v>122</v>
      </c>
      <c r="D554" s="1">
        <v>928</v>
      </c>
      <c r="E554" s="2" t="str">
        <f>HYPERLINK("#'Data'!A5352", "Shelter overcrowding broken down by rural / urban on the admin of overall mean")</f>
        <v>Shelter overcrowding broken down by rural / urban on the admin of overall mean</v>
      </c>
    </row>
    <row r="555" spans="2:5" ht="15.75">
      <c r="B555" s="7" t="s">
        <v>91</v>
      </c>
      <c r="C555" s="8" t="s">
        <v>122</v>
      </c>
      <c r="D555" s="1">
        <v>929</v>
      </c>
      <c r="E555" s="2" t="str">
        <f>HYPERLINK("#'Data'!A5360", "Shelter overcrowding broken down by proximity to the Frontline / Russian border on the admin of overall mean")</f>
        <v>Shelter overcrowding broken down by proximity to the Frontline / Russian border on the admin of overall mean</v>
      </c>
    </row>
    <row r="556" spans="2:5" ht="15.75">
      <c r="B556" s="5" t="s">
        <v>91</v>
      </c>
      <c r="C556" s="6" t="s">
        <v>122</v>
      </c>
      <c r="D556" s="1">
        <v>930</v>
      </c>
      <c r="E556" s="2" t="str">
        <f>HYPERLINK("#'Data'!A5370", "Shelter overcrowding broken down by member with WGSS disability on the admin of overall mean")</f>
        <v>Shelter overcrowding broken down by member with WGSS disability on the admin of overall mean</v>
      </c>
    </row>
    <row r="557" spans="2:5" ht="15.75">
      <c r="B557" s="7" t="s">
        <v>91</v>
      </c>
      <c r="C557" s="8" t="s">
        <v>122</v>
      </c>
      <c r="D557" s="1">
        <v>931</v>
      </c>
      <c r="E557" s="2" t="str">
        <f>HYPERLINK("#'Data'!A5378", "Shelter overcrowding broken down by displacement status of HoH on the admin of overall mean")</f>
        <v>Shelter overcrowding broken down by displacement status of HoH on the admin of overall mean</v>
      </c>
    </row>
    <row r="558" spans="2:5" ht="15.75">
      <c r="B558" s="5" t="s">
        <v>91</v>
      </c>
      <c r="C558" s="6" t="s">
        <v>122</v>
      </c>
      <c r="D558" s="1">
        <v>932</v>
      </c>
      <c r="E558" s="2" t="str">
        <f>HYPERLINK("#'Data'!A5384", "Shelter overcrowding broken down by household size on the admin of overall mean")</f>
        <v>Shelter overcrowding broken down by household size on the admin of overall mean</v>
      </c>
    </row>
    <row r="559" spans="2:5" ht="15.75">
      <c r="B559" s="7" t="s">
        <v>91</v>
      </c>
      <c r="C559" s="8" t="s">
        <v>122</v>
      </c>
      <c r="D559" s="1">
        <v>933</v>
      </c>
      <c r="E559" s="2" t="str">
        <f>HYPERLINK("#'Data'!A5394", "Shelter overcrowding broken down by single/joint headed HHs on the admin of overall mean")</f>
        <v>Shelter overcrowding broken down by single/joint headed HHs on the admin of overall mean</v>
      </c>
    </row>
    <row r="560" spans="2:5" ht="15.75">
      <c r="B560" s="5" t="s">
        <v>91</v>
      </c>
      <c r="C560" s="6" t="s">
        <v>123</v>
      </c>
      <c r="D560" s="1">
        <v>935</v>
      </c>
      <c r="E560" s="2" t="str">
        <f>HYPERLINK("#'Data'!A5404", "Households reporting occupancy arrangement of their shelter broken down by rural / urban on the admin of overall perc")</f>
        <v>Households reporting occupancy arrangement of their shelter broken down by rural / urban on the admin of overall perc</v>
      </c>
    </row>
    <row r="561" spans="2:5" ht="15.75">
      <c r="B561" s="7" t="s">
        <v>91</v>
      </c>
      <c r="C561" s="8" t="s">
        <v>123</v>
      </c>
      <c r="D561" s="1">
        <v>936</v>
      </c>
      <c r="E561" s="2" t="str">
        <f>HYPERLINK("#'Data'!A5412", "Households reporting occupancy arrangement of their shelter broken down by proximity to the Frontline / Russian border on the admin of overall perc")</f>
        <v>Households reporting occupancy arrangement of their shelter broken down by proximity to the Frontline / Russian border on the admin of overall perc</v>
      </c>
    </row>
    <row r="562" spans="2:5" ht="15.75">
      <c r="B562" s="5" t="s">
        <v>91</v>
      </c>
      <c r="C562" s="6" t="s">
        <v>123</v>
      </c>
      <c r="D562" s="1">
        <v>937</v>
      </c>
      <c r="E562" s="2" t="str">
        <f>HYPERLINK("#'Data'!A5422", "Households reporting occupancy arrangement of their shelter broken down by member with WGSS disability on the admin of overall perc")</f>
        <v>Households reporting occupancy arrangement of their shelter broken down by member with WGSS disability on the admin of overall perc</v>
      </c>
    </row>
    <row r="563" spans="2:5" ht="15.75">
      <c r="B563" s="7" t="s">
        <v>91</v>
      </c>
      <c r="C563" s="8" t="s">
        <v>123</v>
      </c>
      <c r="D563" s="1">
        <v>938</v>
      </c>
      <c r="E563" s="2" t="str">
        <f>HYPERLINK("#'Data'!A5430", "Households reporting occupancy arrangement of their shelter broken down by displacement status of HoH on the admin of overall perc")</f>
        <v>Households reporting occupancy arrangement of their shelter broken down by displacement status of HoH on the admin of overall perc</v>
      </c>
    </row>
    <row r="564" spans="2:5" ht="15.75">
      <c r="B564" s="5" t="s">
        <v>91</v>
      </c>
      <c r="C564" s="6" t="s">
        <v>123</v>
      </c>
      <c r="D564" s="1">
        <v>939</v>
      </c>
      <c r="E564" s="2" t="str">
        <f>HYPERLINK("#'Data'!A5436", "Households reporting occupancy arrangement of their shelter broken down by household size on the admin of overall perc")</f>
        <v>Households reporting occupancy arrangement of their shelter broken down by household size on the admin of overall perc</v>
      </c>
    </row>
    <row r="565" spans="2:5" ht="15.75">
      <c r="B565" s="7" t="s">
        <v>91</v>
      </c>
      <c r="C565" s="8" t="s">
        <v>123</v>
      </c>
      <c r="D565" s="1">
        <v>940</v>
      </c>
      <c r="E565" s="2" t="str">
        <f>HYPERLINK("#'Data'!A5446", "Households reporting occupancy arrangement of their shelter broken down by single/joint headed HHs on the admin of overall perc")</f>
        <v>Households reporting occupancy arrangement of their shelter broken down by single/joint headed HHs on the admin of overall perc</v>
      </c>
    </row>
    <row r="566" spans="2:5" ht="15.75">
      <c r="B566" s="5" t="s">
        <v>91</v>
      </c>
      <c r="C566" s="6" t="s">
        <v>124</v>
      </c>
      <c r="D566" s="1">
        <v>942</v>
      </c>
      <c r="E566" s="2" t="str">
        <f>HYPERLINK("#'Data'!A5456", "Households reporting risk of being evicted from their shelter broken down by rural / urban on the admin of overall perc")</f>
        <v>Households reporting risk of being evicted from their shelter broken down by rural / urban on the admin of overall perc</v>
      </c>
    </row>
    <row r="567" spans="2:5" ht="15.75">
      <c r="B567" s="7" t="s">
        <v>91</v>
      </c>
      <c r="C567" s="8" t="s">
        <v>124</v>
      </c>
      <c r="D567" s="1">
        <v>943</v>
      </c>
      <c r="E567" s="2" t="str">
        <f>HYPERLINK("#'Data'!A5464", "Households reporting risk of being evicted from their shelter broken down by proximity to the Frontline / Russian border on the admin of overall pe...")</f>
        <v>Households reporting risk of being evicted from their shelter broken down by proximity to the Frontline / Russian border on the admin of overall pe...</v>
      </c>
    </row>
    <row r="568" spans="2:5" ht="15.75">
      <c r="B568" s="5" t="s">
        <v>91</v>
      </c>
      <c r="C568" s="6" t="s">
        <v>124</v>
      </c>
      <c r="D568" s="1">
        <v>944</v>
      </c>
      <c r="E568" s="2" t="str">
        <f>HYPERLINK("#'Data'!A5474", "Households reporting risk of being evicted from their shelter broken down by member with WGSS disability on the admin of overall perc")</f>
        <v>Households reporting risk of being evicted from their shelter broken down by member with WGSS disability on the admin of overall perc</v>
      </c>
    </row>
    <row r="569" spans="2:5" ht="15.75">
      <c r="B569" s="7" t="s">
        <v>91</v>
      </c>
      <c r="C569" s="8" t="s">
        <v>124</v>
      </c>
      <c r="D569" s="1">
        <v>945</v>
      </c>
      <c r="E569" s="2" t="str">
        <f>HYPERLINK("#'Data'!A5482", "Households reporting risk of being evicted from their shelter broken down by displacement status of HoH on the admin of overall perc")</f>
        <v>Households reporting risk of being evicted from their shelter broken down by displacement status of HoH on the admin of overall perc</v>
      </c>
    </row>
    <row r="570" spans="2:5" ht="15.75">
      <c r="B570" s="5" t="s">
        <v>91</v>
      </c>
      <c r="C570" s="6" t="s">
        <v>124</v>
      </c>
      <c r="D570" s="1">
        <v>946</v>
      </c>
      <c r="E570" s="2" t="str">
        <f>HYPERLINK("#'Data'!A5488", "Households reporting risk of being evicted from their shelter broken down by household size on the admin of overall perc")</f>
        <v>Households reporting risk of being evicted from their shelter broken down by household size on the admin of overall perc</v>
      </c>
    </row>
    <row r="571" spans="2:5" ht="15.75">
      <c r="B571" s="7" t="s">
        <v>91</v>
      </c>
      <c r="C571" s="8" t="s">
        <v>124</v>
      </c>
      <c r="D571" s="1">
        <v>947</v>
      </c>
      <c r="E571" s="2" t="str">
        <f>HYPERLINK("#'Data'!A5498", "Households reporting risk of being evicted from their shelter broken down by single/joint headed HHs on the admin of overall perc")</f>
        <v>Households reporting risk of being evicted from their shelter broken down by single/joint headed HHs on the admin of overall perc</v>
      </c>
    </row>
    <row r="572" spans="2:5" ht="15.75">
      <c r="B572" s="5" t="s">
        <v>91</v>
      </c>
      <c r="C572" s="6" t="s">
        <v>125</v>
      </c>
      <c r="D572" s="1">
        <v>949</v>
      </c>
      <c r="E572" s="2" t="str">
        <f>HYPERLINK("#'Data'!A5508", "Households reporting shelter issues that were NOT caused by the war broken down by rural / urban on the admin of overall perc")</f>
        <v>Households reporting shelter issues that were NOT caused by the war broken down by rural / urban on the admin of overall perc</v>
      </c>
    </row>
    <row r="573" spans="2:5" ht="15.75">
      <c r="B573" s="7" t="s">
        <v>91</v>
      </c>
      <c r="C573" s="8" t="s">
        <v>125</v>
      </c>
      <c r="D573" s="1">
        <v>950</v>
      </c>
      <c r="E573" s="2" t="str">
        <f>HYPERLINK("#'Data'!A5516", "Households reporting shelter issues that were NOT caused by the war broken down by proximity to the Frontline / Russian border on the admin of over...")</f>
        <v>Households reporting shelter issues that were NOT caused by the war broken down by proximity to the Frontline / Russian border on the admin of over...</v>
      </c>
    </row>
    <row r="574" spans="2:5" ht="15.75">
      <c r="B574" s="5" t="s">
        <v>91</v>
      </c>
      <c r="C574" s="6" t="s">
        <v>125</v>
      </c>
      <c r="D574" s="1">
        <v>951</v>
      </c>
      <c r="E574" s="2" t="str">
        <f>HYPERLINK("#'Data'!A5526", "Households reporting shelter issues that were NOT caused by the war broken down by member with WGSS disability on the admin of overall perc")</f>
        <v>Households reporting shelter issues that were NOT caused by the war broken down by member with WGSS disability on the admin of overall perc</v>
      </c>
    </row>
    <row r="575" spans="2:5" ht="15.75">
      <c r="B575" s="7" t="s">
        <v>91</v>
      </c>
      <c r="C575" s="8" t="s">
        <v>125</v>
      </c>
      <c r="D575" s="1">
        <v>952</v>
      </c>
      <c r="E575" s="2" t="str">
        <f>HYPERLINK("#'Data'!A5534", "Households reporting shelter issues that were NOT caused by the war broken down by displacement status of HoH on the admin of overall perc")</f>
        <v>Households reporting shelter issues that were NOT caused by the war broken down by displacement status of HoH on the admin of overall perc</v>
      </c>
    </row>
    <row r="576" spans="2:5" ht="15.75">
      <c r="B576" s="5" t="s">
        <v>91</v>
      </c>
      <c r="C576" s="6" t="s">
        <v>125</v>
      </c>
      <c r="D576" s="1">
        <v>953</v>
      </c>
      <c r="E576" s="2" t="str">
        <f>HYPERLINK("#'Data'!A5540", "Households reporting shelter issues that were NOT caused by the war broken down by household size on the admin of overall perc")</f>
        <v>Households reporting shelter issues that were NOT caused by the war broken down by household size on the admin of overall perc</v>
      </c>
    </row>
    <row r="577" spans="2:5" ht="15.75">
      <c r="B577" s="7" t="s">
        <v>91</v>
      </c>
      <c r="C577" s="8" t="s">
        <v>125</v>
      </c>
      <c r="D577" s="1">
        <v>954</v>
      </c>
      <c r="E577" s="2" t="str">
        <f>HYPERLINK("#'Data'!A5550", "Households reporting shelter issues that were NOT caused by the war broken down by single/joint headed HHs on the admin of overall perc")</f>
        <v>Households reporting shelter issues that were NOT caused by the war broken down by single/joint headed HHs on the admin of overall perc</v>
      </c>
    </row>
    <row r="578" spans="2:5" ht="15.75">
      <c r="B578" s="5" t="s">
        <v>91</v>
      </c>
      <c r="C578" s="6" t="s">
        <v>126</v>
      </c>
      <c r="D578" s="1">
        <v>956</v>
      </c>
      <c r="E578" s="2" t="str">
        <f>HYPERLINK("#'Data'!A5560", "Households reporting damage to their current shelter (caused by the war) broken down by rural / urban on the admin of overall perc")</f>
        <v>Households reporting damage to their current shelter (caused by the war) broken down by rural / urban on the admin of overall perc</v>
      </c>
    </row>
    <row r="579" spans="2:5" ht="15.75">
      <c r="B579" s="7" t="s">
        <v>91</v>
      </c>
      <c r="C579" s="8" t="s">
        <v>126</v>
      </c>
      <c r="D579" s="1">
        <v>957</v>
      </c>
      <c r="E579" s="2" t="str">
        <f>HYPERLINK("#'Data'!A5568", "Households reporting damage to their current shelter (caused by the war) broken down by proximity to the Frontline / Russian border on the admin of...")</f>
        <v>Households reporting damage to their current shelter (caused by the war) broken down by proximity to the Frontline / Russian border on the admin of...</v>
      </c>
    </row>
    <row r="580" spans="2:5" ht="15.75">
      <c r="B580" s="5" t="s">
        <v>91</v>
      </c>
      <c r="C580" s="6" t="s">
        <v>126</v>
      </c>
      <c r="D580" s="1">
        <v>958</v>
      </c>
      <c r="E580" s="2" t="str">
        <f>HYPERLINK("#'Data'!A5578", "Households reporting damage to their current shelter (caused by the war) broken down by member with WGSS disability on the admin of overall perc")</f>
        <v>Households reporting damage to their current shelter (caused by the war) broken down by member with WGSS disability on the admin of overall perc</v>
      </c>
    </row>
    <row r="581" spans="2:5" ht="15.75">
      <c r="B581" s="7" t="s">
        <v>91</v>
      </c>
      <c r="C581" s="8" t="s">
        <v>126</v>
      </c>
      <c r="D581" s="1">
        <v>959</v>
      </c>
      <c r="E581" s="2" t="str">
        <f>HYPERLINK("#'Data'!A5586", "Households reporting damage to their current shelter (caused by the war) broken down by displacement status of HoH on the admin of overall perc")</f>
        <v>Households reporting damage to their current shelter (caused by the war) broken down by displacement status of HoH on the admin of overall perc</v>
      </c>
    </row>
    <row r="582" spans="2:5" ht="15.75">
      <c r="B582" s="5" t="s">
        <v>91</v>
      </c>
      <c r="C582" s="6" t="s">
        <v>126</v>
      </c>
      <c r="D582" s="1">
        <v>960</v>
      </c>
      <c r="E582" s="2" t="str">
        <f>HYPERLINK("#'Data'!A5592", "Households reporting damage to their current shelter (caused by the war) broken down by household size on the admin of overall perc")</f>
        <v>Households reporting damage to their current shelter (caused by the war) broken down by household size on the admin of overall perc</v>
      </c>
    </row>
    <row r="583" spans="2:5" ht="15.75">
      <c r="B583" s="7" t="s">
        <v>91</v>
      </c>
      <c r="C583" s="8" t="s">
        <v>126</v>
      </c>
      <c r="D583" s="1">
        <v>961</v>
      </c>
      <c r="E583" s="2" t="str">
        <f>HYPERLINK("#'Data'!A5602", "Households reporting damage to their current shelter (caused by the war) broken down by single/joint headed HHs on the admin of overall perc")</f>
        <v>Households reporting damage to their current shelter (caused by the war) broken down by single/joint headed HHs on the admin of overall perc</v>
      </c>
    </row>
    <row r="584" spans="2:5" ht="15.75">
      <c r="B584" s="5" t="s">
        <v>91</v>
      </c>
      <c r="C584" s="6" t="s">
        <v>127</v>
      </c>
      <c r="D584" s="1">
        <v>963</v>
      </c>
      <c r="E584" s="2" t="str">
        <f>HYPERLINK("#'Data'!A5612", "Households assessing shelter damage in their current shelter broken down by rural / urban on the admin of overall perc")</f>
        <v>Households assessing shelter damage in their current shelter broken down by rural / urban on the admin of overall perc</v>
      </c>
    </row>
    <row r="585" spans="2:5" ht="15.75">
      <c r="B585" s="7" t="s">
        <v>91</v>
      </c>
      <c r="C585" s="8" t="s">
        <v>127</v>
      </c>
      <c r="D585" s="1">
        <v>964</v>
      </c>
      <c r="E585" s="2" t="str">
        <f>HYPERLINK("#'Data'!A5620", "Households assessing shelter damage in their current shelter broken down by proximity to the Frontline / Russian border on the admin of overall per...")</f>
        <v>Households assessing shelter damage in their current shelter broken down by proximity to the Frontline / Russian border on the admin of overall per...</v>
      </c>
    </row>
    <row r="586" spans="2:5" ht="15.75">
      <c r="B586" s="5" t="s">
        <v>91</v>
      </c>
      <c r="C586" s="6" t="s">
        <v>127</v>
      </c>
      <c r="D586" s="1">
        <v>965</v>
      </c>
      <c r="E586" s="2" t="str">
        <f>HYPERLINK("#'Data'!A5630", "Households assessing shelter damage in their current shelter broken down by member with WGSS disability on the admin of overall perc")</f>
        <v>Households assessing shelter damage in their current shelter broken down by member with WGSS disability on the admin of overall perc</v>
      </c>
    </row>
    <row r="587" spans="2:5" ht="15.75">
      <c r="B587" s="7" t="s">
        <v>91</v>
      </c>
      <c r="C587" s="8" t="s">
        <v>127</v>
      </c>
      <c r="D587" s="1">
        <v>966</v>
      </c>
      <c r="E587" s="2" t="str">
        <f>HYPERLINK("#'Data'!A5638", "Households assessing shelter damage in their current shelter broken down by displacement status of HoH on the admin of overall perc")</f>
        <v>Households assessing shelter damage in their current shelter broken down by displacement status of HoH on the admin of overall perc</v>
      </c>
    </row>
    <row r="588" spans="2:5" ht="15.75">
      <c r="B588" s="5" t="s">
        <v>91</v>
      </c>
      <c r="C588" s="6" t="s">
        <v>127</v>
      </c>
      <c r="D588" s="1">
        <v>967</v>
      </c>
      <c r="E588" s="2" t="str">
        <f>HYPERLINK("#'Data'!A5644", "Households assessing shelter damage in their current shelter broken down by household size on the admin of overall perc")</f>
        <v>Households assessing shelter damage in their current shelter broken down by household size on the admin of overall perc</v>
      </c>
    </row>
    <row r="589" spans="2:5" ht="15.75">
      <c r="B589" s="7" t="s">
        <v>91</v>
      </c>
      <c r="C589" s="8" t="s">
        <v>127</v>
      </c>
      <c r="D589" s="1">
        <v>968</v>
      </c>
      <c r="E589" s="2" t="str">
        <f>HYPERLINK("#'Data'!A5654", "Households assessing shelter damage in their current shelter broken down by single/joint headed HHs on the admin of overall perc")</f>
        <v>Households assessing shelter damage in their current shelter broken down by single/joint headed HHs on the admin of overall perc</v>
      </c>
    </row>
    <row r="590" spans="2:5" ht="15.75">
      <c r="B590" s="5" t="s">
        <v>91</v>
      </c>
      <c r="C590" s="6" t="s">
        <v>128</v>
      </c>
      <c r="D590" s="1">
        <v>970</v>
      </c>
      <c r="E590" s="2" t="str">
        <f>HYPERLINK("#'Data'!A5664", "Households reportedly experiencing issues while cooking broken down by rural / urban on the admin of overall perc")</f>
        <v>Households reportedly experiencing issues while cooking broken down by rural / urban on the admin of overall perc</v>
      </c>
    </row>
    <row r="591" spans="2:5" ht="15.75">
      <c r="B591" s="7" t="s">
        <v>91</v>
      </c>
      <c r="C591" s="8" t="s">
        <v>128</v>
      </c>
      <c r="D591" s="1">
        <v>971</v>
      </c>
      <c r="E591" s="2" t="str">
        <f>HYPERLINK("#'Data'!A5672", "Households reportedly experiencing issues while cooking broken down by proximity to the Frontline / Russian border on the admin of overall perc")</f>
        <v>Households reportedly experiencing issues while cooking broken down by proximity to the Frontline / Russian border on the admin of overall perc</v>
      </c>
    </row>
    <row r="592" spans="2:5" ht="15.75">
      <c r="B592" s="5" t="s">
        <v>91</v>
      </c>
      <c r="C592" s="6" t="s">
        <v>128</v>
      </c>
      <c r="D592" s="1">
        <v>972</v>
      </c>
      <c r="E592" s="2" t="str">
        <f>HYPERLINK("#'Data'!A5682", "Households reportedly experiencing issues while cooking broken down by member with WGSS disability on the admin of overall perc")</f>
        <v>Households reportedly experiencing issues while cooking broken down by member with WGSS disability on the admin of overall perc</v>
      </c>
    </row>
    <row r="593" spans="2:5" ht="15.75">
      <c r="B593" s="7" t="s">
        <v>91</v>
      </c>
      <c r="C593" s="8" t="s">
        <v>128</v>
      </c>
      <c r="D593" s="1">
        <v>973</v>
      </c>
      <c r="E593" s="2" t="str">
        <f>HYPERLINK("#'Data'!A5690", "Households reportedly experiencing issues while cooking broken down by displacement status of HoH on the admin of overall perc")</f>
        <v>Households reportedly experiencing issues while cooking broken down by displacement status of HoH on the admin of overall perc</v>
      </c>
    </row>
    <row r="594" spans="2:5" ht="15.75">
      <c r="B594" s="5" t="s">
        <v>91</v>
      </c>
      <c r="C594" s="6" t="s">
        <v>128</v>
      </c>
      <c r="D594" s="1">
        <v>974</v>
      </c>
      <c r="E594" s="2" t="str">
        <f>HYPERLINK("#'Data'!A5696", "Households reportedly experiencing issues while cooking broken down by household size on the admin of overall perc")</f>
        <v>Households reportedly experiencing issues while cooking broken down by household size on the admin of overall perc</v>
      </c>
    </row>
    <row r="595" spans="2:5" ht="15.75">
      <c r="B595" s="7" t="s">
        <v>91</v>
      </c>
      <c r="C595" s="8" t="s">
        <v>128</v>
      </c>
      <c r="D595" s="1">
        <v>975</v>
      </c>
      <c r="E595" s="2" t="str">
        <f>HYPERLINK("#'Data'!A5706", "Households reportedly experiencing issues while cooking broken down by single/joint headed HHs on the admin of overall perc")</f>
        <v>Households reportedly experiencing issues while cooking broken down by single/joint headed HHs on the admin of overall perc</v>
      </c>
    </row>
    <row r="596" spans="2:5" ht="15.75">
      <c r="B596" s="5" t="s">
        <v>91</v>
      </c>
      <c r="C596" s="6" t="s">
        <v>129</v>
      </c>
      <c r="D596" s="1">
        <v>977</v>
      </c>
      <c r="E596" s="2" t="str">
        <f>HYPERLINK("#'Data'!A5716", "Households reportedly experiencing issues while sleeping broken down by rural / urban on the admin of overall perc")</f>
        <v>Households reportedly experiencing issues while sleeping broken down by rural / urban on the admin of overall perc</v>
      </c>
    </row>
    <row r="597" spans="2:5" ht="15.75">
      <c r="B597" s="7" t="s">
        <v>91</v>
      </c>
      <c r="C597" s="8" t="s">
        <v>129</v>
      </c>
      <c r="D597" s="1">
        <v>978</v>
      </c>
      <c r="E597" s="2" t="str">
        <f>HYPERLINK("#'Data'!A5724", "Households reportedly experiencing issues while sleeping broken down by proximity to the Frontline / Russian border on the admin of overall perc")</f>
        <v>Households reportedly experiencing issues while sleeping broken down by proximity to the Frontline / Russian border on the admin of overall perc</v>
      </c>
    </row>
    <row r="598" spans="2:5" ht="15.75">
      <c r="B598" s="5" t="s">
        <v>91</v>
      </c>
      <c r="C598" s="6" t="s">
        <v>129</v>
      </c>
      <c r="D598" s="1">
        <v>979</v>
      </c>
      <c r="E598" s="2" t="str">
        <f>HYPERLINK("#'Data'!A5734", "Households reportedly experiencing issues while sleeping broken down by member with WGSS disability on the admin of overall perc")</f>
        <v>Households reportedly experiencing issues while sleeping broken down by member with WGSS disability on the admin of overall perc</v>
      </c>
    </row>
    <row r="599" spans="2:5" ht="15.75">
      <c r="B599" s="7" t="s">
        <v>91</v>
      </c>
      <c r="C599" s="8" t="s">
        <v>129</v>
      </c>
      <c r="D599" s="1">
        <v>980</v>
      </c>
      <c r="E599" s="2" t="str">
        <f>HYPERLINK("#'Data'!A5742", "Households reportedly experiencing issues while sleeping broken down by displacement status of HoH on the admin of overall perc")</f>
        <v>Households reportedly experiencing issues while sleeping broken down by displacement status of HoH on the admin of overall perc</v>
      </c>
    </row>
    <row r="600" spans="2:5" ht="15.75">
      <c r="B600" s="5" t="s">
        <v>91</v>
      </c>
      <c r="C600" s="6" t="s">
        <v>129</v>
      </c>
      <c r="D600" s="1">
        <v>981</v>
      </c>
      <c r="E600" s="2" t="str">
        <f>HYPERLINK("#'Data'!A5748", "Households reportedly experiencing issues while sleeping broken down by household size on the admin of overall perc")</f>
        <v>Households reportedly experiencing issues while sleeping broken down by household size on the admin of overall perc</v>
      </c>
    </row>
    <row r="601" spans="2:5" ht="15.75">
      <c r="B601" s="5" t="s">
        <v>91</v>
      </c>
      <c r="C601" s="6" t="s">
        <v>129</v>
      </c>
      <c r="D601" s="1">
        <v>982</v>
      </c>
      <c r="E601" s="2" t="str">
        <f>HYPERLINK("#'Data'!A5758", "Households reportedly experiencing issues while sleeping broken down by single/joint headed HHs on the admin of overall perc")</f>
        <v>Households reportedly experiencing issues while sleeping broken down by single/joint headed HHs on the admin of overall perc</v>
      </c>
    </row>
    <row r="602" spans="2:5" ht="15.75">
      <c r="B602" s="5" t="s">
        <v>91</v>
      </c>
      <c r="C602" s="6" t="s">
        <v>129</v>
      </c>
      <c r="D602" s="1">
        <v>984</v>
      </c>
      <c r="E602" s="2" t="str">
        <f>HYPERLINK("#'Data'!A5768", "Households reporting main heating source last winter broken down by rural / urban on the admin of overall perc")</f>
        <v>Households reporting main heating source last winter broken down by rural / urban on the admin of overall perc</v>
      </c>
    </row>
    <row r="603" spans="2:5" ht="15.75">
      <c r="B603" s="5" t="s">
        <v>91</v>
      </c>
      <c r="C603" s="6" t="s">
        <v>129</v>
      </c>
      <c r="D603" s="1">
        <v>985</v>
      </c>
      <c r="E603" s="2" t="str">
        <f>HYPERLINK("#'Data'!A5776", "Households reporting main heating source last winter broken down by proximity to the Frontline / Russian border on the admin of overall perc")</f>
        <v>Households reporting main heating source last winter broken down by proximity to the Frontline / Russian border on the admin of overall perc</v>
      </c>
    </row>
    <row r="604" spans="2:5" ht="15.75">
      <c r="B604" s="5" t="s">
        <v>91</v>
      </c>
      <c r="C604" s="6" t="s">
        <v>129</v>
      </c>
      <c r="D604" s="1">
        <v>986</v>
      </c>
      <c r="E604" s="2" t="str">
        <f>HYPERLINK("#'Data'!A5786", "Households reporting main heating source last winter broken down by member with WGSS disability on the admin of overall perc")</f>
        <v>Households reporting main heating source last winter broken down by member with WGSS disability on the admin of overall perc</v>
      </c>
    </row>
    <row r="605" spans="2:5" ht="15.75">
      <c r="B605" s="5" t="s">
        <v>91</v>
      </c>
      <c r="C605" s="6" t="s">
        <v>129</v>
      </c>
      <c r="D605" s="1">
        <v>987</v>
      </c>
      <c r="E605" s="2" t="str">
        <f>HYPERLINK("#'Data'!A5794", "Households reporting main heating source last winter broken down by displacement status of HoH on the admin of overall perc")</f>
        <v>Households reporting main heating source last winter broken down by displacement status of HoH on the admin of overall perc</v>
      </c>
    </row>
    <row r="606" spans="2:5" ht="15.75">
      <c r="B606" s="5" t="s">
        <v>91</v>
      </c>
      <c r="C606" s="6" t="s">
        <v>129</v>
      </c>
      <c r="D606" s="1">
        <v>988</v>
      </c>
      <c r="E606" s="2" t="str">
        <f>HYPERLINK("#'Data'!A5800", "Households reporting main heating source last winter broken down by household size on the admin of overall perc")</f>
        <v>Households reporting main heating source last winter broken down by household size on the admin of overall perc</v>
      </c>
    </row>
    <row r="607" spans="2:5" ht="15.75">
      <c r="B607" s="7" t="s">
        <v>91</v>
      </c>
      <c r="C607" s="8" t="s">
        <v>129</v>
      </c>
      <c r="D607" s="1">
        <v>989</v>
      </c>
      <c r="E607" s="2" t="str">
        <f>HYPERLINK("#'Data'!A5810", "Households reporting main heating source last winter broken down by single/joint headed HHs on the admin of overall perc")</f>
        <v>Households reporting main heating source last winter broken down by single/joint headed HHs on the admin of overall perc</v>
      </c>
    </row>
    <row r="608" spans="2:5" ht="15.75">
      <c r="B608" s="5" t="s">
        <v>91</v>
      </c>
      <c r="C608" s="6" t="s">
        <v>130</v>
      </c>
      <c r="D608" s="1">
        <v>991</v>
      </c>
      <c r="E608" s="2" t="str">
        <f>HYPERLINK("#'Data'!A5820", "Households reporting main heating source last winter broken down by rural / urban on the admin of overall perc")</f>
        <v>Households reporting main heating source last winter broken down by rural / urban on the admin of overall perc</v>
      </c>
    </row>
    <row r="609" spans="2:5" ht="15.75">
      <c r="B609" s="7" t="s">
        <v>91</v>
      </c>
      <c r="C609" s="8" t="s">
        <v>130</v>
      </c>
      <c r="D609" s="1">
        <v>992</v>
      </c>
      <c r="E609" s="2" t="str">
        <f>HYPERLINK("#'Data'!A5828", "Households reporting main heating source last winter broken down by proximity to the Frontline / Russian border on the admin of overall perc")</f>
        <v>Households reporting main heating source last winter broken down by proximity to the Frontline / Russian border on the admin of overall perc</v>
      </c>
    </row>
    <row r="610" spans="2:5" ht="15.75">
      <c r="B610" s="5" t="s">
        <v>91</v>
      </c>
      <c r="C610" s="6" t="s">
        <v>130</v>
      </c>
      <c r="D610" s="1">
        <v>993</v>
      </c>
      <c r="E610" s="2" t="str">
        <f>HYPERLINK("#'Data'!A5838", "Households reporting main heating source last winter broken down by member with WGSS disability on the admin of overall perc")</f>
        <v>Households reporting main heating source last winter broken down by member with WGSS disability on the admin of overall perc</v>
      </c>
    </row>
    <row r="611" spans="2:5" ht="15.75">
      <c r="B611" s="7" t="s">
        <v>91</v>
      </c>
      <c r="C611" s="8" t="s">
        <v>130</v>
      </c>
      <c r="D611" s="1">
        <v>994</v>
      </c>
      <c r="E611" s="2" t="str">
        <f>HYPERLINK("#'Data'!A5846", "Households reporting main heating source last winter broken down by displacement status of HoH on the admin of overall perc")</f>
        <v>Households reporting main heating source last winter broken down by displacement status of HoH on the admin of overall perc</v>
      </c>
    </row>
    <row r="612" spans="2:5" ht="15.75">
      <c r="B612" s="5" t="s">
        <v>91</v>
      </c>
      <c r="C612" s="6" t="s">
        <v>130</v>
      </c>
      <c r="D612" s="1">
        <v>995</v>
      </c>
      <c r="E612" s="2" t="str">
        <f>HYPERLINK("#'Data'!A5852", "Households reporting main heating source last winter broken down by household size on the admin of overall perc")</f>
        <v>Households reporting main heating source last winter broken down by household size on the admin of overall perc</v>
      </c>
    </row>
    <row r="613" spans="2:5" ht="15.75">
      <c r="B613" s="7" t="s">
        <v>91</v>
      </c>
      <c r="C613" s="8" t="s">
        <v>130</v>
      </c>
      <c r="D613" s="1">
        <v>996</v>
      </c>
      <c r="E613" s="2" t="str">
        <f>HYPERLINK("#'Data'!A5862", "Households reporting main heating source last winter broken down by single/joint headed HHs on the admin of overall perc")</f>
        <v>Households reporting main heating source last winter broken down by single/joint headed HHs on the admin of overall perc</v>
      </c>
    </row>
    <row r="614" spans="2:5" ht="15.75">
      <c r="B614" s="5" t="s">
        <v>91</v>
      </c>
      <c r="C614" s="6" t="s">
        <v>131</v>
      </c>
      <c r="D614" s="1">
        <v>998</v>
      </c>
      <c r="E614" s="2" t="str">
        <f>HYPERLINK("#'Data'!A5872", "Households reportedly experiencing issues while storing food broken down by rural / urban on the admin of overall perc")</f>
        <v>Households reportedly experiencing issues while storing food broken down by rural / urban on the admin of overall perc</v>
      </c>
    </row>
    <row r="615" spans="2:5" ht="15.75">
      <c r="B615" s="7" t="s">
        <v>91</v>
      </c>
      <c r="C615" s="8" t="s">
        <v>131</v>
      </c>
      <c r="D615" s="1">
        <v>999</v>
      </c>
      <c r="E615" s="2" t="str">
        <f>HYPERLINK("#'Data'!A5880", "Households reportedly experiencing issues while storing food broken down by proximity to the Frontline / Russian border on the admin of overall per...")</f>
        <v>Households reportedly experiencing issues while storing food broken down by proximity to the Frontline / Russian border on the admin of overall per...</v>
      </c>
    </row>
    <row r="616" spans="2:5" ht="15.75">
      <c r="B616" s="5" t="s">
        <v>91</v>
      </c>
      <c r="C616" s="6" t="s">
        <v>131</v>
      </c>
      <c r="D616" s="1">
        <v>1000</v>
      </c>
      <c r="E616" s="2" t="str">
        <f>HYPERLINK("#'Data'!A5890", "Households reportedly experiencing issues while storing food broken down by member with WGSS disability on the admin of overall perc")</f>
        <v>Households reportedly experiencing issues while storing food broken down by member with WGSS disability on the admin of overall perc</v>
      </c>
    </row>
    <row r="617" spans="2:5" ht="15.75">
      <c r="B617" s="7" t="s">
        <v>91</v>
      </c>
      <c r="C617" s="8" t="s">
        <v>131</v>
      </c>
      <c r="D617" s="1">
        <v>1001</v>
      </c>
      <c r="E617" s="2" t="str">
        <f>HYPERLINK("#'Data'!A5898", "Households reportedly experiencing issues while storing food broken down by displacement status of HoH on the admin of overall perc")</f>
        <v>Households reportedly experiencing issues while storing food broken down by displacement status of HoH on the admin of overall perc</v>
      </c>
    </row>
    <row r="618" spans="2:5" ht="15.75">
      <c r="B618" s="5" t="s">
        <v>91</v>
      </c>
      <c r="C618" s="6" t="s">
        <v>131</v>
      </c>
      <c r="D618" s="1">
        <v>1002</v>
      </c>
      <c r="E618" s="2" t="str">
        <f>HYPERLINK("#'Data'!A5904", "Households reportedly experiencing issues while storing food broken down by household size on the admin of overall perc")</f>
        <v>Households reportedly experiencing issues while storing food broken down by household size on the admin of overall perc</v>
      </c>
    </row>
    <row r="619" spans="2:5" ht="15.75">
      <c r="B619" s="7" t="s">
        <v>91</v>
      </c>
      <c r="C619" s="8" t="s">
        <v>131</v>
      </c>
      <c r="D619" s="1">
        <v>1003</v>
      </c>
      <c r="E619" s="2" t="str">
        <f>HYPERLINK("#'Data'!A5914", "Households reportedly experiencing issues while storing food broken down by single/joint headed HHs on the admin of overall perc")</f>
        <v>Households reportedly experiencing issues while storing food broken down by single/joint headed HHs on the admin of overall perc</v>
      </c>
    </row>
    <row r="620" spans="2:5" ht="15.75">
      <c r="B620" s="5" t="s">
        <v>91</v>
      </c>
      <c r="C620" s="6" t="s">
        <v>132</v>
      </c>
      <c r="D620" s="1">
        <v>1005</v>
      </c>
      <c r="E620" s="2" t="str">
        <f>HYPERLINK("#'Data'!A5924", "Households reportedly experiencing issues with electricity broken down by rural / urban on the admin of overall perc")</f>
        <v>Households reportedly experiencing issues with electricity broken down by rural / urban on the admin of overall perc</v>
      </c>
    </row>
    <row r="621" spans="2:5" ht="15.75">
      <c r="B621" s="7" t="s">
        <v>91</v>
      </c>
      <c r="C621" s="8" t="s">
        <v>132</v>
      </c>
      <c r="D621" s="1">
        <v>1006</v>
      </c>
      <c r="E621" s="2" t="str">
        <f>HYPERLINK("#'Data'!A5932", "Households reportedly experiencing issues with electricity broken down by proximity to the Frontline / Russian border on the admin of overall perc")</f>
        <v>Households reportedly experiencing issues with electricity broken down by proximity to the Frontline / Russian border on the admin of overall perc</v>
      </c>
    </row>
    <row r="622" spans="2:5" ht="15.75">
      <c r="B622" s="5" t="s">
        <v>91</v>
      </c>
      <c r="C622" s="6" t="s">
        <v>132</v>
      </c>
      <c r="D622" s="1">
        <v>1007</v>
      </c>
      <c r="E622" s="2" t="str">
        <f>HYPERLINK("#'Data'!A5942", "Households reportedly experiencing issues with electricity broken down by member with WGSS disability on the admin of overall perc")</f>
        <v>Households reportedly experiencing issues with electricity broken down by member with WGSS disability on the admin of overall perc</v>
      </c>
    </row>
    <row r="623" spans="2:5" ht="15.75">
      <c r="B623" s="7" t="s">
        <v>91</v>
      </c>
      <c r="C623" s="8" t="s">
        <v>132</v>
      </c>
      <c r="D623" s="1">
        <v>1008</v>
      </c>
      <c r="E623" s="2" t="str">
        <f>HYPERLINK("#'Data'!A5950", "Households reportedly experiencing issues with electricity broken down by displacement status of HoH on the admin of overall perc")</f>
        <v>Households reportedly experiencing issues with electricity broken down by displacement status of HoH on the admin of overall perc</v>
      </c>
    </row>
    <row r="624" spans="2:5" ht="15.75">
      <c r="B624" s="5" t="s">
        <v>91</v>
      </c>
      <c r="C624" s="6" t="s">
        <v>132</v>
      </c>
      <c r="D624" s="1">
        <v>1009</v>
      </c>
      <c r="E624" s="2" t="str">
        <f>HYPERLINK("#'Data'!A5956", "Households reportedly experiencing issues with electricity broken down by household size on the admin of overall perc")</f>
        <v>Households reportedly experiencing issues with electricity broken down by household size on the admin of overall perc</v>
      </c>
    </row>
    <row r="625" spans="2:5" ht="15.75">
      <c r="B625" s="7" t="s">
        <v>91</v>
      </c>
      <c r="C625" s="8" t="s">
        <v>132</v>
      </c>
      <c r="D625" s="1">
        <v>1010</v>
      </c>
      <c r="E625" s="2" t="str">
        <f>HYPERLINK("#'Data'!A5966", "Households reportedly experiencing issues with electricity broken down by single/joint headed HHs on the admin of overall perc")</f>
        <v>Households reportedly experiencing issues with electricity broken down by single/joint headed HHs on the admin of overall perc</v>
      </c>
    </row>
    <row r="626" spans="2:5" ht="15.75">
      <c r="B626" s="5" t="s">
        <v>91</v>
      </c>
      <c r="C626" s="6" t="s">
        <v>133</v>
      </c>
      <c r="D626" s="1">
        <v>1012</v>
      </c>
      <c r="E626" s="2" t="str">
        <f>HYPERLINK("#'Data'!A5976", "Households reportedly experiencing utility interruptions broken down by rural / urban on the admin of overall perc")</f>
        <v>Households reportedly experiencing utility interruptions broken down by rural / urban on the admin of overall perc</v>
      </c>
    </row>
    <row r="627" spans="2:5" ht="15.75">
      <c r="B627" s="7" t="s">
        <v>91</v>
      </c>
      <c r="C627" s="8" t="s">
        <v>133</v>
      </c>
      <c r="D627" s="1">
        <v>1013</v>
      </c>
      <c r="E627" s="2" t="str">
        <f>HYPERLINK("#'Data'!A5984", "Households reportedly experiencing utility interruptions broken down by proximity to the Frontline / Russian border on the admin of overall perc")</f>
        <v>Households reportedly experiencing utility interruptions broken down by proximity to the Frontline / Russian border on the admin of overall perc</v>
      </c>
    </row>
    <row r="628" spans="2:5" ht="15.75">
      <c r="B628" s="5" t="s">
        <v>91</v>
      </c>
      <c r="C628" s="6" t="s">
        <v>133</v>
      </c>
      <c r="D628" s="1">
        <v>1014</v>
      </c>
      <c r="E628" s="2" t="str">
        <f>HYPERLINK("#'Data'!A5994", "Households reportedly experiencing utility interruptions broken down by member with WGSS disability on the admin of overall perc")</f>
        <v>Households reportedly experiencing utility interruptions broken down by member with WGSS disability on the admin of overall perc</v>
      </c>
    </row>
    <row r="629" spans="2:5" ht="15.75">
      <c r="B629" s="7" t="s">
        <v>91</v>
      </c>
      <c r="C629" s="8" t="s">
        <v>133</v>
      </c>
      <c r="D629" s="1">
        <v>1015</v>
      </c>
      <c r="E629" s="2" t="str">
        <f>HYPERLINK("#'Data'!A6002", "Households reportedly experiencing utility interruptions broken down by displacement status of HoH on the admin of overall perc")</f>
        <v>Households reportedly experiencing utility interruptions broken down by displacement status of HoH on the admin of overall perc</v>
      </c>
    </row>
    <row r="630" spans="2:5" ht="15.75">
      <c r="B630" s="5" t="s">
        <v>91</v>
      </c>
      <c r="C630" s="6" t="s">
        <v>133</v>
      </c>
      <c r="D630" s="1">
        <v>1016</v>
      </c>
      <c r="E630" s="2" t="str">
        <f>HYPERLINK("#'Data'!A6008", "Households reportedly experiencing utility interruptions broken down by household size on the admin of overall perc")</f>
        <v>Households reportedly experiencing utility interruptions broken down by household size on the admin of overall perc</v>
      </c>
    </row>
    <row r="631" spans="2:5" ht="15.75">
      <c r="B631" s="7" t="s">
        <v>91</v>
      </c>
      <c r="C631" s="8" t="s">
        <v>133</v>
      </c>
      <c r="D631" s="1">
        <v>1017</v>
      </c>
      <c r="E631" s="2" t="str">
        <f>HYPERLINK("#'Data'!A6018", "Households reportedly experiencing utility interruptions broken down by single/joint headed HHs on the admin of overall perc")</f>
        <v>Households reportedly experiencing utility interruptions broken down by single/joint headed HHs on the admin of overall perc</v>
      </c>
    </row>
    <row r="632" spans="2:5" ht="15.75">
      <c r="B632" s="5" t="s">
        <v>91</v>
      </c>
      <c r="C632" s="6" t="s">
        <v>134</v>
      </c>
      <c r="D632" s="1">
        <v>1019</v>
      </c>
      <c r="E632" s="2" t="str">
        <f>HYPERLINK("#'Data'!A6028", "Households reportedly having alternative energy sources  broken down by rural / urban on the admin of overall perc")</f>
        <v>Households reportedly having alternative energy sources  broken down by rural / urban on the admin of overall perc</v>
      </c>
    </row>
    <row r="633" spans="2:5" ht="15.75">
      <c r="B633" s="7" t="s">
        <v>91</v>
      </c>
      <c r="C633" s="8" t="s">
        <v>134</v>
      </c>
      <c r="D633" s="1">
        <v>1020</v>
      </c>
      <c r="E633" s="2" t="str">
        <f>HYPERLINK("#'Data'!A6036", "Households reportedly having alternative energy sources  broken down by proximity to the Frontline / Russian border on the admin of overall perc")</f>
        <v>Households reportedly having alternative energy sources  broken down by proximity to the Frontline / Russian border on the admin of overall perc</v>
      </c>
    </row>
    <row r="634" spans="2:5" ht="15.75">
      <c r="B634" s="5" t="s">
        <v>91</v>
      </c>
      <c r="C634" s="6" t="s">
        <v>134</v>
      </c>
      <c r="D634" s="1">
        <v>1021</v>
      </c>
      <c r="E634" s="2" t="str">
        <f>HYPERLINK("#'Data'!A6046", "Households reportedly having alternative energy sources  broken down by member with WGSS disability on the admin of overall perc")</f>
        <v>Households reportedly having alternative energy sources  broken down by member with WGSS disability on the admin of overall perc</v>
      </c>
    </row>
    <row r="635" spans="2:5" ht="15.75">
      <c r="B635" s="7" t="s">
        <v>91</v>
      </c>
      <c r="C635" s="8" t="s">
        <v>134</v>
      </c>
      <c r="D635" s="1">
        <v>1022</v>
      </c>
      <c r="E635" s="2" t="str">
        <f>HYPERLINK("#'Data'!A6054", "Households reportedly having alternative energy sources  broken down by displacement status of HoH on the admin of overall perc")</f>
        <v>Households reportedly having alternative energy sources  broken down by displacement status of HoH on the admin of overall perc</v>
      </c>
    </row>
    <row r="636" spans="2:5" ht="15.75">
      <c r="B636" s="5" t="s">
        <v>91</v>
      </c>
      <c r="C636" s="6" t="s">
        <v>134</v>
      </c>
      <c r="D636" s="1">
        <v>1023</v>
      </c>
      <c r="E636" s="2" t="str">
        <f>HYPERLINK("#'Data'!A6060", "Households reportedly having alternative energy sources  broken down by household size on the admin of overall perc")</f>
        <v>Households reportedly having alternative energy sources  broken down by household size on the admin of overall perc</v>
      </c>
    </row>
    <row r="637" spans="2:5" ht="15.75">
      <c r="B637" s="7" t="s">
        <v>91</v>
      </c>
      <c r="C637" s="8" t="s">
        <v>134</v>
      </c>
      <c r="D637" s="1">
        <v>1024</v>
      </c>
      <c r="E637" s="2" t="str">
        <f>HYPERLINK("#'Data'!A6070", "Households reportedly having alternative energy sources  broken down by single/joint headed HHs on the admin of overall perc")</f>
        <v>Households reportedly having alternative energy sources  broken down by single/joint headed HHs on the admin of overall perc</v>
      </c>
    </row>
    <row r="638" spans="2:5" ht="15.75">
      <c r="B638" s="5" t="s">
        <v>91</v>
      </c>
      <c r="C638" s="6" t="s">
        <v>135</v>
      </c>
      <c r="D638" s="1">
        <v>1026</v>
      </c>
      <c r="E638" s="2" t="str">
        <f>HYPERLINK("#'Data'!A6080", "Households reportedly having access to the Internet broken down by rural / urban on the admin of overall perc")</f>
        <v>Households reportedly having access to the Internet broken down by rural / urban on the admin of overall perc</v>
      </c>
    </row>
    <row r="639" spans="2:5" ht="15.75">
      <c r="B639" s="7" t="s">
        <v>91</v>
      </c>
      <c r="C639" s="8" t="s">
        <v>135</v>
      </c>
      <c r="D639" s="1">
        <v>1027</v>
      </c>
      <c r="E639" s="2" t="str">
        <f>HYPERLINK("#'Data'!A6088", "Households reportedly having access to the Internet broken down by proximity to the Frontline / Russian border on the admin of overall perc")</f>
        <v>Households reportedly having access to the Internet broken down by proximity to the Frontline / Russian border on the admin of overall perc</v>
      </c>
    </row>
    <row r="640" spans="2:5" ht="15.75">
      <c r="B640" s="5" t="s">
        <v>91</v>
      </c>
      <c r="C640" s="6" t="s">
        <v>135</v>
      </c>
      <c r="D640" s="1">
        <v>1028</v>
      </c>
      <c r="E640" s="2" t="str">
        <f>HYPERLINK("#'Data'!A6098", "Households reportedly having access to the Internet broken down by member with WGSS disability on the admin of overall perc")</f>
        <v>Households reportedly having access to the Internet broken down by member with WGSS disability on the admin of overall perc</v>
      </c>
    </row>
    <row r="641" spans="2:5" ht="15.75">
      <c r="B641" s="7" t="s">
        <v>91</v>
      </c>
      <c r="C641" s="8" t="s">
        <v>135</v>
      </c>
      <c r="D641" s="1">
        <v>1029</v>
      </c>
      <c r="E641" s="2" t="str">
        <f>HYPERLINK("#'Data'!A6106", "Households reportedly having access to the Internet broken down by displacement status of HoH on the admin of overall perc")</f>
        <v>Households reportedly having access to the Internet broken down by displacement status of HoH on the admin of overall perc</v>
      </c>
    </row>
    <row r="642" spans="2:5" ht="15.75">
      <c r="B642" s="5" t="s">
        <v>91</v>
      </c>
      <c r="C642" s="6" t="s">
        <v>135</v>
      </c>
      <c r="D642" s="1">
        <v>1030</v>
      </c>
      <c r="E642" s="2" t="str">
        <f>HYPERLINK("#'Data'!A6112", "Households reportedly having access to the Internet broken down by household size on the admin of overall perc")</f>
        <v>Households reportedly having access to the Internet broken down by household size on the admin of overall perc</v>
      </c>
    </row>
    <row r="643" spans="2:5" ht="15.75">
      <c r="B643" s="7" t="s">
        <v>91</v>
      </c>
      <c r="C643" s="8" t="s">
        <v>135</v>
      </c>
      <c r="D643" s="1">
        <v>1031</v>
      </c>
      <c r="E643" s="2" t="str">
        <f>HYPERLINK("#'Data'!A6122", "Households reportedly having access to the Internet broken down by single/joint headed HHs on the admin of overall perc")</f>
        <v>Households reportedly having access to the Internet broken down by single/joint headed HHs on the admin of overall perc</v>
      </c>
    </row>
    <row r="644" spans="2:5" ht="15.75">
      <c r="B644" s="5" t="s">
        <v>91</v>
      </c>
      <c r="C644" s="6" t="s">
        <v>136</v>
      </c>
      <c r="D644" s="1">
        <v>1033</v>
      </c>
      <c r="E644" s="2" t="str">
        <f>HYPERLINK("#'Data'!A6132", "Households reporting main source of access to the Internet broken down by rural / urban on the admin of overall perc")</f>
        <v>Households reporting main source of access to the Internet broken down by rural / urban on the admin of overall perc</v>
      </c>
    </row>
    <row r="645" spans="2:5" ht="15.75">
      <c r="B645" s="7" t="s">
        <v>91</v>
      </c>
      <c r="C645" s="8" t="s">
        <v>136</v>
      </c>
      <c r="D645" s="1">
        <v>1034</v>
      </c>
      <c r="E645" s="2" t="str">
        <f>HYPERLINK("#'Data'!A6140", "Households reporting main source of access to the Internet broken down by proximity to the Frontline / Russian border on the admin of overall perc")</f>
        <v>Households reporting main source of access to the Internet broken down by proximity to the Frontline / Russian border on the admin of overall perc</v>
      </c>
    </row>
    <row r="646" spans="2:5" ht="15.75">
      <c r="B646" s="5" t="s">
        <v>91</v>
      </c>
      <c r="C646" s="6" t="s">
        <v>136</v>
      </c>
      <c r="D646" s="1">
        <v>1035</v>
      </c>
      <c r="E646" s="2" t="str">
        <f>HYPERLINK("#'Data'!A6150", "Households reporting main source of access to the Internet broken down by member with WGSS disability on the admin of overall perc")</f>
        <v>Households reporting main source of access to the Internet broken down by member with WGSS disability on the admin of overall perc</v>
      </c>
    </row>
    <row r="647" spans="2:5" ht="15.75">
      <c r="B647" s="7" t="s">
        <v>91</v>
      </c>
      <c r="C647" s="8" t="s">
        <v>136</v>
      </c>
      <c r="D647" s="1">
        <v>1036</v>
      </c>
      <c r="E647" s="2" t="str">
        <f>HYPERLINK("#'Data'!A6158", "Households reporting main source of access to the Internet broken down by displacement status of HoH on the admin of overall perc")</f>
        <v>Households reporting main source of access to the Internet broken down by displacement status of HoH on the admin of overall perc</v>
      </c>
    </row>
    <row r="648" spans="2:5" ht="15.75">
      <c r="B648" s="5" t="s">
        <v>91</v>
      </c>
      <c r="C648" s="6" t="s">
        <v>136</v>
      </c>
      <c r="D648" s="1">
        <v>1037</v>
      </c>
      <c r="E648" s="2" t="str">
        <f>HYPERLINK("#'Data'!A6164", "Households reporting main source of access to the Internet broken down by household size on the admin of overall perc")</f>
        <v>Households reporting main source of access to the Internet broken down by household size on the admin of overall perc</v>
      </c>
    </row>
    <row r="649" spans="2:5" ht="15.75">
      <c r="B649" s="7" t="s">
        <v>91</v>
      </c>
      <c r="C649" s="8" t="s">
        <v>136</v>
      </c>
      <c r="D649" s="1">
        <v>1038</v>
      </c>
      <c r="E649" s="2" t="str">
        <f>HYPERLINK("#'Data'!A6174", "Households reporting main source of access to the Internet broken down by single/joint headed HHs on the admin of overall perc")</f>
        <v>Households reporting main source of access to the Internet broken down by single/joint headed HHs on the admin of overall perc</v>
      </c>
    </row>
    <row r="650" spans="2:5" ht="15.75">
      <c r="B650" s="5" t="s">
        <v>91</v>
      </c>
      <c r="C650" s="6" t="s">
        <v>137</v>
      </c>
      <c r="D650" s="1">
        <v>1040</v>
      </c>
      <c r="E650" s="2" t="str">
        <f>HYPERLINK("#'Data'!A6184", "Households reporting distance to the nearest bomb shelter broken down by rural / urban on the admin of overall perc")</f>
        <v>Households reporting distance to the nearest bomb shelter broken down by rural / urban on the admin of overall perc</v>
      </c>
    </row>
    <row r="651" spans="2:5" ht="15.75">
      <c r="B651" s="7" t="s">
        <v>91</v>
      </c>
      <c r="C651" s="8" t="s">
        <v>137</v>
      </c>
      <c r="D651" s="1">
        <v>1041</v>
      </c>
      <c r="E651" s="2" t="str">
        <f>HYPERLINK("#'Data'!A6192", "Households reporting distance to the nearest bomb shelter broken down by proximity to the Frontline / Russian border on the admin of overall perc")</f>
        <v>Households reporting distance to the nearest bomb shelter broken down by proximity to the Frontline / Russian border on the admin of overall perc</v>
      </c>
    </row>
    <row r="652" spans="2:5" ht="15.75">
      <c r="B652" s="5" t="s">
        <v>91</v>
      </c>
      <c r="C652" s="6" t="s">
        <v>137</v>
      </c>
      <c r="D652" s="1">
        <v>1042</v>
      </c>
      <c r="E652" s="2" t="str">
        <f>HYPERLINK("#'Data'!A6202", "Households reporting distance to the nearest bomb shelter broken down by member with WGSS disability on the admin of overall perc")</f>
        <v>Households reporting distance to the nearest bomb shelter broken down by member with WGSS disability on the admin of overall perc</v>
      </c>
    </row>
    <row r="653" spans="2:5" ht="15.75">
      <c r="B653" s="7" t="s">
        <v>91</v>
      </c>
      <c r="C653" s="8" t="s">
        <v>137</v>
      </c>
      <c r="D653" s="1">
        <v>1043</v>
      </c>
      <c r="E653" s="2" t="str">
        <f>HYPERLINK("#'Data'!A6210", "Households reporting distance to the nearest bomb shelter broken down by displacement status of HoH on the admin of overall perc")</f>
        <v>Households reporting distance to the nearest bomb shelter broken down by displacement status of HoH on the admin of overall perc</v>
      </c>
    </row>
    <row r="654" spans="2:5" ht="15.75">
      <c r="B654" s="5" t="s">
        <v>91</v>
      </c>
      <c r="C654" s="6" t="s">
        <v>137</v>
      </c>
      <c r="D654" s="1">
        <v>1044</v>
      </c>
      <c r="E654" s="2" t="str">
        <f>HYPERLINK("#'Data'!A6216", "Households reporting distance to the nearest bomb shelter broken down by household size on the admin of overall perc")</f>
        <v>Households reporting distance to the nearest bomb shelter broken down by household size on the admin of overall perc</v>
      </c>
    </row>
    <row r="655" spans="2:5" ht="15.75">
      <c r="B655" s="7" t="s">
        <v>91</v>
      </c>
      <c r="C655" s="8" t="s">
        <v>137</v>
      </c>
      <c r="D655" s="1">
        <v>1045</v>
      </c>
      <c r="E655" s="2" t="str">
        <f>HYPERLINK("#'Data'!A6226", "Households reporting distance to the nearest bomb shelter broken down by single/joint headed HHs on the admin of overall perc")</f>
        <v>Households reporting distance to the nearest bomb shelter broken down by single/joint headed HHs on the admin of overall perc</v>
      </c>
    </row>
    <row r="656" spans="2:5" ht="15.75">
      <c r="B656" s="5" t="s">
        <v>91</v>
      </c>
      <c r="C656" s="6" t="s">
        <v>138</v>
      </c>
      <c r="D656" s="1">
        <v>1047</v>
      </c>
      <c r="E656" s="2" t="str">
        <f>HYPERLINK("#'Data'!A6236", "Households reporting damage to the shelter in their area of origin (for IDP members) broken down by rural / urban on the admin of overall perc")</f>
        <v>Households reporting damage to the shelter in their area of origin (for IDP members) broken down by rural / urban on the admin of overall perc</v>
      </c>
    </row>
    <row r="657" spans="2:5" ht="15.75">
      <c r="B657" s="7" t="s">
        <v>91</v>
      </c>
      <c r="C657" s="8" t="s">
        <v>138</v>
      </c>
      <c r="D657" s="1">
        <v>1048</v>
      </c>
      <c r="E657" s="2" t="str">
        <f>HYPERLINK("#'Data'!A6244", "Households reporting damage to the shelter in their area of origin (for IDP members) broken down by proximity to the Frontline / Russian border on ...")</f>
        <v>Households reporting damage to the shelter in their area of origin (for IDP members) broken down by proximity to the Frontline / Russian border on ...</v>
      </c>
    </row>
    <row r="658" spans="2:5" ht="15.75">
      <c r="B658" s="5" t="s">
        <v>91</v>
      </c>
      <c r="C658" s="6" t="s">
        <v>138</v>
      </c>
      <c r="D658" s="1">
        <v>1049</v>
      </c>
      <c r="E658" s="2" t="str">
        <f>HYPERLINK("#'Data'!A6254", "Households reporting damage to the shelter in their area of origin (for IDP members) broken down by member with WGSS disability on the admin of ove...")</f>
        <v>Households reporting damage to the shelter in their area of origin (for IDP members) broken down by member with WGSS disability on the admin of ove...</v>
      </c>
    </row>
    <row r="659" spans="2:5" ht="15.75">
      <c r="B659" s="7" t="s">
        <v>91</v>
      </c>
      <c r="C659" s="8" t="s">
        <v>138</v>
      </c>
      <c r="D659" s="1">
        <v>1050</v>
      </c>
      <c r="E659" s="2" t="str">
        <f>HYPERLINK("#'Data'!A6262", "Households reporting damage to the shelter in their area of origin (for IDP members) broken down by displacement status of HoH on the admin of over...")</f>
        <v>Households reporting damage to the shelter in their area of origin (for IDP members) broken down by displacement status of HoH on the admin of over...</v>
      </c>
    </row>
    <row r="660" spans="2:5" ht="15.75">
      <c r="B660" s="5" t="s">
        <v>91</v>
      </c>
      <c r="C660" s="6" t="s">
        <v>138</v>
      </c>
      <c r="D660" s="1">
        <v>1051</v>
      </c>
      <c r="E660" s="2" t="str">
        <f>HYPERLINK("#'Data'!A6268", "Households reporting damage to the shelter in their area of origin (for IDP members) broken down by household size on the admin of overall perc")</f>
        <v>Households reporting damage to the shelter in their area of origin (for IDP members) broken down by household size on the admin of overall perc</v>
      </c>
    </row>
    <row r="661" spans="2:5" ht="15.75">
      <c r="B661" s="7" t="s">
        <v>91</v>
      </c>
      <c r="C661" s="8" t="s">
        <v>138</v>
      </c>
      <c r="D661" s="1">
        <v>1052</v>
      </c>
      <c r="E661" s="2" t="str">
        <f>HYPERLINK("#'Data'!A6278", "Households reporting damage to the shelter in their area of origin (for IDP members) broken down by single/joint headed HHs on the admin of overall...")</f>
        <v>Households reporting damage to the shelter in their area of origin (for IDP members) broken down by single/joint headed HHs on the admin of overall...</v>
      </c>
    </row>
    <row r="662" spans="2:5" ht="15.75">
      <c r="B662" s="5" t="s">
        <v>91</v>
      </c>
      <c r="C662" s="6" t="s">
        <v>139</v>
      </c>
      <c r="D662" s="1">
        <v>1054</v>
      </c>
      <c r="E662" s="2" t="str">
        <f>HYPERLINK("#'Data'!A6288", "Households assessing shelter damage in their shelter in area of origin broken down by rural / urban on the admin of overall perc")</f>
        <v>Households assessing shelter damage in their shelter in area of origin broken down by rural / urban on the admin of overall perc</v>
      </c>
    </row>
    <row r="663" spans="2:5" ht="15.75">
      <c r="B663" s="7" t="s">
        <v>91</v>
      </c>
      <c r="C663" s="8" t="s">
        <v>139</v>
      </c>
      <c r="D663" s="1">
        <v>1055</v>
      </c>
      <c r="E663" s="2" t="str">
        <f>HYPERLINK("#'Data'!A6296", "Households assessing shelter damage in their shelter in area of origin broken down by proximity to the Frontline / Russian border on the admin of o...")</f>
        <v>Households assessing shelter damage in their shelter in area of origin broken down by proximity to the Frontline / Russian border on the admin of o...</v>
      </c>
    </row>
    <row r="664" spans="2:5" ht="15.75">
      <c r="B664" s="5" t="s">
        <v>91</v>
      </c>
      <c r="C664" s="6" t="s">
        <v>139</v>
      </c>
      <c r="D664" s="1">
        <v>1056</v>
      </c>
      <c r="E664" s="2" t="str">
        <f>HYPERLINK("#'Data'!A6306", "Households assessing shelter damage in their shelter in area of origin broken down by member with WGSS disability on the admin of overall perc")</f>
        <v>Households assessing shelter damage in their shelter in area of origin broken down by member with WGSS disability on the admin of overall perc</v>
      </c>
    </row>
    <row r="665" spans="2:5" ht="15.75">
      <c r="B665" s="7" t="s">
        <v>91</v>
      </c>
      <c r="C665" s="8" t="s">
        <v>139</v>
      </c>
      <c r="D665" s="1">
        <v>1057</v>
      </c>
      <c r="E665" s="2" t="str">
        <f>HYPERLINK("#'Data'!A6314", "Households assessing shelter damage in their shelter in area of origin broken down by displacement status of HoH on the admin of overall perc")</f>
        <v>Households assessing shelter damage in their shelter in area of origin broken down by displacement status of HoH on the admin of overall perc</v>
      </c>
    </row>
    <row r="666" spans="2:5" ht="15.75">
      <c r="B666" s="5" t="s">
        <v>91</v>
      </c>
      <c r="C666" s="6" t="s">
        <v>139</v>
      </c>
      <c r="D666" s="1">
        <v>1058</v>
      </c>
      <c r="E666" s="2" t="str">
        <f>HYPERLINK("#'Data'!A6320", "Households assessing shelter damage in their shelter in area of origin broken down by household size on the admin of overall perc")</f>
        <v>Households assessing shelter damage in their shelter in area of origin broken down by household size on the admin of overall perc</v>
      </c>
    </row>
    <row r="667" spans="2:5" ht="15.75">
      <c r="B667" s="7" t="s">
        <v>91</v>
      </c>
      <c r="C667" s="8" t="s">
        <v>139</v>
      </c>
      <c r="D667" s="1">
        <v>1059</v>
      </c>
      <c r="E667" s="2" t="str">
        <f>HYPERLINK("#'Data'!A6330", "Households assessing shelter damage in their shelter in area of origin broken down by single/joint headed HHs on the admin of overall perc")</f>
        <v>Households assessing shelter damage in their shelter in area of origin broken down by single/joint headed HHs on the admin of overall perc</v>
      </c>
    </row>
    <row r="668" spans="2:5" ht="15.75">
      <c r="B668" s="5" t="s">
        <v>140</v>
      </c>
      <c r="C668" s="6" t="s">
        <v>141</v>
      </c>
      <c r="D668" s="1">
        <v>1061</v>
      </c>
      <c r="E668" s="2" t="str">
        <f>HYPERLINK("#'Data'!A6340", "Households reporting their main source of drinking water broken down by rural / urban on the admin of overall perc")</f>
        <v>Households reporting their main source of drinking water broken down by rural / urban on the admin of overall perc</v>
      </c>
    </row>
    <row r="669" spans="2:5" ht="15.75">
      <c r="B669" s="7" t="s">
        <v>140</v>
      </c>
      <c r="C669" s="8" t="s">
        <v>141</v>
      </c>
      <c r="D669" s="1">
        <v>1062</v>
      </c>
      <c r="E669" s="2" t="str">
        <f>HYPERLINK("#'Data'!A6348", "Households reporting their main source of drinking water broken down by proximity to the Frontline / Russian border on the admin of overall perc")</f>
        <v>Households reporting their main source of drinking water broken down by proximity to the Frontline / Russian border on the admin of overall perc</v>
      </c>
    </row>
    <row r="670" spans="2:5" ht="15.75">
      <c r="B670" s="5" t="s">
        <v>140</v>
      </c>
      <c r="C670" s="6" t="s">
        <v>141</v>
      </c>
      <c r="D670" s="1">
        <v>1063</v>
      </c>
      <c r="E670" s="2" t="str">
        <f>HYPERLINK("#'Data'!A6358", "Households reporting their main source of drinking water broken down by member with WGSS disability on the admin of overall perc")</f>
        <v>Households reporting their main source of drinking water broken down by member with WGSS disability on the admin of overall perc</v>
      </c>
    </row>
    <row r="671" spans="2:5" ht="15.75">
      <c r="B671" s="7" t="s">
        <v>140</v>
      </c>
      <c r="C671" s="8" t="s">
        <v>141</v>
      </c>
      <c r="D671" s="1">
        <v>1064</v>
      </c>
      <c r="E671" s="2" t="str">
        <f>HYPERLINK("#'Data'!A6366", "Households reporting their main source of drinking water broken down by displacement status of HoH on the admin of overall perc")</f>
        <v>Households reporting their main source of drinking water broken down by displacement status of HoH on the admin of overall perc</v>
      </c>
    </row>
    <row r="672" spans="2:5" ht="15.75">
      <c r="B672" s="5" t="s">
        <v>140</v>
      </c>
      <c r="C672" s="6" t="s">
        <v>141</v>
      </c>
      <c r="D672" s="1">
        <v>1065</v>
      </c>
      <c r="E672" s="2" t="str">
        <f>HYPERLINK("#'Data'!A6372", "Households reporting their main source of drinking water broken down by household size on the admin of overall perc")</f>
        <v>Households reporting their main source of drinking water broken down by household size on the admin of overall perc</v>
      </c>
    </row>
    <row r="673" spans="2:5" ht="15.75">
      <c r="B673" s="7" t="s">
        <v>140</v>
      </c>
      <c r="C673" s="8" t="s">
        <v>141</v>
      </c>
      <c r="D673" s="1">
        <v>1066</v>
      </c>
      <c r="E673" s="2" t="str">
        <f>HYPERLINK("#'Data'!A6382", "Households reporting their main source of drinking water broken down by single/joint headed HHs on the admin of overall perc")</f>
        <v>Households reporting their main source of drinking water broken down by single/joint headed HHs on the admin of overall perc</v>
      </c>
    </row>
    <row r="674" spans="2:5" ht="15.75">
      <c r="B674" s="5" t="s">
        <v>140</v>
      </c>
      <c r="C674" s="6" t="s">
        <v>142</v>
      </c>
      <c r="D674" s="1">
        <v>1068</v>
      </c>
      <c r="E674" s="2" t="str">
        <f>HYPERLINK("#'Data'!A6392", "Time reported by Households to Fetch Water from Main Source of Water used for Drinking overall broken down by rural / urban on the admin of overall...")</f>
        <v>Time reported by Households to Fetch Water from Main Source of Water used for Drinking overall broken down by rural / urban on the admin of overall...</v>
      </c>
    </row>
    <row r="675" spans="2:5" ht="15.75">
      <c r="B675" s="7" t="s">
        <v>140</v>
      </c>
      <c r="C675" s="8" t="s">
        <v>142</v>
      </c>
      <c r="D675" s="1">
        <v>1069</v>
      </c>
      <c r="E675" s="2" t="str">
        <f>HYPERLINK("#'Data'!A6400", "Time reported by Households to Fetch Water from Main Source of Water used for Drinking overall broken down by proximity to the Frontline / Russian ...")</f>
        <v>Time reported by Households to Fetch Water from Main Source of Water used for Drinking overall broken down by proximity to the Frontline / Russian ...</v>
      </c>
    </row>
    <row r="676" spans="2:5" ht="15.75">
      <c r="B676" s="5" t="s">
        <v>140</v>
      </c>
      <c r="C676" s="6" t="s">
        <v>142</v>
      </c>
      <c r="D676" s="1">
        <v>1070</v>
      </c>
      <c r="E676" s="2" t="str">
        <f>HYPERLINK("#'Data'!A6410", "Time reported by Households to Fetch Water from Main Source of Water used for Drinking overall broken down by member with WGSS disability on the ad...")</f>
        <v>Time reported by Households to Fetch Water from Main Source of Water used for Drinking overall broken down by member with WGSS disability on the ad...</v>
      </c>
    </row>
    <row r="677" spans="2:5" ht="15.75">
      <c r="B677" s="7" t="s">
        <v>140</v>
      </c>
      <c r="C677" s="8" t="s">
        <v>142</v>
      </c>
      <c r="D677" s="1">
        <v>1071</v>
      </c>
      <c r="E677" s="2" t="str">
        <f>HYPERLINK("#'Data'!A6418", "Time reported by Households to Fetch Water from Main Source of Water used for Drinking overall broken down by displacement status of HoH on the adm...")</f>
        <v>Time reported by Households to Fetch Water from Main Source of Water used for Drinking overall broken down by displacement status of HoH on the adm...</v>
      </c>
    </row>
    <row r="678" spans="2:5" ht="15.75">
      <c r="B678" s="5" t="s">
        <v>140</v>
      </c>
      <c r="C678" s="6" t="s">
        <v>142</v>
      </c>
      <c r="D678" s="1">
        <v>1072</v>
      </c>
      <c r="E678" s="2" t="str">
        <f>HYPERLINK("#'Data'!A6424", "Time reported by Households to Fetch Water from Main Source of Water used for Drinking overall broken down by household size on the admin of overal...")</f>
        <v>Time reported by Households to Fetch Water from Main Source of Water used for Drinking overall broken down by household size on the admin of overal...</v>
      </c>
    </row>
    <row r="679" spans="2:5" ht="15.75">
      <c r="B679" s="7" t="s">
        <v>140</v>
      </c>
      <c r="C679" s="8" t="s">
        <v>142</v>
      </c>
      <c r="D679" s="1">
        <v>1073</v>
      </c>
      <c r="E679" s="2" t="str">
        <f>HYPERLINK("#'Data'!A6434", "Time reported by Households to Fetch Water from Main Source of Water used for Drinking overall broken down by single/joint headed HHs on the admin ...")</f>
        <v>Time reported by Households to Fetch Water from Main Source of Water used for Drinking overall broken down by single/joint headed HHs on the admin ...</v>
      </c>
    </row>
    <row r="680" spans="2:5" ht="15.75">
      <c r="B680" s="5" t="s">
        <v>140</v>
      </c>
      <c r="C680" s="6" t="s">
        <v>143</v>
      </c>
      <c r="D680" s="1">
        <v>1075</v>
      </c>
      <c r="E680" s="2" t="str">
        <f>HYPERLINK("#'Data'!A6444", "Households assessing drinking water from their main source broken down by rural / urban on the admin of overall perc")</f>
        <v>Households assessing drinking water from their main source broken down by rural / urban on the admin of overall perc</v>
      </c>
    </row>
    <row r="681" spans="2:5" ht="15.75">
      <c r="B681" s="7" t="s">
        <v>140</v>
      </c>
      <c r="C681" s="8" t="s">
        <v>143</v>
      </c>
      <c r="D681" s="1">
        <v>1076</v>
      </c>
      <c r="E681" s="2" t="str">
        <f>HYPERLINK("#'Data'!A6452", "Households assessing drinking water from their main source broken down by proximity to the Frontline / Russian border on the admin of overall perc")</f>
        <v>Households assessing drinking water from their main source broken down by proximity to the Frontline / Russian border on the admin of overall perc</v>
      </c>
    </row>
    <row r="682" spans="2:5" ht="15.75">
      <c r="B682" s="5" t="s">
        <v>140</v>
      </c>
      <c r="C682" s="6" t="s">
        <v>143</v>
      </c>
      <c r="D682" s="1">
        <v>1077</v>
      </c>
      <c r="E682" s="2" t="str">
        <f>HYPERLINK("#'Data'!A6462", "Households assessing drinking water from their main source broken down by member with WGSS disability on the admin of overall perc")</f>
        <v>Households assessing drinking water from their main source broken down by member with WGSS disability on the admin of overall perc</v>
      </c>
    </row>
    <row r="683" spans="2:5" ht="15.75">
      <c r="B683" s="7" t="s">
        <v>140</v>
      </c>
      <c r="C683" s="8" t="s">
        <v>143</v>
      </c>
      <c r="D683" s="1">
        <v>1078</v>
      </c>
      <c r="E683" s="2" t="str">
        <f>HYPERLINK("#'Data'!A6470", "Households assessing drinking water from their main source broken down by displacement status of HoH on the admin of overall perc")</f>
        <v>Households assessing drinking water from their main source broken down by displacement status of HoH on the admin of overall perc</v>
      </c>
    </row>
    <row r="684" spans="2:5" ht="15.75">
      <c r="B684" s="5" t="s">
        <v>140</v>
      </c>
      <c r="C684" s="6" t="s">
        <v>143</v>
      </c>
      <c r="D684" s="1">
        <v>1079</v>
      </c>
      <c r="E684" s="2" t="str">
        <f>HYPERLINK("#'Data'!A6476", "Households assessing drinking water from their main source broken down by household size on the admin of overall perc")</f>
        <v>Households assessing drinking water from their main source broken down by household size on the admin of overall perc</v>
      </c>
    </row>
    <row r="685" spans="2:5" ht="15.75">
      <c r="B685" s="7" t="s">
        <v>140</v>
      </c>
      <c r="C685" s="8" t="s">
        <v>143</v>
      </c>
      <c r="D685" s="1">
        <v>1080</v>
      </c>
      <c r="E685" s="2" t="str">
        <f>HYPERLINK("#'Data'!A6486", "Households assessing drinking water from their main source broken down by single/joint headed HHs on the admin of overall perc")</f>
        <v>Households assessing drinking water from their main source broken down by single/joint headed HHs on the admin of overall perc</v>
      </c>
    </row>
    <row r="686" spans="2:5" ht="15.75">
      <c r="B686" s="5" t="s">
        <v>140</v>
      </c>
      <c r="C686" s="6" t="s">
        <v>144</v>
      </c>
      <c r="D686" s="1">
        <v>1082</v>
      </c>
      <c r="E686" s="2" t="str">
        <f>HYPERLINK("#'Data'!A6496", "Households reportedly treating drinking water from their main source broken down by rural / urban on the admin of overall perc")</f>
        <v>Households reportedly treating drinking water from their main source broken down by rural / urban on the admin of overall perc</v>
      </c>
    </row>
    <row r="687" spans="2:5" ht="15.75">
      <c r="B687" s="7" t="s">
        <v>140</v>
      </c>
      <c r="C687" s="8" t="s">
        <v>144</v>
      </c>
      <c r="D687" s="1">
        <v>1083</v>
      </c>
      <c r="E687" s="2" t="str">
        <f>HYPERLINK("#'Data'!A6504", "Households reportedly treating drinking water from their main source broken down by proximity to the Frontline / Russian border on the admin of ove...")</f>
        <v>Households reportedly treating drinking water from their main source broken down by proximity to the Frontline / Russian border on the admin of ove...</v>
      </c>
    </row>
    <row r="688" spans="2:5" ht="15.75">
      <c r="B688" s="5" t="s">
        <v>140</v>
      </c>
      <c r="C688" s="6" t="s">
        <v>144</v>
      </c>
      <c r="D688" s="1">
        <v>1084</v>
      </c>
      <c r="E688" s="2" t="str">
        <f>HYPERLINK("#'Data'!A6514", "Households reportedly treating drinking water from their main source broken down by member with WGSS disability on the admin of overall perc")</f>
        <v>Households reportedly treating drinking water from their main source broken down by member with WGSS disability on the admin of overall perc</v>
      </c>
    </row>
    <row r="689" spans="2:5" ht="15.75">
      <c r="B689" s="7" t="s">
        <v>140</v>
      </c>
      <c r="C689" s="8" t="s">
        <v>144</v>
      </c>
      <c r="D689" s="1">
        <v>1085</v>
      </c>
      <c r="E689" s="2" t="str">
        <f>HYPERLINK("#'Data'!A6522", "Households reportedly treating drinking water from their main source broken down by displacement status of HoH on the admin of overall perc")</f>
        <v>Households reportedly treating drinking water from their main source broken down by displacement status of HoH on the admin of overall perc</v>
      </c>
    </row>
    <row r="690" spans="2:5" ht="15.75">
      <c r="B690" s="5" t="s">
        <v>140</v>
      </c>
      <c r="C690" s="6" t="s">
        <v>144</v>
      </c>
      <c r="D690" s="1">
        <v>1086</v>
      </c>
      <c r="E690" s="2" t="str">
        <f>HYPERLINK("#'Data'!A6528", "Households reportedly treating drinking water from their main source broken down by household size on the admin of overall perc")</f>
        <v>Households reportedly treating drinking water from their main source broken down by household size on the admin of overall perc</v>
      </c>
    </row>
    <row r="691" spans="2:5" ht="15.75">
      <c r="B691" s="7" t="s">
        <v>140</v>
      </c>
      <c r="C691" s="8" t="s">
        <v>144</v>
      </c>
      <c r="D691" s="1">
        <v>1087</v>
      </c>
      <c r="E691" s="2" t="str">
        <f>HYPERLINK("#'Data'!A6538", "Households reportedly treating drinking water from their main source broken down by single/joint headed HHs on the admin of overall perc")</f>
        <v>Households reportedly treating drinking water from their main source broken down by single/joint headed HHs on the admin of overall perc</v>
      </c>
    </row>
    <row r="692" spans="2:5" ht="15.75">
      <c r="B692" s="5" t="s">
        <v>140</v>
      </c>
      <c r="C692" s="6" t="s">
        <v>145</v>
      </c>
      <c r="D692" s="1">
        <v>1089</v>
      </c>
      <c r="E692" s="2" t="str">
        <f>HYPERLINK("#'Data'!A6548", "Households reporting days without sufficient drinking water in the last 4 weeks broken down by rural / urban on the admin of overall mean")</f>
        <v>Households reporting days without sufficient drinking water in the last 4 weeks broken down by rural / urban on the admin of overall mean</v>
      </c>
    </row>
    <row r="693" spans="2:5" ht="15.75">
      <c r="B693" s="7" t="s">
        <v>140</v>
      </c>
      <c r="C693" s="8" t="s">
        <v>145</v>
      </c>
      <c r="D693" s="1">
        <v>1090</v>
      </c>
      <c r="E693" s="2" t="str">
        <f>HYPERLINK("#'Data'!A6556", "Households reporting days without sufficient drinking water in the last 4 weeks broken down by proximity to the Frontline / Russian border on the a...")</f>
        <v>Households reporting days without sufficient drinking water in the last 4 weeks broken down by proximity to the Frontline / Russian border on the a...</v>
      </c>
    </row>
    <row r="694" spans="2:5" ht="15.75">
      <c r="B694" s="5" t="s">
        <v>140</v>
      </c>
      <c r="C694" s="6" t="s">
        <v>145</v>
      </c>
      <c r="D694" s="1">
        <v>1091</v>
      </c>
      <c r="E694" s="2" t="str">
        <f>HYPERLINK("#'Data'!A6566", "Households reporting days without sufficient drinking water in the last 4 weeks broken down by member with WGSS disability on the admin of overall ...")</f>
        <v>Households reporting days without sufficient drinking water in the last 4 weeks broken down by member with WGSS disability on the admin of overall ...</v>
      </c>
    </row>
    <row r="695" spans="2:5" ht="15.75">
      <c r="B695" s="7" t="s">
        <v>140</v>
      </c>
      <c r="C695" s="8" t="s">
        <v>145</v>
      </c>
      <c r="D695" s="1">
        <v>1092</v>
      </c>
      <c r="E695" s="2" t="str">
        <f>HYPERLINK("#'Data'!A6574", "Households reporting days without sufficient drinking water in the last 4 weeks broken down by displacement status of HoH on the admin of overall m...")</f>
        <v>Households reporting days without sufficient drinking water in the last 4 weeks broken down by displacement status of HoH on the admin of overall m...</v>
      </c>
    </row>
    <row r="696" spans="2:5" ht="15.75">
      <c r="B696" s="5" t="s">
        <v>140</v>
      </c>
      <c r="C696" s="6" t="s">
        <v>145</v>
      </c>
      <c r="D696" s="1">
        <v>1093</v>
      </c>
      <c r="E696" s="2" t="str">
        <f>HYPERLINK("#'Data'!A6580", "Households reporting days without sufficient drinking water in the last 4 weeks broken down by household size on the admin of overall mean")</f>
        <v>Households reporting days without sufficient drinking water in the last 4 weeks broken down by household size on the admin of overall mean</v>
      </c>
    </row>
    <row r="697" spans="2:5" ht="15.75">
      <c r="B697" s="7" t="s">
        <v>140</v>
      </c>
      <c r="C697" s="8" t="s">
        <v>145</v>
      </c>
      <c r="D697" s="1">
        <v>1094</v>
      </c>
      <c r="E697" s="2" t="str">
        <f>HYPERLINK("#'Data'!A6590", "Households reporting days without sufficient drinking water in the last 4 weeks broken down by single/joint headed HHs on the admin of overall mean")</f>
        <v>Households reporting days without sufficient drinking water in the last 4 weeks broken down by single/joint headed HHs on the admin of overall mean</v>
      </c>
    </row>
    <row r="698" spans="2:5" ht="15.75">
      <c r="B698" s="5" t="s">
        <v>140</v>
      </c>
      <c r="C698" s="6" t="s">
        <v>146</v>
      </c>
      <c r="D698" s="1">
        <v>1096</v>
      </c>
      <c r="E698" s="2" t="str">
        <f>HYPERLINK("#'Data'!A6600", "Households reporting sources of water for domestic purposes broken down by rural / urban on the admin of overall perc")</f>
        <v>Households reporting sources of water for domestic purposes broken down by rural / urban on the admin of overall perc</v>
      </c>
    </row>
    <row r="699" spans="2:5" ht="15.75">
      <c r="B699" s="7" t="s">
        <v>140</v>
      </c>
      <c r="C699" s="8" t="s">
        <v>146</v>
      </c>
      <c r="D699" s="1">
        <v>1097</v>
      </c>
      <c r="E699" s="2" t="str">
        <f>HYPERLINK("#'Data'!A6608", "Households reporting sources of water for domestic purposes broken down by proximity to the Frontline / Russian border on the admin of overall perc")</f>
        <v>Households reporting sources of water for domestic purposes broken down by proximity to the Frontline / Russian border on the admin of overall perc</v>
      </c>
    </row>
    <row r="700" spans="2:5" ht="15.75">
      <c r="B700" s="5" t="s">
        <v>140</v>
      </c>
      <c r="C700" s="6" t="s">
        <v>146</v>
      </c>
      <c r="D700" s="1">
        <v>1098</v>
      </c>
      <c r="E700" s="2" t="str">
        <f>HYPERLINK("#'Data'!A6618", "Households reporting sources of water for domestic purposes broken down by member with WGSS disability on the admin of overall perc")</f>
        <v>Households reporting sources of water for domestic purposes broken down by member with WGSS disability on the admin of overall perc</v>
      </c>
    </row>
    <row r="701" spans="2:5" ht="15.75">
      <c r="B701" s="7" t="s">
        <v>140</v>
      </c>
      <c r="C701" s="8" t="s">
        <v>146</v>
      </c>
      <c r="D701" s="1">
        <v>1099</v>
      </c>
      <c r="E701" s="2" t="str">
        <f>HYPERLINK("#'Data'!A6626", "Households reporting sources of water for domestic purposes broken down by displacement status of HoH on the admin of overall perc")</f>
        <v>Households reporting sources of water for domestic purposes broken down by displacement status of HoH on the admin of overall perc</v>
      </c>
    </row>
    <row r="702" spans="2:5" ht="15.75">
      <c r="B702" s="5" t="s">
        <v>140</v>
      </c>
      <c r="C702" s="6" t="s">
        <v>146</v>
      </c>
      <c r="D702" s="1">
        <v>1100</v>
      </c>
      <c r="E702" s="2" t="str">
        <f>HYPERLINK("#'Data'!A6632", "Households reporting sources of water for domestic purposes broken down by household size on the admin of overall perc")</f>
        <v>Households reporting sources of water for domestic purposes broken down by household size on the admin of overall perc</v>
      </c>
    </row>
    <row r="703" spans="2:5" ht="15.75">
      <c r="B703" s="7" t="s">
        <v>140</v>
      </c>
      <c r="C703" s="8" t="s">
        <v>146</v>
      </c>
      <c r="D703" s="1">
        <v>1101</v>
      </c>
      <c r="E703" s="2" t="str">
        <f>HYPERLINK("#'Data'!A6642", "Households reporting sources of water for domestic purposes broken down by single/joint headed HHs on the admin of overall perc")</f>
        <v>Households reporting sources of water for domestic purposes broken down by single/joint headed HHs on the admin of overall perc</v>
      </c>
    </row>
    <row r="704" spans="2:5" ht="15.75">
      <c r="B704" s="5" t="s">
        <v>140</v>
      </c>
      <c r="C704" s="6" t="s">
        <v>147</v>
      </c>
      <c r="D704" s="1">
        <v>1103</v>
      </c>
      <c r="E704" s="2" t="str">
        <f>HYPERLINK("#'Data'!A6652", "Households reporting having enough water for technical needs broken down by rural / urban on the admin of overall perc")</f>
        <v>Households reporting having enough water for technical needs broken down by rural / urban on the admin of overall perc</v>
      </c>
    </row>
    <row r="705" spans="2:5" ht="15.75">
      <c r="B705" s="7" t="s">
        <v>140</v>
      </c>
      <c r="C705" s="8" t="s">
        <v>147</v>
      </c>
      <c r="D705" s="1">
        <v>1104</v>
      </c>
      <c r="E705" s="2" t="str">
        <f>HYPERLINK("#'Data'!A6660", "Households reporting having enough water for technical needs broken down by proximity to the Frontline / Russian border on the admin of overall per...")</f>
        <v>Households reporting having enough water for technical needs broken down by proximity to the Frontline / Russian border on the admin of overall per...</v>
      </c>
    </row>
    <row r="706" spans="2:5" ht="15.75">
      <c r="B706" s="5" t="s">
        <v>140</v>
      </c>
      <c r="C706" s="6" t="s">
        <v>147</v>
      </c>
      <c r="D706" s="1">
        <v>1105</v>
      </c>
      <c r="E706" s="2" t="str">
        <f>HYPERLINK("#'Data'!A6670", "Households reporting having enough water for technical needs broken down by member with WGSS disability on the admin of overall perc")</f>
        <v>Households reporting having enough water for technical needs broken down by member with WGSS disability on the admin of overall perc</v>
      </c>
    </row>
    <row r="707" spans="2:5" ht="15.75">
      <c r="B707" s="7" t="s">
        <v>140</v>
      </c>
      <c r="C707" s="8" t="s">
        <v>147</v>
      </c>
      <c r="D707" s="1">
        <v>1106</v>
      </c>
      <c r="E707" s="2" t="str">
        <f>HYPERLINK("#'Data'!A6678", "Households reporting having enough water for technical needs broken down by displacement status of HoH on the admin of overall perc")</f>
        <v>Households reporting having enough water for technical needs broken down by displacement status of HoH on the admin of overall perc</v>
      </c>
    </row>
    <row r="708" spans="2:5" ht="15.75">
      <c r="B708" s="5" t="s">
        <v>140</v>
      </c>
      <c r="C708" s="6" t="s">
        <v>147</v>
      </c>
      <c r="D708" s="1">
        <v>1107</v>
      </c>
      <c r="E708" s="2" t="str">
        <f>HYPERLINK("#'Data'!A6684", "Households reporting having enough water for technical needs broken down by household size on the admin of overall perc")</f>
        <v>Households reporting having enough water for technical needs broken down by household size on the admin of overall perc</v>
      </c>
    </row>
    <row r="709" spans="2:5" ht="15.75">
      <c r="B709" s="7" t="s">
        <v>140</v>
      </c>
      <c r="C709" s="8" t="s">
        <v>147</v>
      </c>
      <c r="D709" s="1">
        <v>1108</v>
      </c>
      <c r="E709" s="2" t="str">
        <f>HYPERLINK("#'Data'!A6694", "Households reporting having enough water for technical needs broken down by single/joint headed HHs on the admin of overall perc")</f>
        <v>Households reporting having enough water for technical needs broken down by single/joint headed HHs on the admin of overall perc</v>
      </c>
    </row>
    <row r="710" spans="2:5" ht="15.75">
      <c r="B710" s="5" t="s">
        <v>140</v>
      </c>
      <c r="C710" s="6" t="s">
        <v>148</v>
      </c>
      <c r="D710" s="1">
        <v>1110</v>
      </c>
      <c r="E710" s="2" t="str">
        <f>HYPERLINK("#'Data'!A6704", "Households reportedly having issues with performing personal hygiene broken down by rural / urban on the admin of overall perc")</f>
        <v>Households reportedly having issues with performing personal hygiene broken down by rural / urban on the admin of overall perc</v>
      </c>
    </row>
    <row r="711" spans="2:5" ht="15.75">
      <c r="B711" s="7" t="s">
        <v>140</v>
      </c>
      <c r="C711" s="8" t="s">
        <v>148</v>
      </c>
      <c r="D711" s="1">
        <v>1111</v>
      </c>
      <c r="E711" s="2" t="str">
        <f>HYPERLINK("#'Data'!A6712", "Households reportedly having issues with performing personal hygiene broken down by proximity to the Frontline / Russian border on the admin of ove...")</f>
        <v>Households reportedly having issues with performing personal hygiene broken down by proximity to the Frontline / Russian border on the admin of ove...</v>
      </c>
    </row>
    <row r="712" spans="2:5" ht="15.75">
      <c r="B712" s="5" t="s">
        <v>140</v>
      </c>
      <c r="C712" s="6" t="s">
        <v>148</v>
      </c>
      <c r="D712" s="1">
        <v>1112</v>
      </c>
      <c r="E712" s="2" t="str">
        <f>HYPERLINK("#'Data'!A6722", "Households reportedly having issues with performing personal hygiene broken down by member with WGSS disability on the admin of overall perc")</f>
        <v>Households reportedly having issues with performing personal hygiene broken down by member with WGSS disability on the admin of overall perc</v>
      </c>
    </row>
    <row r="713" spans="2:5" ht="15.75">
      <c r="B713" s="7" t="s">
        <v>140</v>
      </c>
      <c r="C713" s="8" t="s">
        <v>148</v>
      </c>
      <c r="D713" s="1">
        <v>1113</v>
      </c>
      <c r="E713" s="2" t="str">
        <f>HYPERLINK("#'Data'!A6730", "Households reportedly having issues with performing personal hygiene broken down by displacement status of HoH on the admin of overall perc")</f>
        <v>Households reportedly having issues with performing personal hygiene broken down by displacement status of HoH on the admin of overall perc</v>
      </c>
    </row>
    <row r="714" spans="2:5" ht="15.75">
      <c r="B714" s="5" t="s">
        <v>140</v>
      </c>
      <c r="C714" s="6" t="s">
        <v>148</v>
      </c>
      <c r="D714" s="1">
        <v>1114</v>
      </c>
      <c r="E714" s="2" t="str">
        <f>HYPERLINK("#'Data'!A6736", "Households reportedly having issues with performing personal hygiene broken down by household size on the admin of overall perc")</f>
        <v>Households reportedly having issues with performing personal hygiene broken down by household size on the admin of overall perc</v>
      </c>
    </row>
    <row r="715" spans="2:5" ht="15.75">
      <c r="B715" s="7" t="s">
        <v>140</v>
      </c>
      <c r="C715" s="8" t="s">
        <v>148</v>
      </c>
      <c r="D715" s="1">
        <v>1115</v>
      </c>
      <c r="E715" s="2" t="str">
        <f>HYPERLINK("#'Data'!A6746", "Households reportedly having issues with performing personal hygiene broken down by single/joint headed HHs on the admin of overall perc")</f>
        <v>Households reportedly having issues with performing personal hygiene broken down by single/joint headed HHs on the admin of overall perc</v>
      </c>
    </row>
    <row r="716" spans="2:5" ht="15.75">
      <c r="B716" s="5" t="s">
        <v>140</v>
      </c>
      <c r="C716" s="6" t="s">
        <v>149</v>
      </c>
      <c r="D716" s="1">
        <v>1117</v>
      </c>
      <c r="E716" s="2" t="str">
        <f>HYPERLINK("#'Data'!A6756", "Reasons why households reported issues with performing personal hygiene broken down by rural / urban on the admin of overall perc")</f>
        <v>Reasons why households reported issues with performing personal hygiene broken down by rural / urban on the admin of overall perc</v>
      </c>
    </row>
    <row r="717" spans="2:5" ht="15.75">
      <c r="B717" s="7" t="s">
        <v>140</v>
      </c>
      <c r="C717" s="8" t="s">
        <v>149</v>
      </c>
      <c r="D717" s="1">
        <v>1118</v>
      </c>
      <c r="E717" s="2" t="str">
        <f>HYPERLINK("#'Data'!A6764", "Reasons why households reported issues with performing personal hygiene broken down by proximity to the Frontline / Russian border on the admin of ...")</f>
        <v>Reasons why households reported issues with performing personal hygiene broken down by proximity to the Frontline / Russian border on the admin of ...</v>
      </c>
    </row>
    <row r="718" spans="2:5" ht="15.75">
      <c r="B718" s="5" t="s">
        <v>140</v>
      </c>
      <c r="C718" s="6" t="s">
        <v>149</v>
      </c>
      <c r="D718" s="1">
        <v>1119</v>
      </c>
      <c r="E718" s="2" t="str">
        <f>HYPERLINK("#'Data'!A6774", "Reasons why households reported issues with performing personal hygiene broken down by member with WGSS disability on the admin of overall perc")</f>
        <v>Reasons why households reported issues with performing personal hygiene broken down by member with WGSS disability on the admin of overall perc</v>
      </c>
    </row>
    <row r="719" spans="2:5" ht="15.75">
      <c r="B719" s="7" t="s">
        <v>140</v>
      </c>
      <c r="C719" s="8" t="s">
        <v>149</v>
      </c>
      <c r="D719" s="1">
        <v>1120</v>
      </c>
      <c r="E719" s="2" t="str">
        <f>HYPERLINK("#'Data'!A6782", "Reasons why households reported issues with performing personal hygiene broken down by displacement status of HoH on the admin of overall perc")</f>
        <v>Reasons why households reported issues with performing personal hygiene broken down by displacement status of HoH on the admin of overall perc</v>
      </c>
    </row>
    <row r="720" spans="2:5" ht="15.75">
      <c r="B720" s="5" t="s">
        <v>140</v>
      </c>
      <c r="C720" s="6" t="s">
        <v>149</v>
      </c>
      <c r="D720" s="1">
        <v>1121</v>
      </c>
      <c r="E720" s="2" t="str">
        <f>HYPERLINK("#'Data'!A6788", "Reasons why households reported issues with performing personal hygiene broken down by household size on the admin of overall perc")</f>
        <v>Reasons why households reported issues with performing personal hygiene broken down by household size on the admin of overall perc</v>
      </c>
    </row>
    <row r="721" spans="2:5" ht="15.75">
      <c r="B721" s="7" t="s">
        <v>140</v>
      </c>
      <c r="C721" s="8" t="s">
        <v>149</v>
      </c>
      <c r="D721" s="1">
        <v>1122</v>
      </c>
      <c r="E721" s="2" t="str">
        <f>HYPERLINK("#'Data'!A6798", "Reasons why households reported issues with performing personal hygiene broken down by single/joint headed HHs on the admin of overall perc")</f>
        <v>Reasons why households reported issues with performing personal hygiene broken down by single/joint headed HHs on the admin of overall perc</v>
      </c>
    </row>
    <row r="722" spans="2:5" ht="15.75">
      <c r="B722" s="5" t="s">
        <v>140</v>
      </c>
      <c r="C722" s="6" t="s">
        <v>150</v>
      </c>
      <c r="D722" s="1">
        <v>1124</v>
      </c>
      <c r="E722" s="2" t="str">
        <f>HYPERLINK("#'Data'!A6808", "Main handwashing facilities reported by households broken down by rural / urban on the admin of overall perc")</f>
        <v>Main handwashing facilities reported by households broken down by rural / urban on the admin of overall perc</v>
      </c>
    </row>
    <row r="723" spans="2:5" ht="15.75">
      <c r="B723" s="7" t="s">
        <v>140</v>
      </c>
      <c r="C723" s="8" t="s">
        <v>150</v>
      </c>
      <c r="D723" s="1">
        <v>1125</v>
      </c>
      <c r="E723" s="2" t="str">
        <f>HYPERLINK("#'Data'!A6816", "Main handwashing facilities reported by households broken down by proximity to the Frontline / Russian border on the admin of overall perc")</f>
        <v>Main handwashing facilities reported by households broken down by proximity to the Frontline / Russian border on the admin of overall perc</v>
      </c>
    </row>
    <row r="724" spans="2:5" ht="15.75">
      <c r="B724" s="5" t="s">
        <v>140</v>
      </c>
      <c r="C724" s="6" t="s">
        <v>150</v>
      </c>
      <c r="D724" s="1">
        <v>1126</v>
      </c>
      <c r="E724" s="2" t="str">
        <f>HYPERLINK("#'Data'!A6826", "Main handwashing facilities reported by households broken down by member with WGSS disability on the admin of overall perc")</f>
        <v>Main handwashing facilities reported by households broken down by member with WGSS disability on the admin of overall perc</v>
      </c>
    </row>
    <row r="725" spans="2:5" ht="15.75">
      <c r="B725" s="7" t="s">
        <v>140</v>
      </c>
      <c r="C725" s="8" t="s">
        <v>150</v>
      </c>
      <c r="D725" s="1">
        <v>1127</v>
      </c>
      <c r="E725" s="2" t="str">
        <f>HYPERLINK("#'Data'!A6834", "Main handwashing facilities reported by households broken down by displacement status of HoH on the admin of overall perc")</f>
        <v>Main handwashing facilities reported by households broken down by displacement status of HoH on the admin of overall perc</v>
      </c>
    </row>
    <row r="726" spans="2:5" ht="15.75">
      <c r="B726" s="5" t="s">
        <v>140</v>
      </c>
      <c r="C726" s="6" t="s">
        <v>150</v>
      </c>
      <c r="D726" s="1">
        <v>1128</v>
      </c>
      <c r="E726" s="2" t="str">
        <f>HYPERLINK("#'Data'!A6840", "Main handwashing facilities reported by households broken down by household size on the admin of overall perc")</f>
        <v>Main handwashing facilities reported by households broken down by household size on the admin of overall perc</v>
      </c>
    </row>
    <row r="727" spans="2:5" ht="15.75">
      <c r="B727" s="7" t="s">
        <v>140</v>
      </c>
      <c r="C727" s="8" t="s">
        <v>150</v>
      </c>
      <c r="D727" s="1">
        <v>1129</v>
      </c>
      <c r="E727" s="2" t="str">
        <f>HYPERLINK("#'Data'!A6850", "Main handwashing facilities reported by households broken down by single/joint headed HHs on the admin of overall perc")</f>
        <v>Main handwashing facilities reported by households broken down by single/joint headed HHs on the admin of overall perc</v>
      </c>
    </row>
    <row r="728" spans="2:5" ht="15.75">
      <c r="B728" s="5" t="s">
        <v>140</v>
      </c>
      <c r="C728" s="6" t="s">
        <v>151</v>
      </c>
      <c r="D728" s="1">
        <v>1131</v>
      </c>
      <c r="E728" s="2" t="str">
        <f>HYPERLINK("#'Data'!A6860", "Households reportedly having soap in their household broken down by rural / urban on the admin of overall perc")</f>
        <v>Households reportedly having soap in their household broken down by rural / urban on the admin of overall perc</v>
      </c>
    </row>
    <row r="729" spans="2:5" ht="15.75">
      <c r="B729" s="7" t="s">
        <v>140</v>
      </c>
      <c r="C729" s="8" t="s">
        <v>151</v>
      </c>
      <c r="D729" s="1">
        <v>1132</v>
      </c>
      <c r="E729" s="2" t="str">
        <f>HYPERLINK("#'Data'!A6868", "Households reportedly having soap in their household broken down by proximity to the Frontline / Russian border on the admin of overall perc")</f>
        <v>Households reportedly having soap in their household broken down by proximity to the Frontline / Russian border on the admin of overall perc</v>
      </c>
    </row>
    <row r="730" spans="2:5" ht="15.75">
      <c r="B730" s="5" t="s">
        <v>140</v>
      </c>
      <c r="C730" s="6" t="s">
        <v>151</v>
      </c>
      <c r="D730" s="1">
        <v>1133</v>
      </c>
      <c r="E730" s="2" t="str">
        <f>HYPERLINK("#'Data'!A6878", "Households reportedly having soap in their household broken down by member with WGSS disability on the admin of overall perc")</f>
        <v>Households reportedly having soap in their household broken down by member with WGSS disability on the admin of overall perc</v>
      </c>
    </row>
    <row r="731" spans="2:5" ht="15.75">
      <c r="B731" s="7" t="s">
        <v>140</v>
      </c>
      <c r="C731" s="8" t="s">
        <v>151</v>
      </c>
      <c r="D731" s="1">
        <v>1134</v>
      </c>
      <c r="E731" s="2" t="str">
        <f>HYPERLINK("#'Data'!A6886", "Households reportedly having soap in their household broken down by displacement status of HoH on the admin of overall perc")</f>
        <v>Households reportedly having soap in their household broken down by displacement status of HoH on the admin of overall perc</v>
      </c>
    </row>
    <row r="732" spans="2:5" ht="15.75">
      <c r="B732" s="5" t="s">
        <v>140</v>
      </c>
      <c r="C732" s="6" t="s">
        <v>151</v>
      </c>
      <c r="D732" s="1">
        <v>1135</v>
      </c>
      <c r="E732" s="2" t="str">
        <f>HYPERLINK("#'Data'!A6892", "Households reportedly having soap in their household broken down by household size on the admin of overall perc")</f>
        <v>Households reportedly having soap in their household broken down by household size on the admin of overall perc</v>
      </c>
    </row>
    <row r="733" spans="2:5" ht="15.75">
      <c r="B733" s="7" t="s">
        <v>140</v>
      </c>
      <c r="C733" s="8" t="s">
        <v>151</v>
      </c>
      <c r="D733" s="1">
        <v>1136</v>
      </c>
      <c r="E733" s="2" t="str">
        <f>HYPERLINK("#'Data'!A6902", "Households reportedly having soap in their household broken down by single/joint headed HHs on the admin of overall perc")</f>
        <v>Households reportedly having soap in their household broken down by single/joint headed HHs on the admin of overall perc</v>
      </c>
    </row>
    <row r="734" spans="2:5" ht="15.75">
      <c r="B734" s="5" t="s">
        <v>140</v>
      </c>
      <c r="C734" s="6" t="s">
        <v>152</v>
      </c>
      <c r="D734" s="1">
        <v>1138</v>
      </c>
      <c r="E734" s="2" t="str">
        <f>HYPERLINK("#'Data'!A6912", "Households reporting main toilet facility in their household broken down by rural / urban on the admin of overall perc")</f>
        <v>Households reporting main toilet facility in their household broken down by rural / urban on the admin of overall perc</v>
      </c>
    </row>
    <row r="735" spans="2:5" ht="15.75">
      <c r="B735" s="7" t="s">
        <v>140</v>
      </c>
      <c r="C735" s="8" t="s">
        <v>152</v>
      </c>
      <c r="D735" s="1">
        <v>1139</v>
      </c>
      <c r="E735" s="2" t="str">
        <f>HYPERLINK("#'Data'!A6920", "Households reporting main toilet facility in their household broken down by proximity to the Frontline / Russian border on the admin of overall per...")</f>
        <v>Households reporting main toilet facility in their household broken down by proximity to the Frontline / Russian border on the admin of overall per...</v>
      </c>
    </row>
    <row r="736" spans="2:5" ht="15.75">
      <c r="B736" s="5" t="s">
        <v>140</v>
      </c>
      <c r="C736" s="6" t="s">
        <v>152</v>
      </c>
      <c r="D736" s="1">
        <v>1140</v>
      </c>
      <c r="E736" s="2" t="str">
        <f>HYPERLINK("#'Data'!A6930", "Households reporting main toilet facility in their household broken down by member with WGSS disability on the admin of overall perc")</f>
        <v>Households reporting main toilet facility in their household broken down by member with WGSS disability on the admin of overall perc</v>
      </c>
    </row>
    <row r="737" spans="2:5" ht="15.75">
      <c r="B737" s="7" t="s">
        <v>140</v>
      </c>
      <c r="C737" s="8" t="s">
        <v>152</v>
      </c>
      <c r="D737" s="1">
        <v>1141</v>
      </c>
      <c r="E737" s="2" t="str">
        <f>HYPERLINK("#'Data'!A6938", "Households reporting main toilet facility in their household broken down by displacement status of HoH on the admin of overall perc")</f>
        <v>Households reporting main toilet facility in their household broken down by displacement status of HoH on the admin of overall perc</v>
      </c>
    </row>
    <row r="738" spans="2:5" ht="15.75">
      <c r="B738" s="5" t="s">
        <v>140</v>
      </c>
      <c r="C738" s="6" t="s">
        <v>152</v>
      </c>
      <c r="D738" s="1">
        <v>1142</v>
      </c>
      <c r="E738" s="2" t="str">
        <f>HYPERLINK("#'Data'!A6944", "Households reporting main toilet facility in their household broken down by household size on the admin of overall perc")</f>
        <v>Households reporting main toilet facility in their household broken down by household size on the admin of overall perc</v>
      </c>
    </row>
    <row r="739" spans="2:5" ht="15.75">
      <c r="B739" s="7" t="s">
        <v>140</v>
      </c>
      <c r="C739" s="8" t="s">
        <v>152</v>
      </c>
      <c r="D739" s="1">
        <v>1143</v>
      </c>
      <c r="E739" s="2" t="str">
        <f>HYPERLINK("#'Data'!A6954", "Households reporting main toilet facility in their household broken down by single/joint headed HHs on the admin of overall perc")</f>
        <v>Households reporting main toilet facility in their household broken down by single/joint headed HHs on the admin of overall perc</v>
      </c>
    </row>
    <row r="740" spans="2:5" ht="15.75">
      <c r="B740" s="5" t="s">
        <v>140</v>
      </c>
      <c r="C740" s="6" t="s">
        <v>153</v>
      </c>
      <c r="D740" s="1">
        <v>1145</v>
      </c>
      <c r="E740" s="2" t="str">
        <f>HYPERLINK("#'Data'!A6964", "Households that reportedly share their sanitation facility broken down by rural / urban on the admin of overall perc")</f>
        <v>Households that reportedly share their sanitation facility broken down by rural / urban on the admin of overall perc</v>
      </c>
    </row>
    <row r="741" spans="2:5" ht="15.75">
      <c r="B741" s="7" t="s">
        <v>140</v>
      </c>
      <c r="C741" s="8" t="s">
        <v>153</v>
      </c>
      <c r="D741" s="1">
        <v>1146</v>
      </c>
      <c r="E741" s="2" t="str">
        <f>HYPERLINK("#'Data'!A6972", "Households that reportedly share their sanitation facility broken down by proximity to the Frontline / Russian border on the admin of overall perc")</f>
        <v>Households that reportedly share their sanitation facility broken down by proximity to the Frontline / Russian border on the admin of overall perc</v>
      </c>
    </row>
    <row r="742" spans="2:5" ht="15.75">
      <c r="B742" s="5" t="s">
        <v>140</v>
      </c>
      <c r="C742" s="6" t="s">
        <v>153</v>
      </c>
      <c r="D742" s="1">
        <v>1147</v>
      </c>
      <c r="E742" s="2" t="str">
        <f>HYPERLINK("#'Data'!A6982", "Households that reportedly share their sanitation facility broken down by member with WGSS disability on the admin of overall perc")</f>
        <v>Households that reportedly share their sanitation facility broken down by member with WGSS disability on the admin of overall perc</v>
      </c>
    </row>
    <row r="743" spans="2:5" ht="15.75">
      <c r="B743" s="7" t="s">
        <v>140</v>
      </c>
      <c r="C743" s="8" t="s">
        <v>153</v>
      </c>
      <c r="D743" s="1">
        <v>1148</v>
      </c>
      <c r="E743" s="2" t="str">
        <f>HYPERLINK("#'Data'!A6990", "Households that reportedly share their sanitation facility broken down by displacement status of HoH on the admin of overall perc")</f>
        <v>Households that reportedly share their sanitation facility broken down by displacement status of HoH on the admin of overall perc</v>
      </c>
    </row>
    <row r="744" spans="2:5" ht="15.75">
      <c r="B744" s="5" t="s">
        <v>140</v>
      </c>
      <c r="C744" s="6" t="s">
        <v>153</v>
      </c>
      <c r="D744" s="1">
        <v>1149</v>
      </c>
      <c r="E744" s="2" t="str">
        <f>HYPERLINK("#'Data'!A6996", "Households that reportedly share their sanitation facility broken down by household size on the admin of overall perc")</f>
        <v>Households that reportedly share their sanitation facility broken down by household size on the admin of overall perc</v>
      </c>
    </row>
    <row r="745" spans="2:5" ht="15.75">
      <c r="B745" s="7" t="s">
        <v>140</v>
      </c>
      <c r="C745" s="8" t="s">
        <v>153</v>
      </c>
      <c r="D745" s="1">
        <v>1150</v>
      </c>
      <c r="E745" s="2" t="str">
        <f>HYPERLINK("#'Data'!A7006", "Households that reportedly share their sanitation facility broken down by single/joint headed HHs on the admin of overall perc")</f>
        <v>Households that reportedly share their sanitation facility broken down by single/joint headed HHs on the admin of overall perc</v>
      </c>
    </row>
    <row r="746" spans="2:5" ht="15.75">
      <c r="B746" s="5" t="s">
        <v>140</v>
      </c>
      <c r="C746" s="6" t="s">
        <v>154</v>
      </c>
      <c r="D746" s="1">
        <v>1152</v>
      </c>
      <c r="E746" s="2" t="str">
        <f>HYPERLINK("#'Data'!A7016", "Number of Households Sharing Sanitation Facility Reported overall broken down by rural / urban on the admin of overall mean")</f>
        <v>Number of Households Sharing Sanitation Facility Reported overall broken down by rural / urban on the admin of overall mean</v>
      </c>
    </row>
    <row r="747" spans="2:5" ht="15.75">
      <c r="B747" s="7" t="s">
        <v>140</v>
      </c>
      <c r="C747" s="8" t="s">
        <v>154</v>
      </c>
      <c r="D747" s="1">
        <v>1153</v>
      </c>
      <c r="E747" s="2" t="str">
        <f>HYPERLINK("#'Data'!A7024", "Number of Households Sharing Sanitation Facility Reported overall broken down by proximity to the Frontline / Russian border on the admin of overal...")</f>
        <v>Number of Households Sharing Sanitation Facility Reported overall broken down by proximity to the Frontline / Russian border on the admin of overal...</v>
      </c>
    </row>
    <row r="748" spans="2:5" ht="15.75">
      <c r="B748" s="5" t="s">
        <v>140</v>
      </c>
      <c r="C748" s="6" t="s">
        <v>154</v>
      </c>
      <c r="D748" s="1">
        <v>1154</v>
      </c>
      <c r="E748" s="2" t="str">
        <f>HYPERLINK("#'Data'!A7034", "Number of Households Sharing Sanitation Facility Reported overall broken down by member with WGSS disability on the admin of overall mean")</f>
        <v>Number of Households Sharing Sanitation Facility Reported overall broken down by member with WGSS disability on the admin of overall mean</v>
      </c>
    </row>
    <row r="749" spans="2:5" ht="15.75">
      <c r="B749" s="7" t="s">
        <v>140</v>
      </c>
      <c r="C749" s="8" t="s">
        <v>154</v>
      </c>
      <c r="D749" s="1">
        <v>1155</v>
      </c>
      <c r="E749" s="2" t="str">
        <f>HYPERLINK("#'Data'!A7042", "Number of Households Sharing Sanitation Facility Reported overall broken down by displacement status of HoH on the admin of overall mean")</f>
        <v>Number of Households Sharing Sanitation Facility Reported overall broken down by displacement status of HoH on the admin of overall mean</v>
      </c>
    </row>
    <row r="750" spans="2:5" ht="15.75">
      <c r="B750" s="5" t="s">
        <v>140</v>
      </c>
      <c r="C750" s="6" t="s">
        <v>154</v>
      </c>
      <c r="D750" s="1">
        <v>1156</v>
      </c>
      <c r="E750" s="2" t="str">
        <f>HYPERLINK("#'Data'!A7048", "Number of Households Sharing Sanitation Facility Reported overall broken down by household size on the admin of overall mean")</f>
        <v>Number of Households Sharing Sanitation Facility Reported overall broken down by household size on the admin of overall mean</v>
      </c>
    </row>
    <row r="751" spans="2:5" ht="15.75">
      <c r="B751" s="7" t="s">
        <v>140</v>
      </c>
      <c r="C751" s="8" t="s">
        <v>154</v>
      </c>
      <c r="D751" s="1">
        <v>1157</v>
      </c>
      <c r="E751" s="2" t="str">
        <f>HYPERLINK("#'Data'!A7057", "Number of Households Sharing Sanitation Facility Reported overall broken down by single/joint headed HHs on the admin of overall mean")</f>
        <v>Number of Households Sharing Sanitation Facility Reported overall broken down by single/joint headed HHs on the admin of overall mean</v>
      </c>
    </row>
    <row r="752" spans="2:5" ht="15.75">
      <c r="B752" s="5" t="s">
        <v>140</v>
      </c>
      <c r="C752" s="6" t="s">
        <v>155</v>
      </c>
      <c r="D752" s="1">
        <v>1159</v>
      </c>
      <c r="E752" s="2" t="str">
        <f>HYPERLINK("#'Data'!A7067", "Households reportedly having access to adequate toilets broken down by rural / urban on the admin of overall perc")</f>
        <v>Households reportedly having access to adequate toilets broken down by rural / urban on the admin of overall perc</v>
      </c>
    </row>
    <row r="753" spans="2:5" ht="15.75">
      <c r="B753" s="7" t="s">
        <v>140</v>
      </c>
      <c r="C753" s="8" t="s">
        <v>155</v>
      </c>
      <c r="D753" s="1">
        <v>1160</v>
      </c>
      <c r="E753" s="2" t="str">
        <f>HYPERLINK("#'Data'!A7075", "Households reportedly having access to adequate toilets broken down by proximity to the Frontline / Russian border on the admin of overall perc")</f>
        <v>Households reportedly having access to adequate toilets broken down by proximity to the Frontline / Russian border on the admin of overall perc</v>
      </c>
    </row>
    <row r="754" spans="2:5" ht="15.75">
      <c r="B754" s="5" t="s">
        <v>140</v>
      </c>
      <c r="C754" s="6" t="s">
        <v>155</v>
      </c>
      <c r="D754" s="1">
        <v>1161</v>
      </c>
      <c r="E754" s="2" t="str">
        <f>HYPERLINK("#'Data'!A7085", "Households reportedly having access to adequate toilets broken down by member with WGSS disability on the admin of overall perc")</f>
        <v>Households reportedly having access to adequate toilets broken down by member with WGSS disability on the admin of overall perc</v>
      </c>
    </row>
    <row r="755" spans="2:5" ht="15.75">
      <c r="B755" s="7" t="s">
        <v>140</v>
      </c>
      <c r="C755" s="8" t="s">
        <v>155</v>
      </c>
      <c r="D755" s="1">
        <v>1162</v>
      </c>
      <c r="E755" s="2" t="str">
        <f>HYPERLINK("#'Data'!A7093", "Households reportedly having access to adequate toilets broken down by displacement status of HoH on the admin of overall perc")</f>
        <v>Households reportedly having access to adequate toilets broken down by displacement status of HoH on the admin of overall perc</v>
      </c>
    </row>
    <row r="756" spans="2:5" ht="15.75">
      <c r="B756" s="5" t="s">
        <v>140</v>
      </c>
      <c r="C756" s="6" t="s">
        <v>155</v>
      </c>
      <c r="D756" s="1">
        <v>1163</v>
      </c>
      <c r="E756" s="2" t="str">
        <f>HYPERLINK("#'Data'!A7099", "Households reportedly having access to adequate toilets broken down by household size on the admin of overall perc")</f>
        <v>Households reportedly having access to adequate toilets broken down by household size on the admin of overall perc</v>
      </c>
    </row>
    <row r="757" spans="2:5" ht="15.75">
      <c r="B757" s="7" t="s">
        <v>140</v>
      </c>
      <c r="C757" s="8" t="s">
        <v>155</v>
      </c>
      <c r="D757" s="1">
        <v>1164</v>
      </c>
      <c r="E757" s="2" t="str">
        <f>HYPERLINK("#'Data'!A7109", "Households reportedly having access to adequate toilets broken down by single/joint headed HHs on the admin of overall perc")</f>
        <v>Households reportedly having access to adequate toilets broken down by single/joint headed HHs on the admin of overall perc</v>
      </c>
    </row>
    <row r="758" spans="2:5" ht="15.75">
      <c r="B758" s="5" t="s">
        <v>140</v>
      </c>
      <c r="C758" s="6" t="s">
        <v>156</v>
      </c>
      <c r="D758" s="1">
        <v>1166</v>
      </c>
      <c r="E758" s="2" t="str">
        <f>HYPERLINK("#'Data'!A7119", "Most Common Garbage Disposal Method Reported by Households broken down by rural / urban on the admin of overall perc")</f>
        <v>Most Common Garbage Disposal Method Reported by Households broken down by rural / urban on the admin of overall perc</v>
      </c>
    </row>
    <row r="759" spans="2:5" ht="15.75">
      <c r="B759" s="7" t="s">
        <v>140</v>
      </c>
      <c r="C759" s="8" t="s">
        <v>156</v>
      </c>
      <c r="D759" s="1">
        <v>1167</v>
      </c>
      <c r="E759" s="2" t="str">
        <f>HYPERLINK("#'Data'!A7127", "Most Common Garbage Disposal Method Reported by Households broken down by proximity to the Frontline / Russian border on the admin of overall perc")</f>
        <v>Most Common Garbage Disposal Method Reported by Households broken down by proximity to the Frontline / Russian border on the admin of overall perc</v>
      </c>
    </row>
    <row r="760" spans="2:5" ht="15.75">
      <c r="B760" s="5" t="s">
        <v>140</v>
      </c>
      <c r="C760" s="6" t="s">
        <v>156</v>
      </c>
      <c r="D760" s="1">
        <v>1168</v>
      </c>
      <c r="E760" s="2" t="str">
        <f>HYPERLINK("#'Data'!A7137", "Most Common Garbage Disposal Method Reported by Households broken down by member with WGSS disability on the admin of overall perc")</f>
        <v>Most Common Garbage Disposal Method Reported by Households broken down by member with WGSS disability on the admin of overall perc</v>
      </c>
    </row>
    <row r="761" spans="2:5" ht="15.75">
      <c r="B761" s="7" t="s">
        <v>140</v>
      </c>
      <c r="C761" s="8" t="s">
        <v>156</v>
      </c>
      <c r="D761" s="1">
        <v>1169</v>
      </c>
      <c r="E761" s="2" t="str">
        <f>HYPERLINK("#'Data'!A7145", "Most Common Garbage Disposal Method Reported by Households broken down by displacement status of HoH on the admin of overall perc")</f>
        <v>Most Common Garbage Disposal Method Reported by Households broken down by displacement status of HoH on the admin of overall perc</v>
      </c>
    </row>
    <row r="762" spans="2:5" ht="15.75">
      <c r="B762" s="5" t="s">
        <v>140</v>
      </c>
      <c r="C762" s="6" t="s">
        <v>156</v>
      </c>
      <c r="D762" s="1">
        <v>1170</v>
      </c>
      <c r="E762" s="2" t="str">
        <f>HYPERLINK("#'Data'!A7151", "Most Common Garbage Disposal Method Reported by Households broken down by household size on the admin of overall perc")</f>
        <v>Most Common Garbage Disposal Method Reported by Households broken down by household size on the admin of overall perc</v>
      </c>
    </row>
    <row r="763" spans="2:5" ht="15.75">
      <c r="B763" s="7" t="s">
        <v>140</v>
      </c>
      <c r="C763" s="8" t="s">
        <v>156</v>
      </c>
      <c r="D763" s="1">
        <v>1171</v>
      </c>
      <c r="E763" s="2" t="str">
        <f>HYPERLINK("#'Data'!A7161", "Most Common Garbage Disposal Method Reported by Households broken down by single/joint headed HHs on the admin of overall perc")</f>
        <v>Most Common Garbage Disposal Method Reported by Households broken down by single/joint headed HHs on the admin of overall perc</v>
      </c>
    </row>
    <row r="764" spans="2:5" ht="15.75">
      <c r="B764" s="5" t="s">
        <v>140</v>
      </c>
      <c r="C764" s="6" t="s">
        <v>157</v>
      </c>
      <c r="D764" s="1">
        <v>1173</v>
      </c>
      <c r="E764" s="2" t="str">
        <f>HYPERLINK("#'Data'!A7171", "Households reportedly facing issues with their sewage broken down by rural / urban on the admin of overall perc")</f>
        <v>Households reportedly facing issues with their sewage broken down by rural / urban on the admin of overall perc</v>
      </c>
    </row>
    <row r="765" spans="2:5" ht="15.75">
      <c r="B765" s="7" t="s">
        <v>140</v>
      </c>
      <c r="C765" s="8" t="s">
        <v>157</v>
      </c>
      <c r="D765" s="1">
        <v>1174</v>
      </c>
      <c r="E765" s="2" t="str">
        <f>HYPERLINK("#'Data'!A7179", "Households reportedly facing issues with their sewage broken down by proximity to the Frontline / Russian border on the admin of overall perc")</f>
        <v>Households reportedly facing issues with their sewage broken down by proximity to the Frontline / Russian border on the admin of overall perc</v>
      </c>
    </row>
    <row r="766" spans="2:5" ht="15.75">
      <c r="B766" s="5" t="s">
        <v>140</v>
      </c>
      <c r="C766" s="6" t="s">
        <v>157</v>
      </c>
      <c r="D766" s="1">
        <v>1175</v>
      </c>
      <c r="E766" s="2" t="str">
        <f>HYPERLINK("#'Data'!A7189", "Households reportedly facing issues with their sewage broken down by member with WGSS disability on the admin of overall perc")</f>
        <v>Households reportedly facing issues with their sewage broken down by member with WGSS disability on the admin of overall perc</v>
      </c>
    </row>
    <row r="767" spans="2:5" ht="15.75">
      <c r="B767" s="7" t="s">
        <v>140</v>
      </c>
      <c r="C767" s="8" t="s">
        <v>157</v>
      </c>
      <c r="D767" s="1">
        <v>1176</v>
      </c>
      <c r="E767" s="2" t="str">
        <f>HYPERLINK("#'Data'!A7197", "Households reportedly facing issues with their sewage broken down by displacement status of HoH on the admin of overall perc")</f>
        <v>Households reportedly facing issues with their sewage broken down by displacement status of HoH on the admin of overall perc</v>
      </c>
    </row>
    <row r="768" spans="2:5" ht="15.75">
      <c r="B768" s="5" t="s">
        <v>140</v>
      </c>
      <c r="C768" s="6" t="s">
        <v>157</v>
      </c>
      <c r="D768" s="1">
        <v>1177</v>
      </c>
      <c r="E768" s="2" t="str">
        <f>HYPERLINK("#'Data'!A7203", "Households reportedly facing issues with their sewage broken down by household size on the admin of overall perc")</f>
        <v>Households reportedly facing issues with their sewage broken down by household size on the admin of overall perc</v>
      </c>
    </row>
    <row r="769" spans="2:5" ht="15.75">
      <c r="B769" s="7" t="s">
        <v>140</v>
      </c>
      <c r="C769" s="8" t="s">
        <v>157</v>
      </c>
      <c r="D769" s="1">
        <v>1178</v>
      </c>
      <c r="E769" s="2" t="str">
        <f>HYPERLINK("#'Data'!A7213", "Households reportedly facing issues with their sewage broken down by single/joint headed HHs on the admin of overall perc")</f>
        <v>Households reportedly facing issues with their sewage broken down by single/joint headed HHs on the admin of overall perc</v>
      </c>
    </row>
    <row r="770" spans="2:5" ht="15.75">
      <c r="B770" s="5" t="s">
        <v>83</v>
      </c>
      <c r="C770" s="6" t="s">
        <v>158</v>
      </c>
      <c r="D770" s="1">
        <v>1180</v>
      </c>
      <c r="E770" s="2" t="str">
        <f>HYPERLINK("#'Data'!A7223", "Households reportedly struggling to obtain enough money to cover basic needs broken down by rural / urban on the admin of overall perc")</f>
        <v>Households reportedly struggling to obtain enough money to cover basic needs broken down by rural / urban on the admin of overall perc</v>
      </c>
    </row>
    <row r="771" spans="2:5" ht="15.75">
      <c r="B771" s="7" t="s">
        <v>83</v>
      </c>
      <c r="C771" s="8" t="s">
        <v>158</v>
      </c>
      <c r="D771" s="1">
        <v>1181</v>
      </c>
      <c r="E771" s="2" t="str">
        <f>HYPERLINK("#'Data'!A7231", "Households reportedly struggling to obtain enough money to cover basic needs broken down by proximity to the Frontline / Russian border on the admi...")</f>
        <v>Households reportedly struggling to obtain enough money to cover basic needs broken down by proximity to the Frontline / Russian border on the admi...</v>
      </c>
    </row>
    <row r="772" spans="2:5" ht="15.75">
      <c r="B772" s="5" t="s">
        <v>83</v>
      </c>
      <c r="C772" s="6" t="s">
        <v>158</v>
      </c>
      <c r="D772" s="1">
        <v>1182</v>
      </c>
      <c r="E772" s="2" t="str">
        <f>HYPERLINK("#'Data'!A7241", "Households reportedly struggling to obtain enough money to cover basic needs broken down by member with WGSS disability on the admin of overall per...")</f>
        <v>Households reportedly struggling to obtain enough money to cover basic needs broken down by member with WGSS disability on the admin of overall per...</v>
      </c>
    </row>
    <row r="773" spans="2:5" ht="15.75">
      <c r="B773" s="7" t="s">
        <v>83</v>
      </c>
      <c r="C773" s="8" t="s">
        <v>158</v>
      </c>
      <c r="D773" s="1">
        <v>1183</v>
      </c>
      <c r="E773" s="2" t="str">
        <f>HYPERLINK("#'Data'!A7249", "Households reportedly struggling to obtain enough money to cover basic needs broken down by displacement status of HoH on the admin of overall perc")</f>
        <v>Households reportedly struggling to obtain enough money to cover basic needs broken down by displacement status of HoH on the admin of overall perc</v>
      </c>
    </row>
    <row r="774" spans="2:5" ht="15.75">
      <c r="B774" s="5" t="s">
        <v>83</v>
      </c>
      <c r="C774" s="6" t="s">
        <v>158</v>
      </c>
      <c r="D774" s="1">
        <v>1184</v>
      </c>
      <c r="E774" s="2" t="str">
        <f>HYPERLINK("#'Data'!A7255", "Households reportedly struggling to obtain enough money to cover basic needs broken down by household size on the admin of overall perc")</f>
        <v>Households reportedly struggling to obtain enough money to cover basic needs broken down by household size on the admin of overall perc</v>
      </c>
    </row>
    <row r="775" spans="2:5" ht="15.75">
      <c r="B775" s="7" t="s">
        <v>83</v>
      </c>
      <c r="C775" s="8" t="s">
        <v>158</v>
      </c>
      <c r="D775" s="1">
        <v>1185</v>
      </c>
      <c r="E775" s="2" t="str">
        <f>HYPERLINK("#'Data'!A7265", "Households reportedly struggling to obtain enough money to cover basic needs broken down by single/joint headed HHs on the admin of overall perc")</f>
        <v>Households reportedly struggling to obtain enough money to cover basic needs broken down by single/joint headed HHs on the admin of overall perc</v>
      </c>
    </row>
    <row r="776" spans="2:5" ht="15.75">
      <c r="B776" s="5" t="s">
        <v>83</v>
      </c>
      <c r="C776" s="6" t="s">
        <v>159</v>
      </c>
      <c r="D776" s="1">
        <v>1187</v>
      </c>
      <c r="E776" s="2" t="str">
        <f>HYPERLINK("#'Data'!A7275", "Main Challenges Reported by Households to Obtain Money to Meet Basic Needs broken down by rural / urban on the admin of overall perc")</f>
        <v>Main Challenges Reported by Households to Obtain Money to Meet Basic Needs broken down by rural / urban on the admin of overall perc</v>
      </c>
    </row>
    <row r="777" spans="2:5" ht="15.75">
      <c r="B777" s="7" t="s">
        <v>83</v>
      </c>
      <c r="C777" s="8" t="s">
        <v>159</v>
      </c>
      <c r="D777" s="1">
        <v>1188</v>
      </c>
      <c r="E777" s="2" t="str">
        <f>HYPERLINK("#'Data'!A7283", "Main Challenges Reported by Households to Obtain Money to Meet Basic Needs broken down by proximity to the Frontline / Russian border on the admin ...")</f>
        <v>Main Challenges Reported by Households to Obtain Money to Meet Basic Needs broken down by proximity to the Frontline / Russian border on the admin ...</v>
      </c>
    </row>
    <row r="778" spans="2:5" ht="15.75">
      <c r="B778" s="5" t="s">
        <v>83</v>
      </c>
      <c r="C778" s="6" t="s">
        <v>159</v>
      </c>
      <c r="D778" s="1">
        <v>1189</v>
      </c>
      <c r="E778" s="2" t="str">
        <f>HYPERLINK("#'Data'!A7293", "Main Challenges Reported by Households to Obtain Money to Meet Basic Needs broken down by member with WGSS disability on the admin of overall perc")</f>
        <v>Main Challenges Reported by Households to Obtain Money to Meet Basic Needs broken down by member with WGSS disability on the admin of overall perc</v>
      </c>
    </row>
    <row r="779" spans="2:5" ht="15.75">
      <c r="B779" s="7" t="s">
        <v>83</v>
      </c>
      <c r="C779" s="8" t="s">
        <v>159</v>
      </c>
      <c r="D779" s="1">
        <v>1190</v>
      </c>
      <c r="E779" s="2" t="str">
        <f>HYPERLINK("#'Data'!A7301", "Main Challenges Reported by Households to Obtain Money to Meet Basic Needs broken down by displacement status of HoH on the admin of overall perc")</f>
        <v>Main Challenges Reported by Households to Obtain Money to Meet Basic Needs broken down by displacement status of HoH on the admin of overall perc</v>
      </c>
    </row>
    <row r="780" spans="2:5" ht="15.75">
      <c r="B780" s="5" t="s">
        <v>83</v>
      </c>
      <c r="C780" s="6" t="s">
        <v>159</v>
      </c>
      <c r="D780" s="1">
        <v>1191</v>
      </c>
      <c r="E780" s="2" t="str">
        <f>HYPERLINK("#'Data'!A7307", "Main Challenges Reported by Households to Obtain Money to Meet Basic Needs broken down by household size on the admin of overall perc")</f>
        <v>Main Challenges Reported by Households to Obtain Money to Meet Basic Needs broken down by household size on the admin of overall perc</v>
      </c>
    </row>
    <row r="781" spans="2:5" ht="15.75">
      <c r="B781" s="7" t="s">
        <v>83</v>
      </c>
      <c r="C781" s="8" t="s">
        <v>159</v>
      </c>
      <c r="D781" s="1">
        <v>1192</v>
      </c>
      <c r="E781" s="2" t="str">
        <f>HYPERLINK("#'Data'!A7317", "Main Challenges Reported by Households to Obtain Money to Meet Basic Needs broken down by single/joint headed HHs on the admin of overall perc")</f>
        <v>Main Challenges Reported by Households to Obtain Money to Meet Basic Needs broken down by single/joint headed HHs on the admin of overall perc</v>
      </c>
    </row>
    <row r="782" spans="2:5" ht="15.75">
      <c r="B782" s="5" t="s">
        <v>160</v>
      </c>
      <c r="C782" s="6" t="s">
        <v>161</v>
      </c>
      <c r="D782" s="1">
        <v>1198</v>
      </c>
      <c r="E782" s="2" t="str">
        <f>HYPERLINK("#'Data'!A7327", "Reduced Coping Strategies Index (rCSI) broken down by rural / urban on the admin of overall perc")</f>
        <v>Reduced Coping Strategies Index (rCSI) broken down by rural / urban on the admin of overall perc</v>
      </c>
    </row>
    <row r="783" spans="2:5" ht="15.75">
      <c r="B783" s="7" t="s">
        <v>160</v>
      </c>
      <c r="C783" s="8" t="s">
        <v>161</v>
      </c>
      <c r="D783" s="1">
        <v>1203</v>
      </c>
      <c r="E783" s="2" t="str">
        <f>HYPERLINK("#'Data'!A7335", "Reduced Coping Strategies Index (rCSI) broken down by proximity to the Frontline / Russian border on the admin of overall perc")</f>
        <v>Reduced Coping Strategies Index (rCSI) broken down by proximity to the Frontline / Russian border on the admin of overall perc</v>
      </c>
    </row>
    <row r="784" spans="2:5" ht="15.75">
      <c r="B784" s="5" t="s">
        <v>160</v>
      </c>
      <c r="C784" s="6" t="s">
        <v>161</v>
      </c>
      <c r="D784" s="1">
        <v>1208</v>
      </c>
      <c r="E784" s="2" t="str">
        <f>HYPERLINK("#'Data'!A7345", "Reduced Coping Strategies Index (rCSI) broken down by member with WGSS disability on the admin of overall perc")</f>
        <v>Reduced Coping Strategies Index (rCSI) broken down by member with WGSS disability on the admin of overall perc</v>
      </c>
    </row>
    <row r="785" spans="2:5" ht="15.75">
      <c r="B785" s="7" t="s">
        <v>160</v>
      </c>
      <c r="C785" s="8" t="s">
        <v>161</v>
      </c>
      <c r="D785" s="1">
        <v>1213</v>
      </c>
      <c r="E785" s="2" t="str">
        <f>HYPERLINK("#'Data'!A7353", "Reduced Coping Strategies Index (rCSI) broken down by displacement status of HoH on the admin of overall perc")</f>
        <v>Reduced Coping Strategies Index (rCSI) broken down by displacement status of HoH on the admin of overall perc</v>
      </c>
    </row>
    <row r="786" spans="2:5" ht="15.75">
      <c r="B786" s="5" t="s">
        <v>160</v>
      </c>
      <c r="C786" s="6" t="s">
        <v>161</v>
      </c>
      <c r="D786" s="1">
        <v>1218</v>
      </c>
      <c r="E786" s="2" t="str">
        <f>HYPERLINK("#'Data'!A7359", "Reduced Coping Strategies Index (rCSI) broken down by household size on the admin of overall perc")</f>
        <v>Reduced Coping Strategies Index (rCSI) broken down by household size on the admin of overall perc</v>
      </c>
    </row>
    <row r="787" spans="2:5" ht="15.75">
      <c r="B787" s="7" t="s">
        <v>160</v>
      </c>
      <c r="C787" s="8" t="s">
        <v>161</v>
      </c>
      <c r="D787" s="1">
        <v>1223</v>
      </c>
      <c r="E787" s="2" t="str">
        <f>HYPERLINK("#'Data'!A7369", "Reduced Coping Strategies Index (rCSI) broken down by single/joint headed HHs on the admin of overall perc")</f>
        <v>Reduced Coping Strategies Index (rCSI) broken down by single/joint headed HHs on the admin of overall perc</v>
      </c>
    </row>
    <row r="788" spans="2:5" ht="15.75">
      <c r="B788" s="5" t="s">
        <v>160</v>
      </c>
      <c r="C788" s="6" t="s">
        <v>162</v>
      </c>
      <c r="D788" s="1">
        <v>1231</v>
      </c>
      <c r="E788" s="2" t="str">
        <f>HYPERLINK("#'Data'!A7379", "Household Hunger Scale (HHS) broken down by rural / urban on the admin of overall perc")</f>
        <v>Household Hunger Scale (HHS) broken down by rural / urban on the admin of overall perc</v>
      </c>
    </row>
    <row r="789" spans="2:5" ht="15.75">
      <c r="B789" s="7" t="s">
        <v>160</v>
      </c>
      <c r="C789" s="8" t="s">
        <v>162</v>
      </c>
      <c r="D789" s="1">
        <v>1234</v>
      </c>
      <c r="E789" s="2" t="str">
        <f>HYPERLINK("#'Data'!A7387", "Household Hunger Scale (HHS) broken down by proximity to the Frontline / Russian border on the admin of overall perc")</f>
        <v>Household Hunger Scale (HHS) broken down by proximity to the Frontline / Russian border on the admin of overall perc</v>
      </c>
    </row>
    <row r="790" spans="2:5" ht="15.75">
      <c r="B790" s="5" t="s">
        <v>160</v>
      </c>
      <c r="C790" s="6" t="s">
        <v>162</v>
      </c>
      <c r="D790" s="1">
        <v>1237</v>
      </c>
      <c r="E790" s="2" t="str">
        <f>HYPERLINK("#'Data'!A7397", "Household Hunger Scale (HHS) broken down by member with WGSS disability on the admin of overall perc")</f>
        <v>Household Hunger Scale (HHS) broken down by member with WGSS disability on the admin of overall perc</v>
      </c>
    </row>
    <row r="791" spans="2:5" ht="15.75">
      <c r="B791" s="7" t="s">
        <v>160</v>
      </c>
      <c r="C791" s="8" t="s">
        <v>162</v>
      </c>
      <c r="D791" s="1">
        <v>1240</v>
      </c>
      <c r="E791" s="2" t="str">
        <f>HYPERLINK("#'Data'!A7405", "Household Hunger Scale (HHS) broken down by displacement status of HoH on the admin of overall perc")</f>
        <v>Household Hunger Scale (HHS) broken down by displacement status of HoH on the admin of overall perc</v>
      </c>
    </row>
    <row r="792" spans="2:5" ht="15.75">
      <c r="B792" s="5" t="s">
        <v>160</v>
      </c>
      <c r="C792" s="6" t="s">
        <v>162</v>
      </c>
      <c r="D792" s="1">
        <v>1243</v>
      </c>
      <c r="E792" s="2" t="str">
        <f>HYPERLINK("#'Data'!A7411", "Household Hunger Scale (HHS) broken down by household size on the admin of overall perc")</f>
        <v>Household Hunger Scale (HHS) broken down by household size on the admin of overall perc</v>
      </c>
    </row>
    <row r="793" spans="2:5" ht="15.75">
      <c r="B793" s="7" t="s">
        <v>160</v>
      </c>
      <c r="C793" s="8" t="s">
        <v>162</v>
      </c>
      <c r="D793" s="1">
        <v>1246</v>
      </c>
      <c r="E793" s="2" t="str">
        <f>HYPERLINK("#'Data'!A7421", "Household Hunger Scale (HHS) broken down by single/joint headed HHs on the admin of overall perc")</f>
        <v>Household Hunger Scale (HHS) broken down by single/joint headed HHs on the admin of overall perc</v>
      </c>
    </row>
    <row r="794" spans="2:5" ht="15.75">
      <c r="B794" s="5" t="s">
        <v>163</v>
      </c>
      <c r="C794" s="6" t="s">
        <v>164</v>
      </c>
      <c r="D794" s="1">
        <v>1252</v>
      </c>
      <c r="E794" s="2" t="str">
        <f>HYPERLINK("#'Data'!A7431", "K_2 Households reporting first most significant challenge their household currently faces broken down by gender of respondents on the admin of over...")</f>
        <v>K_2 Households reporting first most significant challenge their household currently faces broken down by gender of respondents on the admin of over...</v>
      </c>
    </row>
    <row r="795" spans="2:5" ht="15.75">
      <c r="B795" s="7" t="s">
        <v>163</v>
      </c>
      <c r="C795" s="8" t="s">
        <v>164</v>
      </c>
      <c r="D795" s="1">
        <v>1255</v>
      </c>
      <c r="E795" s="2" t="str">
        <f>HYPERLINK("#'Data'!A7535", "K_2 Households reporting first most significant challenge their household currently faces broken down by age of respondents on the admin of overall...")</f>
        <v>K_2 Households reporting first most significant challenge their household currently faces broken down by age of respondents on the admin of overall...</v>
      </c>
    </row>
    <row r="796" spans="2:5" ht="15.75">
      <c r="B796" s="5" t="s">
        <v>163</v>
      </c>
      <c r="C796" s="6" t="s">
        <v>164</v>
      </c>
      <c r="D796" s="1">
        <v>1258</v>
      </c>
      <c r="E796" s="2" t="str">
        <f>HYPERLINK("#'Data'!A7692", "K_2 Households reporting first most significant challenge their household currently faces broken down by rural / urban on the admin of overall ")</f>
        <v xml:space="preserve">K_2 Households reporting first most significant challenge their household currently faces broken down by rural / urban on the admin of overall </v>
      </c>
    </row>
    <row r="797" spans="2:5" ht="15.75">
      <c r="B797" s="7" t="s">
        <v>163</v>
      </c>
      <c r="C797" s="8" t="s">
        <v>164</v>
      </c>
      <c r="D797" s="1">
        <v>1261</v>
      </c>
      <c r="E797" s="2" t="str">
        <f>HYPERLINK("#'Data'!A7803", "K_2 Households reporting first most significant challenge their household currently faces broken down by proximity to the Frontline / Russian borde...")</f>
        <v>K_2 Households reporting first most significant challenge their household currently faces broken down by proximity to the Frontline / Russian borde...</v>
      </c>
    </row>
    <row r="798" spans="2:5" ht="15.75">
      <c r="B798" s="5" t="s">
        <v>163</v>
      </c>
      <c r="C798" s="6" t="s">
        <v>164</v>
      </c>
      <c r="D798" s="1">
        <v>1264</v>
      </c>
      <c r="E798" s="2" t="str">
        <f>HYPERLINK("#'Data'!A7944", "K_2 Households reporting first most significant challenge their household currently faces broken down by member with WGSS disability on the admin o...")</f>
        <v>K_2 Households reporting first most significant challenge their household currently faces broken down by member with WGSS disability on the admin o...</v>
      </c>
    </row>
    <row r="799" spans="2:5" ht="15.75">
      <c r="B799" s="7" t="s">
        <v>163</v>
      </c>
      <c r="C799" s="8" t="s">
        <v>164</v>
      </c>
      <c r="D799" s="1">
        <v>1267</v>
      </c>
      <c r="E799" s="2" t="str">
        <f>HYPERLINK("#'Data'!A8049", "K_2 Households reporting first most significant challenge their household currently faces broken down by displacement status of HoH on the admin of...")</f>
        <v>K_2 Households reporting first most significant challenge their household currently faces broken down by displacement status of HoH on the admin of...</v>
      </c>
    </row>
    <row r="800" spans="2:5" ht="15.75">
      <c r="B800" s="5" t="s">
        <v>163</v>
      </c>
      <c r="C800" s="6" t="s">
        <v>164</v>
      </c>
      <c r="D800" s="1">
        <v>1270</v>
      </c>
      <c r="E800" s="2" t="str">
        <f>HYPERLINK("#'Data'!A8122", "K_2 Households reporting first most significant challenge their household currently faces broken down by household size on the admin of overall ")</f>
        <v xml:space="preserve">K_2 Households reporting first most significant challenge their household currently faces broken down by household size on the admin of overall </v>
      </c>
    </row>
    <row r="801" spans="2:5" ht="15.75">
      <c r="B801" s="7" t="s">
        <v>163</v>
      </c>
      <c r="C801" s="8" t="s">
        <v>164</v>
      </c>
      <c r="D801" s="1">
        <v>1273</v>
      </c>
      <c r="E801" s="2" t="str">
        <f>HYPERLINK("#'Data'!A8253", "K_2 Households reporting first most significant challenge their household currently faces broken down by single/joint headed HHs on the admin of ov...")</f>
        <v>K_2 Households reporting first most significant challenge their household currently faces broken down by single/joint headed HHs on the admin of ov...</v>
      </c>
    </row>
    <row r="802" spans="2:5" ht="15.75">
      <c r="B802" s="5" t="s">
        <v>163</v>
      </c>
      <c r="C802" s="6" t="s">
        <v>165</v>
      </c>
      <c r="D802" s="1">
        <v>1277</v>
      </c>
      <c r="E802" s="2" t="str">
        <f>HYPERLINK("#'Data'!A8390", "Support households reportedly would like to receive broken down by gender of respondent on the admin of overall perc")</f>
        <v>Support households reportedly would like to receive broken down by gender of respondent on the admin of overall perc</v>
      </c>
    </row>
    <row r="803" spans="2:5" ht="15.75">
      <c r="B803" s="7" t="s">
        <v>163</v>
      </c>
      <c r="C803" s="8" t="s">
        <v>165</v>
      </c>
      <c r="D803" s="1">
        <v>1278</v>
      </c>
      <c r="E803" s="2" t="str">
        <f>HYPERLINK("#'Data'!A8398", "Support households reportedly would like to receive broken down by age of respondents on the admin of overall perc")</f>
        <v>Support households reportedly would like to receive broken down by age of respondents on the admin of overall perc</v>
      </c>
    </row>
    <row r="804" spans="2:5" ht="15.75">
      <c r="B804" s="5" t="s">
        <v>163</v>
      </c>
      <c r="C804" s="6" t="s">
        <v>165</v>
      </c>
      <c r="D804" s="1">
        <v>1279</v>
      </c>
      <c r="E804" s="2" t="str">
        <f>HYPERLINK("#'Data'!A8410", "Support households reportedly would like to receive broken down by rural / urban on the admin of overall perc")</f>
        <v>Support households reportedly would like to receive broken down by rural / urban on the admin of overall perc</v>
      </c>
    </row>
    <row r="805" spans="2:5" ht="15.75">
      <c r="B805" s="7" t="s">
        <v>163</v>
      </c>
      <c r="C805" s="8" t="s">
        <v>165</v>
      </c>
      <c r="D805" s="1">
        <v>1280</v>
      </c>
      <c r="E805" s="2" t="str">
        <f>HYPERLINK("#'Data'!A8418", "Support households reportedly would like to receive broken down by proximity to the Frontline / Russian border on the admin of overall perc")</f>
        <v>Support households reportedly would like to receive broken down by proximity to the Frontline / Russian border on the admin of overall perc</v>
      </c>
    </row>
    <row r="806" spans="2:5" ht="15.75">
      <c r="B806" s="5" t="s">
        <v>163</v>
      </c>
      <c r="C806" s="6" t="s">
        <v>165</v>
      </c>
      <c r="D806" s="1">
        <v>1281</v>
      </c>
      <c r="E806" s="2" t="str">
        <f>HYPERLINK("#'Data'!A8428", "Support households reportedly would like to receive broken down by member with WGSS disability on the admin of overall perc")</f>
        <v>Support households reportedly would like to receive broken down by member with WGSS disability on the admin of overall perc</v>
      </c>
    </row>
    <row r="807" spans="2:5" ht="15.75">
      <c r="B807" s="7" t="s">
        <v>163</v>
      </c>
      <c r="C807" s="8" t="s">
        <v>165</v>
      </c>
      <c r="D807" s="1">
        <v>1282</v>
      </c>
      <c r="E807" s="2" t="str">
        <f>HYPERLINK("#'Data'!A8436", "Support households reportedly would like to receive broken down by displacement status of HoH on the admin of overall perc")</f>
        <v>Support households reportedly would like to receive broken down by displacement status of HoH on the admin of overall perc</v>
      </c>
    </row>
    <row r="808" spans="2:5" ht="15.75">
      <c r="B808" s="5" t="s">
        <v>163</v>
      </c>
      <c r="C808" s="6" t="s">
        <v>165</v>
      </c>
      <c r="D808" s="1">
        <v>1283</v>
      </c>
      <c r="E808" s="2" t="str">
        <f>HYPERLINK("#'Data'!A8442", "Support households reportedly would like to receive broken down by household size on the admin of overall perc")</f>
        <v>Support households reportedly would like to receive broken down by household size on the admin of overall perc</v>
      </c>
    </row>
    <row r="809" spans="2:5" ht="15.75">
      <c r="B809" s="7" t="s">
        <v>163</v>
      </c>
      <c r="C809" s="8" t="s">
        <v>165</v>
      </c>
      <c r="D809" s="1">
        <v>1284</v>
      </c>
      <c r="E809" s="2" t="str">
        <f>HYPERLINK("#'Data'!A8452", "Support households reportedly would like to receive broken down by single/joint headed HHs on the admin of overall perc")</f>
        <v>Support households reportedly would like to receive broken down by single/joint headed HHs on the admin of overall perc</v>
      </c>
    </row>
    <row r="810" spans="2:5" ht="15.75">
      <c r="B810" s="5" t="s">
        <v>163</v>
      </c>
      <c r="C810" s="6" t="s">
        <v>166</v>
      </c>
      <c r="D810" s="1">
        <v>1286</v>
      </c>
      <c r="E810" s="2" t="str">
        <f>HYPERLINK("#'Data'!A8462", "Aid households reportedly would like to receive broken down by gender of respondent on the admin of overall perc")</f>
        <v>Aid households reportedly would like to receive broken down by gender of respondent on the admin of overall perc</v>
      </c>
    </row>
    <row r="811" spans="2:5" ht="15.75">
      <c r="B811" s="7" t="s">
        <v>163</v>
      </c>
      <c r="C811" s="8" t="s">
        <v>166</v>
      </c>
      <c r="D811" s="1">
        <v>1287</v>
      </c>
      <c r="E811" s="2" t="str">
        <f>HYPERLINK("#'Data'!A8470", "Aid households reportedly would like to receive broken down by age of respondents on the admin of overall perc")</f>
        <v>Aid households reportedly would like to receive broken down by age of respondents on the admin of overall perc</v>
      </c>
    </row>
    <row r="812" spans="2:5" ht="15.75">
      <c r="B812" s="5" t="s">
        <v>163</v>
      </c>
      <c r="C812" s="6" t="s">
        <v>166</v>
      </c>
      <c r="D812" s="1">
        <v>1288</v>
      </c>
      <c r="E812" s="2" t="str">
        <f>HYPERLINK("#'Data'!A8482", "Aid households reportedly would like to receive broken down by rural / urban on the admin of overall perc")</f>
        <v>Aid households reportedly would like to receive broken down by rural / urban on the admin of overall perc</v>
      </c>
    </row>
    <row r="813" spans="2:5" ht="15.75">
      <c r="B813" s="7" t="s">
        <v>163</v>
      </c>
      <c r="C813" s="8" t="s">
        <v>166</v>
      </c>
      <c r="D813" s="1">
        <v>1289</v>
      </c>
      <c r="E813" s="2" t="str">
        <f>HYPERLINK("#'Data'!A8490", "Aid households reportedly would like to receive broken down by proximity to the Frontline / Russian border on the admin of overall perc")</f>
        <v>Aid households reportedly would like to receive broken down by proximity to the Frontline / Russian border on the admin of overall perc</v>
      </c>
    </row>
    <row r="814" spans="2:5" ht="15.75">
      <c r="B814" s="5" t="s">
        <v>163</v>
      </c>
      <c r="C814" s="6" t="s">
        <v>166</v>
      </c>
      <c r="D814" s="1">
        <v>1290</v>
      </c>
      <c r="E814" s="2" t="str">
        <f>HYPERLINK("#'Data'!A8500", "Aid households reportedly would like to receive broken down by member with WGSS disability on the admin of overall perc")</f>
        <v>Aid households reportedly would like to receive broken down by member with WGSS disability on the admin of overall perc</v>
      </c>
    </row>
    <row r="815" spans="2:5" ht="15.75">
      <c r="B815" s="7" t="s">
        <v>163</v>
      </c>
      <c r="C815" s="8" t="s">
        <v>166</v>
      </c>
      <c r="D815" s="1">
        <v>1291</v>
      </c>
      <c r="E815" s="2" t="str">
        <f>HYPERLINK("#'Data'!A8508", "Aid households reportedly would like to receive broken down by displacement status of HoH on the admin of overall perc")</f>
        <v>Aid households reportedly would like to receive broken down by displacement status of HoH on the admin of overall perc</v>
      </c>
    </row>
    <row r="816" spans="2:5" ht="15.75">
      <c r="B816" s="5" t="s">
        <v>163</v>
      </c>
      <c r="C816" s="6" t="s">
        <v>166</v>
      </c>
      <c r="D816" s="1">
        <v>1292</v>
      </c>
      <c r="E816" s="2" t="str">
        <f>HYPERLINK("#'Data'!A8514", "Aid households reportedly would like to receive broken down by household size on the admin of overall perc")</f>
        <v>Aid households reportedly would like to receive broken down by household size on the admin of overall perc</v>
      </c>
    </row>
    <row r="817" spans="2:5" ht="15.75">
      <c r="B817" s="7" t="s">
        <v>163</v>
      </c>
      <c r="C817" s="8" t="s">
        <v>166</v>
      </c>
      <c r="D817" s="1">
        <v>1293</v>
      </c>
      <c r="E817" s="2" t="str">
        <f>HYPERLINK("#'Data'!A8524", "Aid households reportedly would like to receive broken down by single/joint headed HHs on the admin of overall perc")</f>
        <v>Aid households reportedly would like to receive broken down by single/joint headed HHs on the admin of overall perc</v>
      </c>
    </row>
    <row r="818" spans="2:5" ht="15.75">
      <c r="B818" s="5" t="s">
        <v>163</v>
      </c>
      <c r="C818" s="6" t="s">
        <v>167</v>
      </c>
      <c r="D818" s="1">
        <v>1300</v>
      </c>
      <c r="E818" s="2" t="str">
        <f>HYPERLINK("#'Data'!A8534", "Preferred modality of assistance per aid type broken down by gender of respondent on the admin of overall ")</f>
        <v xml:space="preserve">Preferred modality of assistance per aid type broken down by gender of respondent on the admin of overall </v>
      </c>
    </row>
    <row r="819" spans="2:5" ht="15.75">
      <c r="B819" s="7" t="s">
        <v>163</v>
      </c>
      <c r="C819" s="8" t="s">
        <v>168</v>
      </c>
      <c r="D819" s="1">
        <v>1305</v>
      </c>
      <c r="E819" s="2" t="str">
        <f>HYPERLINK("#'Data'!A8553", "K_11 Households Reported to have Received Humanitarian Assistance in the Last 12 months broken down by gender of respondent on the admin of overall...")</f>
        <v>K_11 Households Reported to have Received Humanitarian Assistance in the Last 12 months broken down by gender of respondent on the admin of overall...</v>
      </c>
    </row>
    <row r="820" spans="2:5" ht="15.75">
      <c r="B820" s="5" t="s">
        <v>163</v>
      </c>
      <c r="C820" s="6" t="s">
        <v>167</v>
      </c>
      <c r="D820" s="1">
        <v>1306</v>
      </c>
      <c r="E820" s="2" t="str">
        <f>HYPERLINK("#'Data'!A8561", "Preferred modality of assistance per aid type broken down by age of respondents on the admin of overall ")</f>
        <v xml:space="preserve">Preferred modality of assistance per aid type broken down by age of respondents on the admin of overall </v>
      </c>
    </row>
    <row r="821" spans="2:5" ht="15.75">
      <c r="B821" s="7" t="s">
        <v>163</v>
      </c>
      <c r="C821" s="8" t="s">
        <v>168</v>
      </c>
      <c r="D821" s="1">
        <v>1311</v>
      </c>
      <c r="E821" s="2" t="str">
        <f>HYPERLINK("#'Data'!A8591", "K_11 Households Reported to have Received Humanitarian Assistance in the Last 12 months broken down by age of respondents on the admin of overall p...")</f>
        <v>K_11 Households Reported to have Received Humanitarian Assistance in the Last 12 months broken down by age of respondents on the admin of overall p...</v>
      </c>
    </row>
    <row r="822" spans="2:5" ht="15.75">
      <c r="B822" s="5" t="s">
        <v>163</v>
      </c>
      <c r="C822" s="6" t="s">
        <v>167</v>
      </c>
      <c r="D822" s="1">
        <v>1312</v>
      </c>
      <c r="E822" s="2" t="str">
        <f>HYPERLINK("#'Data'!A8603", "Preferred modality of assistance per aid type broken down by rural / urban on the admin of overall ")</f>
        <v xml:space="preserve">Preferred modality of assistance per aid type broken down by rural / urban on the admin of overall </v>
      </c>
    </row>
    <row r="823" spans="2:5" ht="15.75">
      <c r="B823" s="7" t="s">
        <v>163</v>
      </c>
      <c r="C823" s="8" t="s">
        <v>168</v>
      </c>
      <c r="D823" s="1">
        <v>1317</v>
      </c>
      <c r="E823" s="2" t="str">
        <f>HYPERLINK("#'Data'!A8623", "K_11 Households Reported to have Received Humanitarian Assistance in the Last 12 months broken down by rural / urban on the admin of overall perc")</f>
        <v>K_11 Households Reported to have Received Humanitarian Assistance in the Last 12 months broken down by rural / urban on the admin of overall perc</v>
      </c>
    </row>
    <row r="824" spans="2:5" ht="15.75">
      <c r="B824" s="5" t="s">
        <v>163</v>
      </c>
      <c r="C824" s="6" t="s">
        <v>167</v>
      </c>
      <c r="D824" s="1">
        <v>1318</v>
      </c>
      <c r="E824" s="2" t="str">
        <f>HYPERLINK("#'Data'!A8631", "Preferred modality of assistance per aid type broken down by proximity to the Frontline / Russian border on the a...")</f>
        <v>Preferred modality of assistance per aid type broken down by proximity to the Frontline / Russian border on the a...</v>
      </c>
    </row>
    <row r="825" spans="2:5" ht="15.75">
      <c r="B825" s="7" t="s">
        <v>163</v>
      </c>
      <c r="C825" s="8" t="s">
        <v>168</v>
      </c>
      <c r="D825" s="1">
        <v>1323</v>
      </c>
      <c r="E825" s="2" t="str">
        <f>HYPERLINK("#'Data'!A8655", "K_11 Households Reported to have Received Humanitarian Assistance in the Last 12 months broken down by proximity to the Frontline / Russian border ...")</f>
        <v>K_11 Households Reported to have Received Humanitarian Assistance in the Last 12 months broken down by proximity to the Frontline / Russian border ...</v>
      </c>
    </row>
    <row r="826" spans="2:5" ht="15.75">
      <c r="B826" s="5" t="s">
        <v>163</v>
      </c>
      <c r="C826" s="6" t="s">
        <v>167</v>
      </c>
      <c r="D826" s="1">
        <v>1324</v>
      </c>
      <c r="E826" s="2" t="str">
        <f>HYPERLINK("#'Data'!A8665", "Preferred modality of assistance per aid type broken down by member with WGSS disability on the admin of overall ")</f>
        <v xml:space="preserve">Preferred modality of assistance per aid type broken down by member with WGSS disability on the admin of overall </v>
      </c>
    </row>
    <row r="827" spans="2:5" ht="15.75">
      <c r="B827" s="7" t="s">
        <v>163</v>
      </c>
      <c r="C827" s="8" t="s">
        <v>168</v>
      </c>
      <c r="D827" s="1">
        <v>1329</v>
      </c>
      <c r="E827" s="2" t="str">
        <f>HYPERLINK("#'Data'!A8685", "K_11 Households Reported to have Received Humanitarian Assistance in the Last 12 months broken down by member with WGSS disability on the admin of ...")</f>
        <v>K_11 Households Reported to have Received Humanitarian Assistance in the Last 12 months broken down by member with WGSS disability on the admin of ...</v>
      </c>
    </row>
    <row r="828" spans="2:5" ht="15.75">
      <c r="B828" s="5" t="s">
        <v>163</v>
      </c>
      <c r="C828" s="6" t="s">
        <v>167</v>
      </c>
      <c r="D828" s="1">
        <v>1330</v>
      </c>
      <c r="E828" s="2" t="str">
        <f>HYPERLINK("#'Data'!A8693", "Preferred modality of assistance per aid type broken down by displacement status of HoH on the admin of overall ")</f>
        <v xml:space="preserve">Preferred modality of assistance per aid type broken down by displacement status of HoH on the admin of overall </v>
      </c>
    </row>
    <row r="829" spans="2:5" ht="15.75">
      <c r="B829" s="7" t="s">
        <v>163</v>
      </c>
      <c r="C829" s="8" t="s">
        <v>168</v>
      </c>
      <c r="D829" s="1">
        <v>1335</v>
      </c>
      <c r="E829" s="2" t="str">
        <f>HYPERLINK("#'Data'!A8708", "K_11 Households Reported to have Received Humanitarian Assistance in the Last 12 months broken down by displacement status of HoH on the admin of o...")</f>
        <v>K_11 Households Reported to have Received Humanitarian Assistance in the Last 12 months broken down by displacement status of HoH on the admin of o...</v>
      </c>
    </row>
    <row r="830" spans="2:5" ht="15.75">
      <c r="B830" s="5" t="s">
        <v>163</v>
      </c>
      <c r="C830" s="6" t="s">
        <v>167</v>
      </c>
      <c r="D830" s="1">
        <v>1336</v>
      </c>
      <c r="E830" s="2" t="str">
        <f>HYPERLINK("#'Data'!A8714", "Preferred modality of assistance per aid type broken down by household size on the admin of overall ")</f>
        <v xml:space="preserve">Preferred modality of assistance per aid type broken down by household size on the admin of overall </v>
      </c>
    </row>
    <row r="831" spans="2:5" ht="15.75">
      <c r="B831" s="7" t="s">
        <v>163</v>
      </c>
      <c r="C831" s="8" t="s">
        <v>168</v>
      </c>
      <c r="D831" s="1">
        <v>1341</v>
      </c>
      <c r="E831" s="2" t="str">
        <f>HYPERLINK("#'Data'!A8739", "K_11 Households Reported to have Received Humanitarian Assistance in the Last 12 months broken down by household size on the admin of overall perc")</f>
        <v>K_11 Households Reported to have Received Humanitarian Assistance in the Last 12 months broken down by household size on the admin of overall perc</v>
      </c>
    </row>
    <row r="832" spans="2:5" ht="15.75">
      <c r="B832" s="5" t="s">
        <v>163</v>
      </c>
      <c r="C832" s="6" t="s">
        <v>167</v>
      </c>
      <c r="D832" s="1">
        <v>1342</v>
      </c>
      <c r="E832" s="2" t="str">
        <f>HYPERLINK("#'Data'!A8749", "Preferred modality of assistance per aid type broken down by single/joint headed HHs on the admin of overall ")</f>
        <v xml:space="preserve">Preferred modality of assistance per aid type broken down by single/joint headed HHs on the admin of overall </v>
      </c>
    </row>
    <row r="833" spans="2:5" ht="15.75">
      <c r="B833" s="7" t="s">
        <v>163</v>
      </c>
      <c r="C833" s="8" t="s">
        <v>168</v>
      </c>
      <c r="D833" s="1">
        <v>1347</v>
      </c>
      <c r="E833" s="2" t="str">
        <f>HYPERLINK("#'Data'!A8773", "K_11 Households Reported to have Received Humanitarian Assistance in the Last 12 months broken down by single/joint headed HHs on the admin of over...")</f>
        <v>K_11 Households Reported to have Received Humanitarian Assistance in the Last 12 months broken down by single/joint headed HHs on the admin of over...</v>
      </c>
    </row>
    <row r="834" spans="2:5" ht="15.75">
      <c r="B834" s="5" t="s">
        <v>163</v>
      </c>
      <c r="C834" s="6" t="s">
        <v>169</v>
      </c>
      <c r="D834" s="1">
        <v>1349</v>
      </c>
      <c r="E834" s="2" t="str">
        <f>HYPERLINK("#'Data'!A8783", "Barriers Households reportedly faced during accessing aid broken down by gender of respondent on the admin of overall perc")</f>
        <v>Barriers Households reportedly faced during accessing aid broken down by gender of respondent on the admin of overall perc</v>
      </c>
    </row>
    <row r="835" spans="2:5" ht="15.75">
      <c r="B835" s="7" t="s">
        <v>163</v>
      </c>
      <c r="C835" s="8" t="s">
        <v>169</v>
      </c>
      <c r="D835" s="1">
        <v>1350</v>
      </c>
      <c r="E835" s="2" t="str">
        <f>HYPERLINK("#'Data'!A8791", "Barriers Households reportedly faced during accessing aid broken down by age of respondents on the admin of overall perc")</f>
        <v>Barriers Households reportedly faced during accessing aid broken down by age of respondents on the admin of overall perc</v>
      </c>
    </row>
    <row r="836" spans="2:5" ht="15.75">
      <c r="B836" s="5" t="s">
        <v>163</v>
      </c>
      <c r="C836" s="6" t="s">
        <v>169</v>
      </c>
      <c r="D836" s="1">
        <v>1351</v>
      </c>
      <c r="E836" s="2" t="str">
        <f>HYPERLINK("#'Data'!A8803", "Barriers Households reportedly faced during accessing aid broken down by rural / urban on the admin of overall perc")</f>
        <v>Barriers Households reportedly faced during accessing aid broken down by rural / urban on the admin of overall perc</v>
      </c>
    </row>
    <row r="837" spans="2:5" ht="15.75">
      <c r="B837" s="7" t="s">
        <v>163</v>
      </c>
      <c r="C837" s="8" t="s">
        <v>169</v>
      </c>
      <c r="D837" s="1">
        <v>1352</v>
      </c>
      <c r="E837" s="2" t="str">
        <f>HYPERLINK("#'Data'!A8811", "Barriers Households reportedly faced during accessing aid broken down by proximity to the Frontline / Russian border on the admin of overall perc")</f>
        <v>Barriers Households reportedly faced during accessing aid broken down by proximity to the Frontline / Russian border on the admin of overall perc</v>
      </c>
    </row>
    <row r="838" spans="2:5" ht="15.75">
      <c r="B838" s="5" t="s">
        <v>163</v>
      </c>
      <c r="C838" s="6" t="s">
        <v>169</v>
      </c>
      <c r="D838" s="1">
        <v>1353</v>
      </c>
      <c r="E838" s="2" t="str">
        <f>HYPERLINK("#'Data'!A8821", "Barriers Households reportedly faced during accessing aid broken down by member with WGSS disability on the admin of overall perc")</f>
        <v>Barriers Households reportedly faced during accessing aid broken down by member with WGSS disability on the admin of overall perc</v>
      </c>
    </row>
    <row r="839" spans="2:5" ht="15.75">
      <c r="B839" s="7" t="s">
        <v>163</v>
      </c>
      <c r="C839" s="8" t="s">
        <v>169</v>
      </c>
      <c r="D839" s="1">
        <v>1354</v>
      </c>
      <c r="E839" s="2" t="str">
        <f>HYPERLINK("#'Data'!A8829", "Barriers Households reportedly faced during accessing aid broken down by displacement status of HoH on the admin of overall perc")</f>
        <v>Barriers Households reportedly faced during accessing aid broken down by displacement status of HoH on the admin of overall perc</v>
      </c>
    </row>
    <row r="840" spans="2:5" ht="15.75">
      <c r="B840" s="5" t="s">
        <v>163</v>
      </c>
      <c r="C840" s="6" t="s">
        <v>169</v>
      </c>
      <c r="D840" s="1">
        <v>1355</v>
      </c>
      <c r="E840" s="2" t="str">
        <f>HYPERLINK("#'Data'!A8835", "Barriers Households reportedly faced during accessing aid broken down by household size on the admin of overall perc")</f>
        <v>Barriers Households reportedly faced during accessing aid broken down by household size on the admin of overall perc</v>
      </c>
    </row>
    <row r="841" spans="2:5" ht="15.75">
      <c r="B841" s="7" t="s">
        <v>163</v>
      </c>
      <c r="C841" s="8" t="s">
        <v>169</v>
      </c>
      <c r="D841" s="1">
        <v>1356</v>
      </c>
      <c r="E841" s="2" t="str">
        <f>HYPERLINK("#'Data'!A8845", "Barriers Households reportedly faced during accessing aid broken down by single/joint headed HHs on the admin of overall perc")</f>
        <v>Barriers Households reportedly faced during accessing aid broken down by single/joint headed HHs on the admin of overall perc</v>
      </c>
    </row>
    <row r="842" spans="2:5" ht="15.75">
      <c r="B842" s="5" t="s">
        <v>163</v>
      </c>
      <c r="C842" s="6" t="s">
        <v>170</v>
      </c>
      <c r="D842" s="1">
        <v>1358</v>
      </c>
      <c r="E842" s="2" t="str">
        <f>HYPERLINK("#'Data'!A8855", "Aid satisfaction reported by households broken down by gender of respondent on the admin of overall perc")</f>
        <v>Aid satisfaction reported by households broken down by gender of respondent on the admin of overall perc</v>
      </c>
    </row>
    <row r="843" spans="2:5" ht="15.75">
      <c r="B843" s="7" t="s">
        <v>163</v>
      </c>
      <c r="C843" s="8" t="s">
        <v>170</v>
      </c>
      <c r="D843" s="1">
        <v>1359</v>
      </c>
      <c r="E843" s="2" t="str">
        <f>HYPERLINK("#'Data'!A8863", "Aid satisfaction reported by households broken down by age of respondents on the admin of overall perc")</f>
        <v>Aid satisfaction reported by households broken down by age of respondents on the admin of overall perc</v>
      </c>
    </row>
    <row r="844" spans="2:5" ht="15.75">
      <c r="B844" s="5" t="s">
        <v>163</v>
      </c>
      <c r="C844" s="6" t="s">
        <v>170</v>
      </c>
      <c r="D844" s="1">
        <v>1360</v>
      </c>
      <c r="E844" s="2" t="str">
        <f>HYPERLINK("#'Data'!A8875", "Aid satisfaction reported by households broken down by rural / urban on the admin of overall perc")</f>
        <v>Aid satisfaction reported by households broken down by rural / urban on the admin of overall perc</v>
      </c>
    </row>
    <row r="845" spans="2:5" ht="15.75">
      <c r="B845" s="7" t="s">
        <v>163</v>
      </c>
      <c r="C845" s="8" t="s">
        <v>170</v>
      </c>
      <c r="D845" s="1">
        <v>1361</v>
      </c>
      <c r="E845" s="2" t="str">
        <f>HYPERLINK("#'Data'!A8883", "Aid satisfaction reported by households broken down by proximity to the Frontline / Russian border on the admin of overall perc")</f>
        <v>Aid satisfaction reported by households broken down by proximity to the Frontline / Russian border on the admin of overall perc</v>
      </c>
    </row>
    <row r="846" spans="2:5" ht="15.75">
      <c r="B846" s="5" t="s">
        <v>163</v>
      </c>
      <c r="C846" s="6" t="s">
        <v>170</v>
      </c>
      <c r="D846" s="1">
        <v>1362</v>
      </c>
      <c r="E846" s="2" t="str">
        <f>HYPERLINK("#'Data'!A8893", "Aid satisfaction reported by households broken down by member with WGSS disability on the admin of overall perc")</f>
        <v>Aid satisfaction reported by households broken down by member with WGSS disability on the admin of overall perc</v>
      </c>
    </row>
    <row r="847" spans="2:5" ht="15.75">
      <c r="B847" s="7" t="s">
        <v>163</v>
      </c>
      <c r="C847" s="8" t="s">
        <v>170</v>
      </c>
      <c r="D847" s="1">
        <v>1363</v>
      </c>
      <c r="E847" s="2" t="str">
        <f>HYPERLINK("#'Data'!A8901", "Aid satisfaction reported by households broken down by displacement status of HoH on the admin of overall perc")</f>
        <v>Aid satisfaction reported by households broken down by displacement status of HoH on the admin of overall perc</v>
      </c>
    </row>
    <row r="848" spans="2:5" ht="15.75">
      <c r="B848" s="5" t="s">
        <v>163</v>
      </c>
      <c r="C848" s="6" t="s">
        <v>170</v>
      </c>
      <c r="D848" s="1">
        <v>1364</v>
      </c>
      <c r="E848" s="2" t="str">
        <f>HYPERLINK("#'Data'!A8907", "Aid satisfaction reported by households broken down by household size on the admin of overall perc")</f>
        <v>Aid satisfaction reported by households broken down by household size on the admin of overall perc</v>
      </c>
    </row>
    <row r="849" spans="2:5" ht="15.75">
      <c r="B849" s="7" t="s">
        <v>163</v>
      </c>
      <c r="C849" s="8" t="s">
        <v>170</v>
      </c>
      <c r="D849" s="1">
        <v>1365</v>
      </c>
      <c r="E849" s="2" t="str">
        <f>HYPERLINK("#'Data'!A8917", "Aid satisfaction reported by households broken down by single/joint headed HHs on the admin of overall perc")</f>
        <v>Aid satisfaction reported by households broken down by single/joint headed HHs on the admin of overall perc</v>
      </c>
    </row>
    <row r="850" spans="2:5" ht="15.75">
      <c r="B850" s="5" t="s">
        <v>163</v>
      </c>
      <c r="C850" s="6" t="s">
        <v>171</v>
      </c>
      <c r="D850" s="1">
        <v>1367</v>
      </c>
      <c r="E850" s="2" t="str">
        <f>HYPERLINK("#'Data'!A8927", "Information Households would like to receive from aid providers broken down by gender of respondent on the admin of overall perc")</f>
        <v>Information Households would like to receive from aid providers broken down by gender of respondent on the admin of overall perc</v>
      </c>
    </row>
    <row r="851" spans="2:5" ht="15.75">
      <c r="B851" s="7" t="s">
        <v>163</v>
      </c>
      <c r="C851" s="8" t="s">
        <v>171</v>
      </c>
      <c r="D851" s="1">
        <v>1368</v>
      </c>
      <c r="E851" s="2" t="str">
        <f>HYPERLINK("#'Data'!A8935", "Information Households would like to receive from aid providers broken down by age of respondents on the admin of overall perc")</f>
        <v>Information Households would like to receive from aid providers broken down by age of respondents on the admin of overall perc</v>
      </c>
    </row>
    <row r="852" spans="2:5" ht="15.75">
      <c r="B852" s="5" t="s">
        <v>163</v>
      </c>
      <c r="C852" s="6" t="s">
        <v>171</v>
      </c>
      <c r="D852" s="1">
        <v>1369</v>
      </c>
      <c r="E852" s="2" t="str">
        <f>HYPERLINK("#'Data'!A8947", "Information Households would like to receive from aid providers broken down by rural / urban on the admin of overall perc")</f>
        <v>Information Households would like to receive from aid providers broken down by rural / urban on the admin of overall perc</v>
      </c>
    </row>
    <row r="853" spans="2:5" ht="15.75">
      <c r="B853" s="7" t="s">
        <v>163</v>
      </c>
      <c r="C853" s="8" t="s">
        <v>171</v>
      </c>
      <c r="D853" s="1">
        <v>1370</v>
      </c>
      <c r="E853" s="2" t="str">
        <f>HYPERLINK("#'Data'!A8955", "Information Households would like to receive from aid providers broken down by proximity to the Frontline / Russian border on the admin of overall ...")</f>
        <v>Information Households would like to receive from aid providers broken down by proximity to the Frontline / Russian border on the admin of overall ...</v>
      </c>
    </row>
    <row r="854" spans="2:5" ht="15.75">
      <c r="B854" s="5" t="s">
        <v>163</v>
      </c>
      <c r="C854" s="6" t="s">
        <v>171</v>
      </c>
      <c r="D854" s="1">
        <v>1371</v>
      </c>
      <c r="E854" s="2" t="str">
        <f>HYPERLINK("#'Data'!A8965", "Information Households would like to receive from aid providers broken down by member with WGSS disability on the admin of overall perc")</f>
        <v>Information Households would like to receive from aid providers broken down by member with WGSS disability on the admin of overall perc</v>
      </c>
    </row>
    <row r="855" spans="2:5" ht="15.75">
      <c r="B855" s="7" t="s">
        <v>163</v>
      </c>
      <c r="C855" s="8" t="s">
        <v>171</v>
      </c>
      <c r="D855" s="1">
        <v>1372</v>
      </c>
      <c r="E855" s="2" t="str">
        <f>HYPERLINK("#'Data'!A8973", "Information Households would like to receive from aid providers broken down by displacement status of HoH on the admin of overall perc")</f>
        <v>Information Households would like to receive from aid providers broken down by displacement status of HoH on the admin of overall perc</v>
      </c>
    </row>
    <row r="856" spans="2:5" ht="15.75">
      <c r="B856" s="5" t="s">
        <v>163</v>
      </c>
      <c r="C856" s="6" t="s">
        <v>171</v>
      </c>
      <c r="D856" s="1">
        <v>1373</v>
      </c>
      <c r="E856" s="2" t="str">
        <f>HYPERLINK("#'Data'!A8979", "Information Households would like to receive from aid providers broken down by household size on the admin of overall perc")</f>
        <v>Information Households would like to receive from aid providers broken down by household size on the admin of overall perc</v>
      </c>
    </row>
    <row r="857" spans="2:5" ht="15.75">
      <c r="B857" s="7" t="s">
        <v>163</v>
      </c>
      <c r="C857" s="8" t="s">
        <v>171</v>
      </c>
      <c r="D857" s="1">
        <v>1374</v>
      </c>
      <c r="E857" s="2" t="str">
        <f>HYPERLINK("#'Data'!A8989", "Information Households would like to receive from aid providers broken down by single/joint headed HHs on the admin of overall perc")</f>
        <v>Information Households would like to receive from aid providers broken down by single/joint headed HHs on the admin of overall perc</v>
      </c>
    </row>
    <row r="858" spans="2:5" ht="15.75">
      <c r="B858" s="5" t="s">
        <v>163</v>
      </c>
      <c r="C858" s="6" t="s">
        <v>172</v>
      </c>
      <c r="D858" s="1">
        <v>1376</v>
      </c>
      <c r="E858" s="2" t="str">
        <f>HYPERLINK("#'Data'!A8999", "Peferred mean of communication reported by households broken down by gender of respondent on the admin of overall perc")</f>
        <v>Peferred mean of communication reported by households broken down by gender of respondent on the admin of overall perc</v>
      </c>
    </row>
    <row r="859" spans="2:5" ht="15.75">
      <c r="B859" s="7" t="s">
        <v>163</v>
      </c>
      <c r="C859" s="8" t="s">
        <v>172</v>
      </c>
      <c r="D859" s="1">
        <v>1377</v>
      </c>
      <c r="E859" s="2" t="str">
        <f>HYPERLINK("#'Data'!A9007", "Peferred mean of communication reported by households broken down by age of respondents on the admin of overall perc")</f>
        <v>Peferred mean of communication reported by households broken down by age of respondents on the admin of overall perc</v>
      </c>
    </row>
    <row r="860" spans="2:5" ht="15.75">
      <c r="B860" s="5" t="s">
        <v>163</v>
      </c>
      <c r="C860" s="6" t="s">
        <v>172</v>
      </c>
      <c r="D860" s="1">
        <v>1378</v>
      </c>
      <c r="E860" s="2" t="str">
        <f>HYPERLINK("#'Data'!A9019", "Peferred mean of communication reported by households broken down by rural / urban on the admin of overall perc")</f>
        <v>Peferred mean of communication reported by households broken down by rural / urban on the admin of overall perc</v>
      </c>
    </row>
    <row r="861" spans="2:5" ht="15.75">
      <c r="B861" s="7" t="s">
        <v>163</v>
      </c>
      <c r="C861" s="8" t="s">
        <v>172</v>
      </c>
      <c r="D861" s="1">
        <v>1379</v>
      </c>
      <c r="E861" s="2" t="str">
        <f>HYPERLINK("#'Data'!A9027", "Peferred mean of communication reported by households broken down by proximity to the Frontline / Russian border on the admin of overall perc")</f>
        <v>Peferred mean of communication reported by households broken down by proximity to the Frontline / Russian border on the admin of overall perc</v>
      </c>
    </row>
    <row r="862" spans="2:5" ht="15.75">
      <c r="B862" s="5" t="s">
        <v>163</v>
      </c>
      <c r="C862" s="6" t="s">
        <v>172</v>
      </c>
      <c r="D862" s="1">
        <v>1380</v>
      </c>
      <c r="E862" s="2" t="str">
        <f>HYPERLINK("#'Data'!A9037", "Peferred mean of communication reported by households broken down by member with WGSS disability on the admin of overall perc")</f>
        <v>Peferred mean of communication reported by households broken down by member with WGSS disability on the admin of overall perc</v>
      </c>
    </row>
    <row r="863" spans="2:5" ht="15.75">
      <c r="B863" s="7" t="s">
        <v>163</v>
      </c>
      <c r="C863" s="8" t="s">
        <v>172</v>
      </c>
      <c r="D863" s="1">
        <v>1381</v>
      </c>
      <c r="E863" s="2" t="str">
        <f>HYPERLINK("#'Data'!A9045", "Peferred mean of communication reported by households broken down by displacement status of HoH on the admin of overall perc")</f>
        <v>Peferred mean of communication reported by households broken down by displacement status of HoH on the admin of overall perc</v>
      </c>
    </row>
    <row r="864" spans="2:5" ht="15.75">
      <c r="B864" s="5" t="s">
        <v>163</v>
      </c>
      <c r="C864" s="6" t="s">
        <v>172</v>
      </c>
      <c r="D864" s="1">
        <v>1382</v>
      </c>
      <c r="E864" s="2" t="str">
        <f>HYPERLINK("#'Data'!A9051", "Peferred mean of communication reported by households broken down by household size on the admin of overall perc")</f>
        <v>Peferred mean of communication reported by households broken down by household size on the admin of overall perc</v>
      </c>
    </row>
    <row r="865" spans="2:5" ht="15.75">
      <c r="B865" s="7" t="s">
        <v>163</v>
      </c>
      <c r="C865" s="8" t="s">
        <v>172</v>
      </c>
      <c r="D865" s="1">
        <v>1383</v>
      </c>
      <c r="E865" s="2" t="str">
        <f>HYPERLINK("#'Data'!A9061", "Peferred mean of communication reported by households broken down by single/joint headed HHs on the admin of overall perc")</f>
        <v>Peferred mean of communication reported by households broken down by single/joint headed HHs on the admin of overall perc</v>
      </c>
    </row>
    <row r="866" spans="2:5" ht="15.75">
      <c r="B866" s="5" t="s">
        <v>163</v>
      </c>
      <c r="C866" s="6" t="s">
        <v>173</v>
      </c>
      <c r="D866" s="1">
        <v>1385</v>
      </c>
      <c r="E866" s="2" t="str">
        <f>HYPERLINK("#'Data'!A9071", "Households reportedly feeling involved in aid distribution broken down by gender of respondent on the admin of overall perc")</f>
        <v>Households reportedly feeling involved in aid distribution broken down by gender of respondent on the admin of overall perc</v>
      </c>
    </row>
    <row r="867" spans="2:5" ht="15.75">
      <c r="B867" s="7" t="s">
        <v>163</v>
      </c>
      <c r="C867" s="8" t="s">
        <v>173</v>
      </c>
      <c r="D867" s="1">
        <v>1386</v>
      </c>
      <c r="E867" s="2" t="str">
        <f>HYPERLINK("#'Data'!A9079", "Households reportedly feeling involved in aid distribution broken down by age of respondents on the admin of overall perc")</f>
        <v>Households reportedly feeling involved in aid distribution broken down by age of respondents on the admin of overall perc</v>
      </c>
    </row>
    <row r="868" spans="2:5" ht="15.75">
      <c r="B868" s="5" t="s">
        <v>163</v>
      </c>
      <c r="C868" s="6" t="s">
        <v>173</v>
      </c>
      <c r="D868" s="1">
        <v>1387</v>
      </c>
      <c r="E868" s="2" t="str">
        <f>HYPERLINK("#'Data'!A9091", "Households reportedly feeling involved in aid distribution broken down by rural / urban on the admin of overall perc")</f>
        <v>Households reportedly feeling involved in aid distribution broken down by rural / urban on the admin of overall perc</v>
      </c>
    </row>
    <row r="869" spans="2:5" ht="15.75">
      <c r="B869" s="7" t="s">
        <v>163</v>
      </c>
      <c r="C869" s="8" t="s">
        <v>173</v>
      </c>
      <c r="D869" s="1">
        <v>1388</v>
      </c>
      <c r="E869" s="2" t="str">
        <f>HYPERLINK("#'Data'!A9099", "Households reportedly feeling involved in aid distribution broken down by proximity to the Frontline / Russian border on the admin of overall perc")</f>
        <v>Households reportedly feeling involved in aid distribution broken down by proximity to the Frontline / Russian border on the admin of overall perc</v>
      </c>
    </row>
    <row r="870" spans="2:5" ht="15.75">
      <c r="B870" s="5" t="s">
        <v>163</v>
      </c>
      <c r="C870" s="6" t="s">
        <v>173</v>
      </c>
      <c r="D870" s="1">
        <v>1389</v>
      </c>
      <c r="E870" s="2" t="str">
        <f>HYPERLINK("#'Data'!A9109", "Households reportedly feeling involved in aid distribution broken down by member with WGSS disability on the admin of overall perc")</f>
        <v>Households reportedly feeling involved in aid distribution broken down by member with WGSS disability on the admin of overall perc</v>
      </c>
    </row>
    <row r="871" spans="2:5" ht="15.75">
      <c r="B871" s="7" t="s">
        <v>163</v>
      </c>
      <c r="C871" s="8" t="s">
        <v>173</v>
      </c>
      <c r="D871" s="1">
        <v>1390</v>
      </c>
      <c r="E871" s="2" t="str">
        <f>HYPERLINK("#'Data'!A9117", "Households reportedly feeling involved in aid distribution broken down by displacement status of HoH on the admin of overall perc")</f>
        <v>Households reportedly feeling involved in aid distribution broken down by displacement status of HoH on the admin of overall perc</v>
      </c>
    </row>
    <row r="872" spans="2:5" ht="15.75">
      <c r="B872" s="5" t="s">
        <v>163</v>
      </c>
      <c r="C872" s="6" t="s">
        <v>173</v>
      </c>
      <c r="D872" s="1">
        <v>1391</v>
      </c>
      <c r="E872" s="2" t="str">
        <f>HYPERLINK("#'Data'!A9123", "Households reportedly feeling involved in aid distribution broken down by household size on the admin of overall perc")</f>
        <v>Households reportedly feeling involved in aid distribution broken down by household size on the admin of overall perc</v>
      </c>
    </row>
    <row r="873" spans="2:5" ht="15.75">
      <c r="B873" s="7" t="s">
        <v>163</v>
      </c>
      <c r="C873" s="8" t="s">
        <v>173</v>
      </c>
      <c r="D873" s="1">
        <v>1392</v>
      </c>
      <c r="E873" s="2" t="str">
        <f>HYPERLINK("#'Data'!A9133", "Households reportedly feeling involved in aid distribution broken down by single/joint headed HHs on the admin of overall perc")</f>
        <v>Households reportedly feeling involved in aid distribution broken down by single/joint headed HHs on the admin of overall perc</v>
      </c>
    </row>
    <row r="874" spans="2:5" ht="15.75">
      <c r="B874" s="5" t="s">
        <v>163</v>
      </c>
      <c r="C874" s="6" t="s">
        <v>174</v>
      </c>
      <c r="D874" s="1">
        <v>1394</v>
      </c>
      <c r="E874" s="2" t="str">
        <f>HYPERLINK("#'Data'!A9143", "Preferred language of communication with aid providers broken down by gender of respondent on the admin of overall perc")</f>
        <v>Preferred language of communication with aid providers broken down by gender of respondent on the admin of overall perc</v>
      </c>
    </row>
    <row r="875" spans="2:5" ht="15.75">
      <c r="B875" s="7" t="s">
        <v>163</v>
      </c>
      <c r="C875" s="8" t="s">
        <v>174</v>
      </c>
      <c r="D875" s="1">
        <v>1395</v>
      </c>
      <c r="E875" s="2" t="str">
        <f>HYPERLINK("#'Data'!A9151", "Preferred language of communication with aid providers broken down by age of respondents on the admin of overall perc")</f>
        <v>Preferred language of communication with aid providers broken down by age of respondents on the admin of overall perc</v>
      </c>
    </row>
    <row r="876" spans="2:5" ht="15.75">
      <c r="B876" s="5" t="s">
        <v>163</v>
      </c>
      <c r="C876" s="6" t="s">
        <v>174</v>
      </c>
      <c r="D876" s="1">
        <v>1396</v>
      </c>
      <c r="E876" s="2" t="str">
        <f>HYPERLINK("#'Data'!A9163", "Preferred language of communication with aid providers broken down by rural / urban on the admin of overall perc")</f>
        <v>Preferred language of communication with aid providers broken down by rural / urban on the admin of overall perc</v>
      </c>
    </row>
    <row r="877" spans="2:5" ht="15.75">
      <c r="B877" s="7" t="s">
        <v>163</v>
      </c>
      <c r="C877" s="8" t="s">
        <v>174</v>
      </c>
      <c r="D877" s="1">
        <v>1397</v>
      </c>
      <c r="E877" s="2" t="str">
        <f>HYPERLINK("#'Data'!A9171", "Preferred language of communication with aid providers broken down by proximity to the Frontline / Russian border on the admin of overall perc")</f>
        <v>Preferred language of communication with aid providers broken down by proximity to the Frontline / Russian border on the admin of overall perc</v>
      </c>
    </row>
    <row r="878" spans="2:5" ht="15.75">
      <c r="B878" s="5" t="s">
        <v>163</v>
      </c>
      <c r="C878" s="6" t="s">
        <v>174</v>
      </c>
      <c r="D878" s="1">
        <v>1398</v>
      </c>
      <c r="E878" s="2" t="str">
        <f>HYPERLINK("#'Data'!A9181", "Preferred language of communication with aid providers broken down by member with WGSS disability on the admin of overall perc")</f>
        <v>Preferred language of communication with aid providers broken down by member with WGSS disability on the admin of overall perc</v>
      </c>
    </row>
    <row r="879" spans="2:5" ht="15.75">
      <c r="B879" s="7" t="s">
        <v>163</v>
      </c>
      <c r="C879" s="8" t="s">
        <v>174</v>
      </c>
      <c r="D879" s="1">
        <v>1399</v>
      </c>
      <c r="E879" s="2" t="str">
        <f>HYPERLINK("#'Data'!A9189", "Preferred language of communication with aid providers broken down by displacement status of HoH on the admin of overall perc")</f>
        <v>Preferred language of communication with aid providers broken down by displacement status of HoH on the admin of overall perc</v>
      </c>
    </row>
    <row r="880" spans="2:5" ht="15.75">
      <c r="B880" s="5" t="s">
        <v>163</v>
      </c>
      <c r="C880" s="6" t="s">
        <v>174</v>
      </c>
      <c r="D880" s="1">
        <v>1400</v>
      </c>
      <c r="E880" s="2" t="str">
        <f>HYPERLINK("#'Data'!A9195", "Preferred language of communication with aid providers broken down by household size on the admin of overall perc")</f>
        <v>Preferred language of communication with aid providers broken down by household size on the admin of overall perc</v>
      </c>
    </row>
    <row r="881" spans="2:5" ht="15.75">
      <c r="B881" s="7" t="s">
        <v>163</v>
      </c>
      <c r="C881" s="8" t="s">
        <v>174</v>
      </c>
      <c r="D881" s="1">
        <v>1401</v>
      </c>
      <c r="E881" s="2" t="str">
        <f>HYPERLINK("#'Data'!A9205", "Preferred language of communication with aid providers broken down by single/joint headed HHs on the admin of overall perc")</f>
        <v>Preferred language of communication with aid providers broken down by single/joint headed HHs on the admin of overall perc</v>
      </c>
    </row>
    <row r="882" spans="2:5" ht="15.75">
      <c r="B882" s="5" t="s">
        <v>163</v>
      </c>
      <c r="C882" s="6" t="s">
        <v>175</v>
      </c>
      <c r="D882" s="1">
        <v>1403</v>
      </c>
      <c r="E882" s="2" t="str">
        <f>HYPERLINK("#'Data'!A9215", "Households reporting to experience cuts in assisstance from the government broken down by gender of respondent on the admin of overall perc")</f>
        <v>Households reporting to experience cuts in assisstance from the government broken down by gender of respondent on the admin of overall perc</v>
      </c>
    </row>
    <row r="883" spans="2:5" ht="15.75">
      <c r="B883" s="7" t="s">
        <v>163</v>
      </c>
      <c r="C883" s="8" t="s">
        <v>175</v>
      </c>
      <c r="D883" s="1">
        <v>1404</v>
      </c>
      <c r="E883" s="2" t="str">
        <f>HYPERLINK("#'Data'!A9223", "Households reporting to experience cuts in assisstance from the government broken down by age of respondents on the admin of overall perc")</f>
        <v>Households reporting to experience cuts in assisstance from the government broken down by age of respondents on the admin of overall perc</v>
      </c>
    </row>
    <row r="884" spans="2:5" ht="15.75">
      <c r="B884" s="5" t="s">
        <v>163</v>
      </c>
      <c r="C884" s="6" t="s">
        <v>175</v>
      </c>
      <c r="D884" s="1">
        <v>1405</v>
      </c>
      <c r="E884" s="2" t="str">
        <f>HYPERLINK("#'Data'!A9235", "Households reporting to experience cuts in assisstance from the government broken down by rural / urban on the admin of overall perc")</f>
        <v>Households reporting to experience cuts in assisstance from the government broken down by rural / urban on the admin of overall perc</v>
      </c>
    </row>
    <row r="885" spans="2:5" ht="15.75">
      <c r="B885" s="7" t="s">
        <v>163</v>
      </c>
      <c r="C885" s="8" t="s">
        <v>175</v>
      </c>
      <c r="D885" s="1">
        <v>1406</v>
      </c>
      <c r="E885" s="2" t="str">
        <f>HYPERLINK("#'Data'!A9243", "Households reporting to experience cuts in assisstance from the government broken down by proximity to the Frontline / Russian border on the admin ...")</f>
        <v>Households reporting to experience cuts in assisstance from the government broken down by proximity to the Frontline / Russian border on the admin ...</v>
      </c>
    </row>
    <row r="886" spans="2:5" ht="15.75">
      <c r="B886" s="5" t="s">
        <v>163</v>
      </c>
      <c r="C886" s="6" t="s">
        <v>175</v>
      </c>
      <c r="D886" s="1">
        <v>1407</v>
      </c>
      <c r="E886" s="2" t="str">
        <f>HYPERLINK("#'Data'!A9253", "Households reporting to experience cuts in assisstance from the government broken down by member with WGSS disability on the admin of overall perc")</f>
        <v>Households reporting to experience cuts in assisstance from the government broken down by member with WGSS disability on the admin of overall perc</v>
      </c>
    </row>
    <row r="887" spans="2:5" ht="15.75">
      <c r="B887" s="7" t="s">
        <v>163</v>
      </c>
      <c r="C887" s="8" t="s">
        <v>175</v>
      </c>
      <c r="D887" s="1">
        <v>1408</v>
      </c>
      <c r="E887" s="2" t="str">
        <f>HYPERLINK("#'Data'!A9261", "Households reporting to experience cuts in assisstance from the government broken down by displacement status of HoH on the admin of overall perc")</f>
        <v>Households reporting to experience cuts in assisstance from the government broken down by displacement status of HoH on the admin of overall perc</v>
      </c>
    </row>
    <row r="888" spans="2:5" ht="15.75">
      <c r="B888" s="5" t="s">
        <v>163</v>
      </c>
      <c r="C888" s="6" t="s">
        <v>175</v>
      </c>
      <c r="D888" s="1">
        <v>1409</v>
      </c>
      <c r="E888" s="2" t="str">
        <f>HYPERLINK("#'Data'!A9267", "Households reporting to experience cuts in assisstance from the government broken down by household size on the admin of overall perc")</f>
        <v>Households reporting to experience cuts in assisstance from the government broken down by household size on the admin of overall perc</v>
      </c>
    </row>
    <row r="889" spans="2:5" ht="15.75">
      <c r="B889" s="7" t="s">
        <v>163</v>
      </c>
      <c r="C889" s="8" t="s">
        <v>175</v>
      </c>
      <c r="D889" s="1">
        <v>1410</v>
      </c>
      <c r="E889" s="2" t="str">
        <f>HYPERLINK("#'Data'!A9277", "Households reporting to experience cuts in assisstance from the government broken down by single/joint headed HHs on the admin of overall perc")</f>
        <v>Households reporting to experience cuts in assisstance from the government broken down by single/joint headed HHs on the admin of overall perc</v>
      </c>
    </row>
    <row r="890" spans="2:5" ht="15.75">
      <c r="B890" s="5" t="s">
        <v>163</v>
      </c>
      <c r="C890" s="6" t="s">
        <v>176</v>
      </c>
      <c r="D890" s="1">
        <v>1412</v>
      </c>
      <c r="E890" s="2" t="str">
        <f>HYPERLINK("#'Data'!A9287", "Households reportedly requiring legal assisstance broken down by gender of respondent on the admin of overall perc")</f>
        <v>Households reportedly requiring legal assisstance broken down by gender of respondent on the admin of overall perc</v>
      </c>
    </row>
    <row r="891" spans="2:5" ht="15.75">
      <c r="B891" s="7" t="s">
        <v>163</v>
      </c>
      <c r="C891" s="8" t="s">
        <v>176</v>
      </c>
      <c r="D891" s="1">
        <v>1413</v>
      </c>
      <c r="E891" s="2" t="str">
        <f>HYPERLINK("#'Data'!A9295", "Households reportedly requiring legal assisstance broken down by age of respondents on the admin of overall perc")</f>
        <v>Households reportedly requiring legal assisstance broken down by age of respondents on the admin of overall perc</v>
      </c>
    </row>
    <row r="892" spans="2:5" ht="15.75">
      <c r="B892" s="5" t="s">
        <v>163</v>
      </c>
      <c r="C892" s="6" t="s">
        <v>176</v>
      </c>
      <c r="D892" s="1">
        <v>1414</v>
      </c>
      <c r="E892" s="2" t="str">
        <f>HYPERLINK("#'Data'!A9307", "Households reportedly requiring legal assisstance broken down by rural / urban on the admin of overall perc")</f>
        <v>Households reportedly requiring legal assisstance broken down by rural / urban on the admin of overall perc</v>
      </c>
    </row>
    <row r="893" spans="2:5" ht="15.75">
      <c r="B893" s="7" t="s">
        <v>163</v>
      </c>
      <c r="C893" s="8" t="s">
        <v>176</v>
      </c>
      <c r="D893" s="1">
        <v>1415</v>
      </c>
      <c r="E893" s="2" t="str">
        <f>HYPERLINK("#'Data'!A9315", "Households reportedly requiring legal assisstance broken down by proximity to the Frontline / Russian border on the admin of overall perc")</f>
        <v>Households reportedly requiring legal assisstance broken down by proximity to the Frontline / Russian border on the admin of overall perc</v>
      </c>
    </row>
    <row r="894" spans="2:5" ht="15.75">
      <c r="B894" s="5" t="s">
        <v>163</v>
      </c>
      <c r="C894" s="6" t="s">
        <v>176</v>
      </c>
      <c r="D894" s="1">
        <v>1416</v>
      </c>
      <c r="E894" s="2" t="str">
        <f>HYPERLINK("#'Data'!A9325", "Households reportedly requiring legal assisstance broken down by member with WGSS disability on the admin of overall perc")</f>
        <v>Households reportedly requiring legal assisstance broken down by member with WGSS disability on the admin of overall perc</v>
      </c>
    </row>
    <row r="895" spans="2:5" ht="15.75">
      <c r="B895" s="7" t="s">
        <v>163</v>
      </c>
      <c r="C895" s="8" t="s">
        <v>176</v>
      </c>
      <c r="D895" s="1">
        <v>1417</v>
      </c>
      <c r="E895" s="2" t="str">
        <f>HYPERLINK("#'Data'!A9333", "Households reportedly requiring legal assisstance broken down by displacement status of HoH on the admin of overall perc")</f>
        <v>Households reportedly requiring legal assisstance broken down by displacement status of HoH on the admin of overall perc</v>
      </c>
    </row>
    <row r="896" spans="2:5" ht="15.75">
      <c r="B896" s="5" t="s">
        <v>163</v>
      </c>
      <c r="C896" s="6" t="s">
        <v>176</v>
      </c>
      <c r="D896" s="1">
        <v>1418</v>
      </c>
      <c r="E896" s="2" t="str">
        <f>HYPERLINK("#'Data'!A9339", "Households reportedly requiring legal assisstance broken down by household size on the admin of overall perc")</f>
        <v>Households reportedly requiring legal assisstance broken down by household size on the admin of overall perc</v>
      </c>
    </row>
    <row r="897" spans="2:5" ht="15.75">
      <c r="B897" s="7" t="s">
        <v>163</v>
      </c>
      <c r="C897" s="8" t="s">
        <v>176</v>
      </c>
      <c r="D897" s="1">
        <v>1419</v>
      </c>
      <c r="E897" s="2" t="str">
        <f>HYPERLINK("#'Data'!A9349", "Households reportedly requiring legal assisstance broken down by single/joint headed HHs on the admin of overall perc")</f>
        <v>Households reportedly requiring legal assisstance broken down by single/joint headed HHs on the admin of overall perc</v>
      </c>
    </row>
    <row r="898" spans="2:5" ht="15.75">
      <c r="B898" s="5" t="s">
        <v>163</v>
      </c>
      <c r="C898" s="6" t="s">
        <v>177</v>
      </c>
      <c r="D898" s="1">
        <v>1421</v>
      </c>
      <c r="E898" s="2" t="str">
        <f>HYPERLINK("#'Data'!A9359", "Households reportedly requiring services provided by the government broken down by gender of respondent on the admin of overall perc")</f>
        <v>Households reportedly requiring services provided by the government broken down by gender of respondent on the admin of overall perc</v>
      </c>
    </row>
    <row r="899" spans="2:5" ht="15.75">
      <c r="B899" s="7" t="s">
        <v>163</v>
      </c>
      <c r="C899" s="8" t="s">
        <v>177</v>
      </c>
      <c r="D899" s="1">
        <v>1422</v>
      </c>
      <c r="E899" s="2" t="str">
        <f>HYPERLINK("#'Data'!A9367", "Households reportedly requiring services provided by the government broken down by age of respondents on the admin of overall perc")</f>
        <v>Households reportedly requiring services provided by the government broken down by age of respondents on the admin of overall perc</v>
      </c>
    </row>
    <row r="900" spans="2:5" ht="15.75">
      <c r="B900" s="5" t="s">
        <v>163</v>
      </c>
      <c r="C900" s="6" t="s">
        <v>177</v>
      </c>
      <c r="D900" s="1">
        <v>1423</v>
      </c>
      <c r="E900" s="2" t="str">
        <f>HYPERLINK("#'Data'!A9379", "Households reportedly requiring services provided by the government broken down by rural / urban on the admin of overall perc")</f>
        <v>Households reportedly requiring services provided by the government broken down by rural / urban on the admin of overall perc</v>
      </c>
    </row>
    <row r="901" spans="2:5" ht="15.75">
      <c r="B901" s="7" t="s">
        <v>163</v>
      </c>
      <c r="C901" s="8" t="s">
        <v>177</v>
      </c>
      <c r="D901" s="1">
        <v>1424</v>
      </c>
      <c r="E901" s="2" t="str">
        <f>HYPERLINK("#'Data'!A9387", "Households reportedly requiring services provided by the government broken down by proximity to the Frontline / Russian border on the admin of over...")</f>
        <v>Households reportedly requiring services provided by the government broken down by proximity to the Frontline / Russian border on the admin of over...</v>
      </c>
    </row>
    <row r="902" spans="2:5" ht="15.75">
      <c r="B902" s="5" t="s">
        <v>163</v>
      </c>
      <c r="C902" s="6" t="s">
        <v>177</v>
      </c>
      <c r="D902" s="1">
        <v>1425</v>
      </c>
      <c r="E902" s="2" t="str">
        <f>HYPERLINK("#'Data'!A9397", "Households reportedly requiring services provided by the government broken down by member with WGSS disability on the admin of overall perc")</f>
        <v>Households reportedly requiring services provided by the government broken down by member with WGSS disability on the admin of overall perc</v>
      </c>
    </row>
    <row r="903" spans="2:5" ht="15.75">
      <c r="B903" s="7" t="s">
        <v>163</v>
      </c>
      <c r="C903" s="8" t="s">
        <v>177</v>
      </c>
      <c r="D903" s="1">
        <v>1426</v>
      </c>
      <c r="E903" s="2" t="str">
        <f>HYPERLINK("#'Data'!A9405", "Households reportedly requiring services provided by the government broken down by displacement status of HoH on the admin of overall perc")</f>
        <v>Households reportedly requiring services provided by the government broken down by displacement status of HoH on the admin of overall perc</v>
      </c>
    </row>
    <row r="904" spans="2:5" ht="15.75">
      <c r="B904" s="5" t="s">
        <v>163</v>
      </c>
      <c r="C904" s="6" t="s">
        <v>177</v>
      </c>
      <c r="D904" s="1">
        <v>1427</v>
      </c>
      <c r="E904" s="2" t="str">
        <f>HYPERLINK("#'Data'!A9411", "Households reportedly requiring services provided by the government broken down by household size on the admin of overall perc")</f>
        <v>Households reportedly requiring services provided by the government broken down by household size on the admin of overall perc</v>
      </c>
    </row>
    <row r="905" spans="2:5" ht="15.75">
      <c r="B905" s="7" t="s">
        <v>163</v>
      </c>
      <c r="C905" s="8" t="s">
        <v>177</v>
      </c>
      <c r="D905" s="1">
        <v>1428</v>
      </c>
      <c r="E905" s="2" t="str">
        <f>HYPERLINK("#'Data'!A9421", "Households reportedly requiring services provided by the government broken down by single/joint headed HHs on the admin of overall perc")</f>
        <v>Households reportedly requiring services provided by the government broken down by single/joint headed HHs on the admin of overall perc</v>
      </c>
    </row>
    <row r="906" spans="2:5" ht="15.75">
      <c r="B906" s="5" t="s">
        <v>163</v>
      </c>
      <c r="C906" s="6" t="s">
        <v>178</v>
      </c>
      <c r="D906" s="1">
        <v>1430</v>
      </c>
      <c r="E906" s="2" t="str">
        <f>HYPERLINK("#'Data'!A9431", "Households reportedly facing barriers while accessing services provided by the government broken down by gender of respondent on the admin of overa...")</f>
        <v>Households reportedly facing barriers while accessing services provided by the government broken down by gender of respondent on the admin of overa...</v>
      </c>
    </row>
    <row r="907" spans="2:5" ht="15.75">
      <c r="B907" s="7" t="s">
        <v>163</v>
      </c>
      <c r="C907" s="8" t="s">
        <v>178</v>
      </c>
      <c r="D907" s="1">
        <v>1431</v>
      </c>
      <c r="E907" s="2" t="str">
        <f>HYPERLINK("#'Data'!A9439", "Households reportedly facing barriers while accessing services provided by the government broken down by age of respondents on the admin of overall...")</f>
        <v>Households reportedly facing barriers while accessing services provided by the government broken down by age of respondents on the admin of overall...</v>
      </c>
    </row>
    <row r="908" spans="2:5" ht="15.75">
      <c r="B908" s="5" t="s">
        <v>163</v>
      </c>
      <c r="C908" s="6" t="s">
        <v>178</v>
      </c>
      <c r="D908" s="1">
        <v>1432</v>
      </c>
      <c r="E908" s="2" t="str">
        <f>HYPERLINK("#'Data'!A9451", "Households reportedly facing barriers while accessing services provided by the government broken down by rural / urban on the admin of overall perc")</f>
        <v>Households reportedly facing barriers while accessing services provided by the government broken down by rural / urban on the admin of overall perc</v>
      </c>
    </row>
    <row r="909" spans="2:5" ht="15.75">
      <c r="B909" s="7" t="s">
        <v>163</v>
      </c>
      <c r="C909" s="8" t="s">
        <v>178</v>
      </c>
      <c r="D909" s="1">
        <v>1433</v>
      </c>
      <c r="E909" s="2" t="str">
        <f>HYPERLINK("#'Data'!A9459", "Households reportedly facing barriers while accessing services provided by the government broken down by proximity to the Frontline / Russian borde...")</f>
        <v>Households reportedly facing barriers while accessing services provided by the government broken down by proximity to the Frontline / Russian borde...</v>
      </c>
    </row>
    <row r="910" spans="2:5" ht="15.75">
      <c r="B910" s="5" t="s">
        <v>163</v>
      </c>
      <c r="C910" s="6" t="s">
        <v>178</v>
      </c>
      <c r="D910" s="1">
        <v>1434</v>
      </c>
      <c r="E910" s="2" t="str">
        <f>HYPERLINK("#'Data'!A9469", "Households reportedly facing barriers while accessing services provided by the government broken down by member with WGSS disability on the admin o...")</f>
        <v>Households reportedly facing barriers while accessing services provided by the government broken down by member with WGSS disability on the admin o...</v>
      </c>
    </row>
    <row r="911" spans="2:5" ht="15.75">
      <c r="B911" s="7" t="s">
        <v>163</v>
      </c>
      <c r="C911" s="8" t="s">
        <v>178</v>
      </c>
      <c r="D911" s="1">
        <v>1435</v>
      </c>
      <c r="E911" s="2" t="str">
        <f>HYPERLINK("#'Data'!A9477", "Households reportedly facing barriers while accessing services provided by the government broken down by displacement status of HoH on the admin of...")</f>
        <v>Households reportedly facing barriers while accessing services provided by the government broken down by displacement status of HoH on the admin of...</v>
      </c>
    </row>
    <row r="912" spans="2:5" ht="15.75">
      <c r="B912" s="5" t="s">
        <v>163</v>
      </c>
      <c r="C912" s="6" t="s">
        <v>178</v>
      </c>
      <c r="D912" s="1">
        <v>1436</v>
      </c>
      <c r="E912" s="2" t="str">
        <f>HYPERLINK("#'Data'!A9483", "Households reportedly facing barriers while accessing services provided by the government broken down by household size on the admin of overall per...")</f>
        <v>Households reportedly facing barriers while accessing services provided by the government broken down by household size on the admin of overall per...</v>
      </c>
    </row>
    <row r="913" spans="2:5" ht="15.75">
      <c r="B913" s="7" t="s">
        <v>163</v>
      </c>
      <c r="C913" s="8" t="s">
        <v>178</v>
      </c>
      <c r="D913" s="1">
        <v>1437</v>
      </c>
      <c r="E913" s="2" t="str">
        <f>HYPERLINK("#'Data'!A9493", "Households reportedly facing barriers while accessing services provided by the government broken down by single/joint headed HHs on the admin of ov...")</f>
        <v>Households reportedly facing barriers while accessing services provided by the government broken down by single/joint headed HHs on the admin of ov...</v>
      </c>
    </row>
    <row r="914" spans="2:5" ht="15.75">
      <c r="B914" s="5" t="s">
        <v>163</v>
      </c>
      <c r="C914" s="6" t="s">
        <v>179</v>
      </c>
      <c r="D914" s="1">
        <v>1439</v>
      </c>
      <c r="E914" s="2" t="str">
        <f>HYPERLINK("#'Data'!A9503", "Households reporting available services for women in their community broken down by gender of respondent on the admin of overall perc")</f>
        <v>Households reporting available services for women in their community broken down by gender of respondent on the admin of overall perc</v>
      </c>
    </row>
    <row r="915" spans="2:5" ht="15.75">
      <c r="B915" s="7" t="s">
        <v>163</v>
      </c>
      <c r="C915" s="8" t="s">
        <v>179</v>
      </c>
      <c r="D915" s="1">
        <v>1440</v>
      </c>
      <c r="E915" s="2" t="str">
        <f>HYPERLINK("#'Data'!A9511", "Households reporting available services for women in their community broken down by age of respondents on the admin of overall perc")</f>
        <v>Households reporting available services for women in their community broken down by age of respondents on the admin of overall perc</v>
      </c>
    </row>
    <row r="916" spans="2:5" ht="15.75">
      <c r="B916" s="5" t="s">
        <v>163</v>
      </c>
      <c r="C916" s="6" t="s">
        <v>179</v>
      </c>
      <c r="D916" s="1">
        <v>1441</v>
      </c>
      <c r="E916" s="2" t="str">
        <f>HYPERLINK("#'Data'!A9523", "Households reporting available services for women in their community broken down by rural / urban on the admin of overall perc")</f>
        <v>Households reporting available services for women in their community broken down by rural / urban on the admin of overall perc</v>
      </c>
    </row>
    <row r="917" spans="2:5" ht="15.75">
      <c r="B917" s="7" t="s">
        <v>163</v>
      </c>
      <c r="C917" s="8" t="s">
        <v>179</v>
      </c>
      <c r="D917" s="1">
        <v>1442</v>
      </c>
      <c r="E917" s="2" t="str">
        <f>HYPERLINK("#'Data'!A9531", "Households reporting available services for women in their community broken down by proximity to the Frontline / Russian border on the admin of ove...")</f>
        <v>Households reporting available services for women in their community broken down by proximity to the Frontline / Russian border on the admin of ove...</v>
      </c>
    </row>
    <row r="918" spans="2:5" ht="15.75">
      <c r="B918" s="5" t="s">
        <v>163</v>
      </c>
      <c r="C918" s="6" t="s">
        <v>179</v>
      </c>
      <c r="D918" s="1">
        <v>1443</v>
      </c>
      <c r="E918" s="2" t="str">
        <f>HYPERLINK("#'Data'!A9541", "Households reporting available services for women in their community broken down by member with WGSS disability on the admin of overall perc")</f>
        <v>Households reporting available services for women in their community broken down by member with WGSS disability on the admin of overall perc</v>
      </c>
    </row>
    <row r="919" spans="2:5" ht="15.75">
      <c r="B919" s="7" t="s">
        <v>163</v>
      </c>
      <c r="C919" s="8" t="s">
        <v>179</v>
      </c>
      <c r="D919" s="1">
        <v>1444</v>
      </c>
      <c r="E919" s="2" t="str">
        <f>HYPERLINK("#'Data'!A9549", "Households reporting available services for women in their community broken down by displacement status of HoH on the admin of overall perc")</f>
        <v>Households reporting available services for women in their community broken down by displacement status of HoH on the admin of overall perc</v>
      </c>
    </row>
    <row r="920" spans="2:5" ht="15.75">
      <c r="B920" s="5" t="s">
        <v>163</v>
      </c>
      <c r="C920" s="6" t="s">
        <v>179</v>
      </c>
      <c r="D920" s="1">
        <v>1445</v>
      </c>
      <c r="E920" s="2" t="str">
        <f>HYPERLINK("#'Data'!A9555", "Households reporting available services for women in their community broken down by household size on the admin of overall perc")</f>
        <v>Households reporting available services for women in their community broken down by household size on the admin of overall perc</v>
      </c>
    </row>
    <row r="921" spans="2:5" ht="15.75">
      <c r="B921" s="7" t="s">
        <v>163</v>
      </c>
      <c r="C921" s="8" t="s">
        <v>179</v>
      </c>
      <c r="D921" s="1">
        <v>1446</v>
      </c>
      <c r="E921" s="2" t="str">
        <f>HYPERLINK("#'Data'!A9565", "Households reporting available services for women in their community broken down by single/joint headed HHs on the admin of overall perc")</f>
        <v>Households reporting available services for women in their community broken down by single/joint headed HHs on the admin of overall perc</v>
      </c>
    </row>
    <row r="922" spans="2:5" ht="15.75">
      <c r="B922" s="5" t="s">
        <v>163</v>
      </c>
      <c r="C922" s="6" t="s">
        <v>180</v>
      </c>
      <c r="D922" s="1">
        <v>1448</v>
      </c>
      <c r="E922" s="2" t="str">
        <f>HYPERLINK("#'Data'!A9575", "Households reporting needed services related to children's well-being  broken down by gender of respondent on the admin of overall perc")</f>
        <v>Households reporting needed services related to children's well-being  broken down by gender of respondent on the admin of overall perc</v>
      </c>
    </row>
    <row r="923" spans="2:5" ht="15.75">
      <c r="B923" s="7" t="s">
        <v>163</v>
      </c>
      <c r="C923" s="8" t="s">
        <v>180</v>
      </c>
      <c r="D923" s="1">
        <v>1449</v>
      </c>
      <c r="E923" s="2" t="str">
        <f>HYPERLINK("#'Data'!A9583", "Households reporting needed services related to children's well-being  broken down by age of respondents on the admin of overall perc")</f>
        <v>Households reporting needed services related to children's well-being  broken down by age of respondents on the admin of overall perc</v>
      </c>
    </row>
    <row r="924" spans="2:5" ht="15.75">
      <c r="B924" s="5" t="s">
        <v>163</v>
      </c>
      <c r="C924" s="6" t="s">
        <v>180</v>
      </c>
      <c r="D924" s="1">
        <v>1450</v>
      </c>
      <c r="E924" s="2" t="str">
        <f>HYPERLINK("#'Data'!A9595", "Households reporting needed services related to children's well-being  broken down by rural / urban on the admin of overall perc")</f>
        <v>Households reporting needed services related to children's well-being  broken down by rural / urban on the admin of overall perc</v>
      </c>
    </row>
    <row r="925" spans="2:5" ht="15.75">
      <c r="B925" s="7" t="s">
        <v>163</v>
      </c>
      <c r="C925" s="8" t="s">
        <v>180</v>
      </c>
      <c r="D925" s="1">
        <v>1451</v>
      </c>
      <c r="E925" s="2" t="str">
        <f>HYPERLINK("#'Data'!A9603", "Households reporting needed services related to children's well-being  broken down by proximity to the Frontline / Russian border on the admin of o...")</f>
        <v>Households reporting needed services related to children's well-being  broken down by proximity to the Frontline / Russian border on the admin of o...</v>
      </c>
    </row>
    <row r="926" spans="2:5" ht="15.75">
      <c r="B926" s="5" t="s">
        <v>163</v>
      </c>
      <c r="C926" s="6" t="s">
        <v>180</v>
      </c>
      <c r="D926" s="1">
        <v>1452</v>
      </c>
      <c r="E926" s="2" t="str">
        <f>HYPERLINK("#'Data'!A9613", "Households reporting needed services related to children's well-being  broken down by member with WGSS disability on the admin of overall perc")</f>
        <v>Households reporting needed services related to children's well-being  broken down by member with WGSS disability on the admin of overall perc</v>
      </c>
    </row>
    <row r="927" spans="2:5" ht="15.75">
      <c r="B927" s="7" t="s">
        <v>163</v>
      </c>
      <c r="C927" s="8" t="s">
        <v>180</v>
      </c>
      <c r="D927" s="1">
        <v>1453</v>
      </c>
      <c r="E927" s="2" t="str">
        <f>HYPERLINK("#'Data'!A9621", "Households reporting needed services related to children's well-being  broken down by displacement status of HoH on the admin of overall perc")</f>
        <v>Households reporting needed services related to children's well-being  broken down by displacement status of HoH on the admin of overall perc</v>
      </c>
    </row>
    <row r="928" spans="2:5" ht="15.75">
      <c r="B928" s="5" t="s">
        <v>163</v>
      </c>
      <c r="C928" s="6" t="s">
        <v>180</v>
      </c>
      <c r="D928" s="1">
        <v>1454</v>
      </c>
      <c r="E928" s="2" t="str">
        <f>HYPERLINK("#'Data'!A9627", "Households reporting needed services related to children's well-being  broken down by household size on the admin of overall perc")</f>
        <v>Households reporting needed services related to children's well-being  broken down by household size on the admin of overall perc</v>
      </c>
    </row>
    <row r="929" spans="2:5" ht="15.75">
      <c r="B929" s="7" t="s">
        <v>163</v>
      </c>
      <c r="C929" s="8" t="s">
        <v>180</v>
      </c>
      <c r="D929" s="1">
        <v>1455</v>
      </c>
      <c r="E929" s="2" t="str">
        <f>HYPERLINK("#'Data'!A9637", "Households reporting needed services related to children's well-being  broken down by single/joint headed HHs on the admin of overall perc")</f>
        <v>Households reporting needed services related to children's well-being  broken down by single/joint headed HHs on the admin of overall perc</v>
      </c>
    </row>
    <row r="930" spans="2:5" ht="15.75">
      <c r="B930" s="5" t="s">
        <v>160</v>
      </c>
      <c r="C930" s="6" t="s">
        <v>181</v>
      </c>
      <c r="D930" s="1">
        <v>1461</v>
      </c>
      <c r="E930" s="2" t="str">
        <f>HYPERLINK("#'Data'!A9647", "Percentage of households adopting reduced coping strategies, by strategy (rCSI) broken down by rural / urban on the admin of overall ")</f>
        <v xml:space="preserve">Percentage of households adopting reduced coping strategies, by strategy (rCSI) broken down by rural / urban on the admin of overall </v>
      </c>
    </row>
    <row r="931" spans="2:5" ht="15.75">
      <c r="B931" s="7" t="s">
        <v>160</v>
      </c>
      <c r="C931" s="8" t="s">
        <v>181</v>
      </c>
      <c r="D931" s="1">
        <v>1466</v>
      </c>
      <c r="E931" s="2" t="str">
        <f>HYPERLINK("#'Data'!A9660", "Percentage of households adopting reduced coping strategies, by strategy (rCSI) broken down by proximity to the Frontline / Russian b...")</f>
        <v>Percentage of households adopting reduced coping strategies, by strategy (rCSI) broken down by proximity to the Frontline / Russian b...</v>
      </c>
    </row>
    <row r="932" spans="2:5" ht="15.75">
      <c r="B932" s="5" t="s">
        <v>160</v>
      </c>
      <c r="C932" s="6" t="s">
        <v>181</v>
      </c>
      <c r="D932" s="1">
        <v>1471</v>
      </c>
      <c r="E932" s="2" t="str">
        <f>HYPERLINK("#'Data'!A9677", "Percentage of households adopting reduced coping strategies, by strategy (rCSI) broken down by member with WGSS disability on the adm...")</f>
        <v>Percentage of households adopting reduced coping strategies, by strategy (rCSI) broken down by member with WGSS disability on the adm...</v>
      </c>
    </row>
    <row r="933" spans="2:5" ht="15.75">
      <c r="B933" s="5" t="s">
        <v>160</v>
      </c>
      <c r="C933" s="6" t="s">
        <v>181</v>
      </c>
      <c r="D933" s="1">
        <v>1481</v>
      </c>
      <c r="E933" s="2" t="str">
        <f>HYPERLINK("#'Data'!A9690", "Percentage of households adopting reduced coping strategies, by strategy (rCSI) broken down by household size on the admin of overall...")</f>
        <v>Percentage of households adopting reduced coping strategies, by strategy (rCSI) broken down by household size on the admin of overall...</v>
      </c>
    </row>
    <row r="934" spans="2:5" ht="15.75">
      <c r="B934" s="7" t="s">
        <v>160</v>
      </c>
      <c r="C934" s="8" t="s">
        <v>181</v>
      </c>
      <c r="D934" s="1">
        <v>1486</v>
      </c>
      <c r="E934" s="2" t="str">
        <f>HYPERLINK("#'Data'!A9707", "Percentage of households adopting reduced coping strategies, by strategy (rCSI) broken down by single/joint headed HHs on the admin o...")</f>
        <v>Percentage of households adopting reduced coping strategies, by strategy (rCSI) broken down by single/joint headed HHs on the admin o...</v>
      </c>
    </row>
    <row r="935" spans="2:5" ht="15.75">
      <c r="B935" s="5" t="s">
        <v>83</v>
      </c>
      <c r="C935" s="6" t="s">
        <v>182</v>
      </c>
      <c r="D935" s="1">
        <v>4014</v>
      </c>
      <c r="E935" s="2" t="str">
        <f>HYPERLINK("#'Data'!A9724", "Household income over the 30 days prior to data collection, by types of income source Per Capita broken down by rural / urban on the ad...")</f>
        <v>Household income over the 30 days prior to data collection, by types of income source Per Capita broken down by rural / urban on the ad...</v>
      </c>
    </row>
    <row r="936" spans="2:5" ht="15.75">
      <c r="B936" s="7" t="s">
        <v>83</v>
      </c>
      <c r="C936" s="8" t="s">
        <v>182</v>
      </c>
      <c r="D936" s="1">
        <v>4027</v>
      </c>
      <c r="E936" s="2" t="str">
        <f>HYPERLINK("#'Data'!A9732", "Household income over the 30 days prior to data collection, by types of income source Per Capita broken down by proximity to the Frontl...")</f>
        <v>Household income over the 30 days prior to data collection, by types of income source Per Capita broken down by proximity to the Frontl...</v>
      </c>
    </row>
    <row r="937" spans="2:5" ht="15.75">
      <c r="B937" s="5" t="s">
        <v>83</v>
      </c>
      <c r="C937" s="6" t="s">
        <v>182</v>
      </c>
      <c r="D937" s="1">
        <v>4040</v>
      </c>
      <c r="E937" s="2" t="str">
        <f>HYPERLINK("#'Data'!A9742", "Household income over the 30 days prior to data collection, by types of income source Per Capita broken down by member with WGSS disabi...")</f>
        <v>Household income over the 30 days prior to data collection, by types of income source Per Capita broken down by member with WGSS disabi...</v>
      </c>
    </row>
    <row r="938" spans="2:5" ht="15.75">
      <c r="B938" s="7" t="s">
        <v>83</v>
      </c>
      <c r="C938" s="8" t="s">
        <v>182</v>
      </c>
      <c r="D938" s="1">
        <v>4053</v>
      </c>
      <c r="E938" s="2" t="str">
        <f>HYPERLINK("#'Data'!A9750", "Household income over the 30 days prior to data collection, by types of income source Per Capita broken down by displacement status of ...")</f>
        <v>Household income over the 30 days prior to data collection, by types of income source Per Capita broken down by displacement status of ...</v>
      </c>
    </row>
    <row r="939" spans="2:5" ht="15.75">
      <c r="B939" s="5" t="s">
        <v>83</v>
      </c>
      <c r="C939" s="6" t="s">
        <v>182</v>
      </c>
      <c r="D939" s="1">
        <v>4066</v>
      </c>
      <c r="E939" s="2" t="str">
        <f>HYPERLINK("#'Data'!A9756", "Household income over the 30 days prior to data collection, by types of income source Per Capita broken down by household size on the a...")</f>
        <v>Household income over the 30 days prior to data collection, by types of income source Per Capita broken down by household size on the a...</v>
      </c>
    </row>
    <row r="940" spans="2:5" ht="15.75">
      <c r="B940" s="13" t="s">
        <v>83</v>
      </c>
      <c r="C940" s="14" t="s">
        <v>182</v>
      </c>
      <c r="D940" s="1">
        <v>4079</v>
      </c>
      <c r="E940" s="2" t="str">
        <f>HYPERLINK("#'Data'!A9766", "Household income over the 30 days prior to data collection, by types of income source Per Capita broken down by single/joint headed HHs...")</f>
        <v>Household income over the 30 days prior to data collection, by types of income source Per Capita broken down by single/joint headed HHs...</v>
      </c>
    </row>
  </sheetData>
  <mergeCells count="1">
    <mergeCell ref="A1:E1"/>
  </mergeCells>
  <pageMargins left="0.75" right="0.75" top="1" bottom="1" header="0.5" footer="0.5"/>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9774"/>
  <sheetViews>
    <sheetView topLeftCell="A3997" zoomScale="81" zoomScaleNormal="81" workbookViewId="0">
      <selection activeCell="C3703" sqref="C3703"/>
    </sheetView>
  </sheetViews>
  <sheetFormatPr defaultRowHeight="15"/>
  <cols>
    <col min="1" max="1" width="54.85546875" customWidth="1"/>
    <col min="2" max="2" width="20" customWidth="1"/>
    <col min="3" max="3" width="25.28515625" customWidth="1"/>
    <col min="4" max="4" width="13.28515625" customWidth="1"/>
    <col min="5" max="56" width="20" customWidth="1"/>
  </cols>
  <sheetData>
    <row r="1" spans="1:10" ht="30">
      <c r="A1" s="22" t="s">
        <v>183</v>
      </c>
    </row>
    <row r="2" spans="1:10">
      <c r="A2" t="s">
        <v>184</v>
      </c>
      <c r="B2" t="s">
        <v>185</v>
      </c>
      <c r="C2" t="s">
        <v>186</v>
      </c>
      <c r="D2" t="s">
        <v>187</v>
      </c>
      <c r="E2" t="s">
        <v>188</v>
      </c>
      <c r="F2" t="s">
        <v>189</v>
      </c>
      <c r="G2" t="s">
        <v>190</v>
      </c>
      <c r="H2" t="s">
        <v>191</v>
      </c>
      <c r="I2" t="s">
        <v>192</v>
      </c>
      <c r="J2" t="s">
        <v>193</v>
      </c>
    </row>
    <row r="3" spans="1:10">
      <c r="A3" t="s">
        <v>194</v>
      </c>
      <c r="B3" t="s">
        <v>195</v>
      </c>
      <c r="C3" t="s">
        <v>196</v>
      </c>
      <c r="D3" t="s">
        <v>197</v>
      </c>
      <c r="E3">
        <v>48.24364921953434</v>
      </c>
      <c r="F3">
        <v>46</v>
      </c>
      <c r="G3">
        <v>18</v>
      </c>
      <c r="H3">
        <v>91</v>
      </c>
      <c r="I3">
        <v>413</v>
      </c>
      <c r="J3">
        <v>2677</v>
      </c>
    </row>
    <row r="4" spans="1:10">
      <c r="A4" t="s">
        <v>194</v>
      </c>
      <c r="B4" t="s">
        <v>195</v>
      </c>
      <c r="C4" t="s">
        <v>198</v>
      </c>
      <c r="D4" t="s">
        <v>197</v>
      </c>
      <c r="E4">
        <v>44.83600074875023</v>
      </c>
      <c r="F4">
        <v>42</v>
      </c>
      <c r="G4">
        <v>19</v>
      </c>
      <c r="H4">
        <v>89</v>
      </c>
      <c r="I4">
        <v>755</v>
      </c>
      <c r="J4">
        <v>2677</v>
      </c>
    </row>
    <row r="5" spans="1:10">
      <c r="A5" t="s">
        <v>194</v>
      </c>
      <c r="B5" t="s">
        <v>199</v>
      </c>
      <c r="C5" t="s">
        <v>196</v>
      </c>
      <c r="D5" t="s">
        <v>197</v>
      </c>
      <c r="E5">
        <v>46.180882693389577</v>
      </c>
      <c r="F5">
        <v>43</v>
      </c>
      <c r="G5">
        <v>18</v>
      </c>
      <c r="H5">
        <v>87</v>
      </c>
      <c r="I5">
        <v>525</v>
      </c>
      <c r="J5">
        <v>2677</v>
      </c>
    </row>
    <row r="6" spans="1:10">
      <c r="A6" t="s">
        <v>194</v>
      </c>
      <c r="B6" t="s">
        <v>199</v>
      </c>
      <c r="C6" t="s">
        <v>198</v>
      </c>
      <c r="D6" t="s">
        <v>197</v>
      </c>
      <c r="E6">
        <v>42.125703100961069</v>
      </c>
      <c r="F6">
        <v>38</v>
      </c>
      <c r="G6">
        <v>18</v>
      </c>
      <c r="H6">
        <v>87</v>
      </c>
      <c r="I6">
        <v>945</v>
      </c>
      <c r="J6">
        <v>2677</v>
      </c>
    </row>
    <row r="7" spans="1:10">
      <c r="A7" t="s">
        <v>200</v>
      </c>
      <c r="B7" t="s">
        <v>200</v>
      </c>
      <c r="C7" t="s">
        <v>200</v>
      </c>
      <c r="D7" t="s">
        <v>200</v>
      </c>
      <c r="E7">
        <v>44.153836865753938</v>
      </c>
      <c r="F7">
        <v>40</v>
      </c>
      <c r="G7">
        <v>18</v>
      </c>
      <c r="H7">
        <v>91</v>
      </c>
      <c r="I7">
        <v>2677</v>
      </c>
      <c r="J7">
        <v>2677</v>
      </c>
    </row>
    <row r="9" spans="1:10" ht="30">
      <c r="A9" s="22" t="s">
        <v>201</v>
      </c>
    </row>
    <row r="10" spans="1:10">
      <c r="A10" t="s">
        <v>184</v>
      </c>
      <c r="B10" t="s">
        <v>185</v>
      </c>
      <c r="C10" t="s">
        <v>186</v>
      </c>
      <c r="D10" t="s">
        <v>187</v>
      </c>
      <c r="E10" t="s">
        <v>188</v>
      </c>
      <c r="F10" t="s">
        <v>189</v>
      </c>
      <c r="G10" t="s">
        <v>190</v>
      </c>
      <c r="H10" t="s">
        <v>191</v>
      </c>
      <c r="I10" t="s">
        <v>192</v>
      </c>
      <c r="J10" t="s">
        <v>193</v>
      </c>
    </row>
    <row r="11" spans="1:10">
      <c r="A11" t="s">
        <v>194</v>
      </c>
      <c r="B11" t="s">
        <v>195</v>
      </c>
      <c r="C11" t="s">
        <v>202</v>
      </c>
      <c r="D11" t="s">
        <v>203</v>
      </c>
      <c r="E11">
        <v>46.658702185771332</v>
      </c>
      <c r="F11">
        <v>44</v>
      </c>
      <c r="G11">
        <v>18</v>
      </c>
      <c r="H11">
        <v>89</v>
      </c>
      <c r="I11">
        <v>533</v>
      </c>
      <c r="J11">
        <v>2677</v>
      </c>
    </row>
    <row r="12" spans="1:10">
      <c r="A12" t="s">
        <v>194</v>
      </c>
      <c r="B12" t="s">
        <v>195</v>
      </c>
      <c r="C12" t="s">
        <v>204</v>
      </c>
      <c r="D12" t="s">
        <v>203</v>
      </c>
      <c r="E12">
        <v>43.587301264632437</v>
      </c>
      <c r="F12">
        <v>40</v>
      </c>
      <c r="G12">
        <v>18</v>
      </c>
      <c r="H12">
        <v>91</v>
      </c>
      <c r="I12">
        <v>301</v>
      </c>
      <c r="J12">
        <v>2677</v>
      </c>
    </row>
    <row r="13" spans="1:10">
      <c r="A13" t="s">
        <v>194</v>
      </c>
      <c r="B13" t="s">
        <v>195</v>
      </c>
      <c r="C13" t="s">
        <v>205</v>
      </c>
      <c r="D13" t="s">
        <v>203</v>
      </c>
      <c r="E13">
        <v>44.801567218788257</v>
      </c>
      <c r="F13">
        <v>41</v>
      </c>
      <c r="G13">
        <v>19</v>
      </c>
      <c r="H13">
        <v>83</v>
      </c>
      <c r="I13">
        <v>334</v>
      </c>
      <c r="J13">
        <v>2677</v>
      </c>
    </row>
    <row r="14" spans="1:10">
      <c r="A14" t="s">
        <v>194</v>
      </c>
      <c r="B14" t="s">
        <v>199</v>
      </c>
      <c r="C14" t="s">
        <v>202</v>
      </c>
      <c r="D14" t="s">
        <v>203</v>
      </c>
      <c r="E14">
        <v>42.124989468725353</v>
      </c>
      <c r="F14">
        <v>39</v>
      </c>
      <c r="G14">
        <v>18</v>
      </c>
      <c r="H14">
        <v>83</v>
      </c>
      <c r="I14">
        <v>538</v>
      </c>
      <c r="J14">
        <v>2677</v>
      </c>
    </row>
    <row r="15" spans="1:10">
      <c r="A15" t="s">
        <v>194</v>
      </c>
      <c r="B15" t="s">
        <v>199</v>
      </c>
      <c r="C15" t="s">
        <v>204</v>
      </c>
      <c r="D15" t="s">
        <v>203</v>
      </c>
      <c r="E15">
        <v>42.708849131257587</v>
      </c>
      <c r="F15">
        <v>38</v>
      </c>
      <c r="G15">
        <v>18</v>
      </c>
      <c r="H15">
        <v>84</v>
      </c>
      <c r="I15">
        <v>426</v>
      </c>
      <c r="J15">
        <v>2677</v>
      </c>
    </row>
    <row r="16" spans="1:10">
      <c r="A16" t="s">
        <v>194</v>
      </c>
      <c r="B16" t="s">
        <v>199</v>
      </c>
      <c r="C16" t="s">
        <v>205</v>
      </c>
      <c r="D16" t="s">
        <v>203</v>
      </c>
      <c r="E16">
        <v>45.907328927372482</v>
      </c>
      <c r="F16">
        <v>42</v>
      </c>
      <c r="G16">
        <v>19</v>
      </c>
      <c r="H16">
        <v>87</v>
      </c>
      <c r="I16">
        <v>506</v>
      </c>
      <c r="J16">
        <v>2677</v>
      </c>
    </row>
    <row r="17" spans="1:10">
      <c r="A17" t="s">
        <v>200</v>
      </c>
      <c r="B17" t="s">
        <v>200</v>
      </c>
      <c r="C17" t="s">
        <v>200</v>
      </c>
      <c r="D17" t="s">
        <v>200</v>
      </c>
      <c r="E17">
        <v>44.153836865753938</v>
      </c>
      <c r="F17">
        <v>40</v>
      </c>
      <c r="G17">
        <v>18</v>
      </c>
      <c r="H17">
        <v>91</v>
      </c>
      <c r="I17">
        <v>2677</v>
      </c>
      <c r="J17">
        <v>2677</v>
      </c>
    </row>
    <row r="19" spans="1:10" ht="30">
      <c r="A19" s="22" t="s">
        <v>206</v>
      </c>
    </row>
    <row r="20" spans="1:10">
      <c r="A20" t="s">
        <v>184</v>
      </c>
      <c r="B20" t="s">
        <v>185</v>
      </c>
      <c r="C20" t="s">
        <v>186</v>
      </c>
      <c r="D20" t="s">
        <v>187</v>
      </c>
      <c r="E20" t="s">
        <v>188</v>
      </c>
      <c r="F20" t="s">
        <v>189</v>
      </c>
      <c r="G20" t="s">
        <v>190</v>
      </c>
      <c r="H20" t="s">
        <v>191</v>
      </c>
      <c r="I20" t="s">
        <v>192</v>
      </c>
      <c r="J20" t="s">
        <v>193</v>
      </c>
    </row>
    <row r="21" spans="1:10">
      <c r="A21" t="s">
        <v>194</v>
      </c>
      <c r="B21" t="s">
        <v>195</v>
      </c>
      <c r="C21" t="s">
        <v>207</v>
      </c>
      <c r="D21" t="s">
        <v>208</v>
      </c>
      <c r="E21">
        <v>54.257817844859368</v>
      </c>
      <c r="F21">
        <v>55</v>
      </c>
      <c r="G21">
        <v>18</v>
      </c>
      <c r="H21">
        <v>91</v>
      </c>
      <c r="I21">
        <v>322</v>
      </c>
      <c r="J21">
        <v>2677</v>
      </c>
    </row>
    <row r="22" spans="1:10">
      <c r="A22" t="s">
        <v>194</v>
      </c>
      <c r="B22" t="s">
        <v>195</v>
      </c>
      <c r="C22" t="s">
        <v>209</v>
      </c>
      <c r="D22" t="s">
        <v>208</v>
      </c>
      <c r="E22">
        <v>42.795706726409037</v>
      </c>
      <c r="F22">
        <v>39</v>
      </c>
      <c r="G22">
        <v>18</v>
      </c>
      <c r="H22">
        <v>89</v>
      </c>
      <c r="I22">
        <v>867</v>
      </c>
      <c r="J22">
        <v>2677</v>
      </c>
    </row>
    <row r="23" spans="1:10">
      <c r="A23" t="s">
        <v>194</v>
      </c>
      <c r="B23" t="s">
        <v>199</v>
      </c>
      <c r="C23" t="s">
        <v>207</v>
      </c>
      <c r="D23" t="s">
        <v>208</v>
      </c>
      <c r="E23">
        <v>51.278959314259168</v>
      </c>
      <c r="F23">
        <v>46</v>
      </c>
      <c r="G23">
        <v>23</v>
      </c>
      <c r="H23">
        <v>87</v>
      </c>
      <c r="I23">
        <v>283</v>
      </c>
      <c r="J23">
        <v>2677</v>
      </c>
    </row>
    <row r="24" spans="1:10">
      <c r="A24" t="s">
        <v>194</v>
      </c>
      <c r="B24" t="s">
        <v>199</v>
      </c>
      <c r="C24" t="s">
        <v>209</v>
      </c>
      <c r="D24" t="s">
        <v>208</v>
      </c>
      <c r="E24">
        <v>41.721460139563987</v>
      </c>
      <c r="F24">
        <v>38</v>
      </c>
      <c r="G24">
        <v>18</v>
      </c>
      <c r="H24">
        <v>87</v>
      </c>
      <c r="I24">
        <v>1205</v>
      </c>
      <c r="J24">
        <v>2677</v>
      </c>
    </row>
    <row r="25" spans="1:10">
      <c r="A25" t="s">
        <v>200</v>
      </c>
      <c r="B25" t="s">
        <v>200</v>
      </c>
      <c r="C25" t="s">
        <v>200</v>
      </c>
      <c r="D25" t="s">
        <v>200</v>
      </c>
      <c r="E25">
        <v>44.153836865753938</v>
      </c>
      <c r="F25">
        <v>40</v>
      </c>
      <c r="G25">
        <v>18</v>
      </c>
      <c r="H25">
        <v>91</v>
      </c>
      <c r="I25">
        <v>2677</v>
      </c>
      <c r="J25">
        <v>2677</v>
      </c>
    </row>
    <row r="27" spans="1:10" ht="30">
      <c r="A27" s="22" t="s">
        <v>210</v>
      </c>
    </row>
    <row r="28" spans="1:10">
      <c r="A28" t="s">
        <v>184</v>
      </c>
      <c r="B28" t="s">
        <v>185</v>
      </c>
      <c r="C28" t="s">
        <v>188</v>
      </c>
      <c r="D28" t="s">
        <v>189</v>
      </c>
      <c r="E28" t="s">
        <v>190</v>
      </c>
      <c r="F28" t="s">
        <v>191</v>
      </c>
      <c r="G28" t="s">
        <v>192</v>
      </c>
      <c r="H28" t="s">
        <v>193</v>
      </c>
    </row>
    <row r="29" spans="1:10">
      <c r="A29" t="s">
        <v>194</v>
      </c>
      <c r="B29" t="s">
        <v>195</v>
      </c>
      <c r="C29">
        <v>45.741630377133269</v>
      </c>
      <c r="D29">
        <v>42</v>
      </c>
      <c r="E29">
        <v>18</v>
      </c>
      <c r="F29">
        <v>91</v>
      </c>
      <c r="G29">
        <v>1189</v>
      </c>
      <c r="H29">
        <v>2677</v>
      </c>
    </row>
    <row r="30" spans="1:10">
      <c r="A30" t="s">
        <v>194</v>
      </c>
      <c r="B30" t="s">
        <v>199</v>
      </c>
      <c r="C30">
        <v>42.885095948395062</v>
      </c>
      <c r="D30">
        <v>39</v>
      </c>
      <c r="E30">
        <v>18</v>
      </c>
      <c r="F30">
        <v>87</v>
      </c>
      <c r="G30">
        <v>1488</v>
      </c>
      <c r="H30">
        <v>2677</v>
      </c>
    </row>
    <row r="31" spans="1:10">
      <c r="A31" t="s">
        <v>200</v>
      </c>
      <c r="B31" t="s">
        <v>200</v>
      </c>
      <c r="C31">
        <v>44.153836865753938</v>
      </c>
      <c r="D31">
        <v>40</v>
      </c>
      <c r="E31">
        <v>18</v>
      </c>
      <c r="F31">
        <v>91</v>
      </c>
      <c r="G31">
        <v>2677</v>
      </c>
      <c r="H31">
        <v>2677</v>
      </c>
    </row>
    <row r="33" spans="1:10" ht="30">
      <c r="A33" s="22" t="s">
        <v>211</v>
      </c>
    </row>
    <row r="34" spans="1:10">
      <c r="A34" t="s">
        <v>184</v>
      </c>
      <c r="B34" t="s">
        <v>185</v>
      </c>
      <c r="C34" t="s">
        <v>186</v>
      </c>
      <c r="D34" t="s">
        <v>187</v>
      </c>
      <c r="E34" t="s">
        <v>188</v>
      </c>
      <c r="F34" t="s">
        <v>189</v>
      </c>
      <c r="G34" t="s">
        <v>190</v>
      </c>
      <c r="H34" t="s">
        <v>191</v>
      </c>
      <c r="I34" t="s">
        <v>192</v>
      </c>
      <c r="J34" t="s">
        <v>193</v>
      </c>
    </row>
    <row r="35" spans="1:10">
      <c r="A35" t="s">
        <v>194</v>
      </c>
      <c r="B35" t="s">
        <v>195</v>
      </c>
      <c r="C35" t="s">
        <v>212</v>
      </c>
      <c r="D35" t="s">
        <v>213</v>
      </c>
      <c r="E35">
        <v>44.275583188621617</v>
      </c>
      <c r="F35">
        <v>41</v>
      </c>
      <c r="G35">
        <v>18</v>
      </c>
      <c r="H35">
        <v>91</v>
      </c>
      <c r="I35">
        <v>873</v>
      </c>
      <c r="J35">
        <v>2677</v>
      </c>
    </row>
    <row r="36" spans="1:10">
      <c r="A36" t="s">
        <v>194</v>
      </c>
      <c r="B36" t="s">
        <v>195</v>
      </c>
      <c r="C36" t="s">
        <v>214</v>
      </c>
      <c r="D36" t="s">
        <v>213</v>
      </c>
      <c r="E36">
        <v>54.538711855398091</v>
      </c>
      <c r="F36">
        <v>57</v>
      </c>
      <c r="G36">
        <v>19</v>
      </c>
      <c r="H36">
        <v>89</v>
      </c>
      <c r="I36">
        <v>181</v>
      </c>
      <c r="J36">
        <v>2677</v>
      </c>
    </row>
    <row r="37" spans="1:10">
      <c r="A37" t="s">
        <v>194</v>
      </c>
      <c r="B37" t="s">
        <v>195</v>
      </c>
      <c r="C37" t="s">
        <v>215</v>
      </c>
      <c r="D37" t="s">
        <v>213</v>
      </c>
      <c r="E37">
        <v>41.534641992819672</v>
      </c>
      <c r="F37">
        <v>39</v>
      </c>
      <c r="G37">
        <v>18</v>
      </c>
      <c r="H37">
        <v>76</v>
      </c>
      <c r="I37">
        <v>135</v>
      </c>
      <c r="J37">
        <v>2677</v>
      </c>
    </row>
    <row r="38" spans="1:10">
      <c r="A38" t="s">
        <v>194</v>
      </c>
      <c r="B38" t="s">
        <v>199</v>
      </c>
      <c r="C38" t="s">
        <v>212</v>
      </c>
      <c r="D38" t="s">
        <v>213</v>
      </c>
      <c r="E38">
        <v>42.01169490735451</v>
      </c>
      <c r="F38">
        <v>38</v>
      </c>
      <c r="G38">
        <v>18</v>
      </c>
      <c r="H38">
        <v>85</v>
      </c>
      <c r="I38">
        <v>1118</v>
      </c>
      <c r="J38">
        <v>2677</v>
      </c>
    </row>
    <row r="39" spans="1:10">
      <c r="A39" t="s">
        <v>194</v>
      </c>
      <c r="B39" t="s">
        <v>199</v>
      </c>
      <c r="C39" t="s">
        <v>214</v>
      </c>
      <c r="D39" t="s">
        <v>213</v>
      </c>
      <c r="E39">
        <v>47.92822758918328</v>
      </c>
      <c r="F39">
        <v>51</v>
      </c>
      <c r="G39">
        <v>20</v>
      </c>
      <c r="H39">
        <v>87</v>
      </c>
      <c r="I39">
        <v>197</v>
      </c>
      <c r="J39">
        <v>2677</v>
      </c>
    </row>
    <row r="40" spans="1:10">
      <c r="A40" t="s">
        <v>194</v>
      </c>
      <c r="B40" t="s">
        <v>199</v>
      </c>
      <c r="C40" t="s">
        <v>215</v>
      </c>
      <c r="D40" t="s">
        <v>213</v>
      </c>
      <c r="E40">
        <v>41.742328919170703</v>
      </c>
      <c r="F40">
        <v>40</v>
      </c>
      <c r="G40">
        <v>18</v>
      </c>
      <c r="H40">
        <v>83</v>
      </c>
      <c r="I40">
        <v>173</v>
      </c>
      <c r="J40">
        <v>2677</v>
      </c>
    </row>
    <row r="41" spans="1:10">
      <c r="A41" t="s">
        <v>200</v>
      </c>
      <c r="B41" t="s">
        <v>200</v>
      </c>
      <c r="C41" t="s">
        <v>200</v>
      </c>
      <c r="D41" t="s">
        <v>200</v>
      </c>
      <c r="E41">
        <v>44.153836865753938</v>
      </c>
      <c r="F41">
        <v>40</v>
      </c>
      <c r="G41">
        <v>18</v>
      </c>
      <c r="H41">
        <v>91</v>
      </c>
      <c r="I41">
        <v>2677</v>
      </c>
      <c r="J41">
        <v>2677</v>
      </c>
    </row>
    <row r="43" spans="1:10" ht="30">
      <c r="A43" s="22" t="s">
        <v>216</v>
      </c>
    </row>
    <row r="44" spans="1:10">
      <c r="A44" t="s">
        <v>184</v>
      </c>
      <c r="B44" t="s">
        <v>185</v>
      </c>
      <c r="C44" t="s">
        <v>186</v>
      </c>
      <c r="D44" t="s">
        <v>187</v>
      </c>
      <c r="E44" t="s">
        <v>188</v>
      </c>
      <c r="F44" t="s">
        <v>189</v>
      </c>
      <c r="G44" t="s">
        <v>190</v>
      </c>
      <c r="H44" t="s">
        <v>191</v>
      </c>
      <c r="I44" t="s">
        <v>192</v>
      </c>
      <c r="J44" t="s">
        <v>193</v>
      </c>
    </row>
    <row r="45" spans="1:10">
      <c r="A45" t="s">
        <v>194</v>
      </c>
      <c r="B45" t="s">
        <v>195</v>
      </c>
      <c r="C45" t="s">
        <v>217</v>
      </c>
      <c r="D45" t="s">
        <v>218</v>
      </c>
      <c r="E45">
        <v>44.394930229742457</v>
      </c>
      <c r="F45">
        <v>41</v>
      </c>
      <c r="G45">
        <v>18</v>
      </c>
      <c r="H45">
        <v>87</v>
      </c>
      <c r="I45">
        <v>499</v>
      </c>
      <c r="J45">
        <v>2677</v>
      </c>
    </row>
    <row r="46" spans="1:10">
      <c r="A46" t="s">
        <v>194</v>
      </c>
      <c r="B46" t="s">
        <v>195</v>
      </c>
      <c r="C46" t="s">
        <v>219</v>
      </c>
      <c r="D46" t="s">
        <v>218</v>
      </c>
      <c r="E46">
        <v>49.304140524017932</v>
      </c>
      <c r="F46">
        <v>46</v>
      </c>
      <c r="G46">
        <v>19</v>
      </c>
      <c r="H46">
        <v>91</v>
      </c>
      <c r="I46">
        <v>507</v>
      </c>
      <c r="J46">
        <v>2677</v>
      </c>
    </row>
    <row r="47" spans="1:10">
      <c r="A47" t="s">
        <v>194</v>
      </c>
      <c r="B47" t="s">
        <v>195</v>
      </c>
      <c r="C47" t="s">
        <v>220</v>
      </c>
      <c r="D47" t="s">
        <v>218</v>
      </c>
      <c r="E47">
        <v>41.362250942573333</v>
      </c>
      <c r="F47">
        <v>39</v>
      </c>
      <c r="G47">
        <v>19</v>
      </c>
      <c r="H47">
        <v>77</v>
      </c>
      <c r="I47">
        <v>182</v>
      </c>
      <c r="J47">
        <v>2677</v>
      </c>
    </row>
    <row r="48" spans="1:10">
      <c r="A48" t="s">
        <v>194</v>
      </c>
      <c r="B48" t="s">
        <v>199</v>
      </c>
      <c r="C48" t="s">
        <v>217</v>
      </c>
      <c r="D48" t="s">
        <v>218</v>
      </c>
      <c r="E48">
        <v>42.793738685738347</v>
      </c>
      <c r="F48">
        <v>39</v>
      </c>
      <c r="G48">
        <v>18</v>
      </c>
      <c r="H48">
        <v>85</v>
      </c>
      <c r="I48">
        <v>814</v>
      </c>
      <c r="J48">
        <v>2677</v>
      </c>
    </row>
    <row r="49" spans="1:10">
      <c r="A49" t="s">
        <v>194</v>
      </c>
      <c r="B49" t="s">
        <v>199</v>
      </c>
      <c r="C49" t="s">
        <v>219</v>
      </c>
      <c r="D49" t="s">
        <v>218</v>
      </c>
      <c r="E49">
        <v>46.073161326964787</v>
      </c>
      <c r="F49">
        <v>42</v>
      </c>
      <c r="G49">
        <v>20</v>
      </c>
      <c r="H49">
        <v>87</v>
      </c>
      <c r="I49">
        <v>451</v>
      </c>
      <c r="J49">
        <v>2677</v>
      </c>
    </row>
    <row r="50" spans="1:10">
      <c r="A50" t="s">
        <v>194</v>
      </c>
      <c r="B50" t="s">
        <v>199</v>
      </c>
      <c r="C50" t="s">
        <v>220</v>
      </c>
      <c r="D50" t="s">
        <v>218</v>
      </c>
      <c r="E50">
        <v>38.217297191667313</v>
      </c>
      <c r="F50">
        <v>36</v>
      </c>
      <c r="G50">
        <v>18</v>
      </c>
      <c r="H50">
        <v>81</v>
      </c>
      <c r="I50">
        <v>223</v>
      </c>
      <c r="J50">
        <v>2677</v>
      </c>
    </row>
    <row r="51" spans="1:10">
      <c r="A51" t="s">
        <v>200</v>
      </c>
      <c r="B51" t="s">
        <v>200</v>
      </c>
      <c r="C51" t="s">
        <v>200</v>
      </c>
      <c r="D51" t="s">
        <v>200</v>
      </c>
      <c r="E51">
        <v>44.153836865753938</v>
      </c>
      <c r="F51">
        <v>40</v>
      </c>
      <c r="G51">
        <v>18</v>
      </c>
      <c r="H51">
        <v>91</v>
      </c>
      <c r="I51">
        <v>2677</v>
      </c>
      <c r="J51">
        <v>2677</v>
      </c>
    </row>
    <row r="53" spans="1:10" ht="30">
      <c r="A53" s="22" t="s">
        <v>221</v>
      </c>
    </row>
    <row r="54" spans="1:10">
      <c r="A54" t="s">
        <v>184</v>
      </c>
      <c r="B54" t="s">
        <v>185</v>
      </c>
      <c r="C54" t="s">
        <v>186</v>
      </c>
      <c r="D54" t="s">
        <v>187</v>
      </c>
      <c r="E54" t="s">
        <v>188</v>
      </c>
      <c r="F54" t="s">
        <v>189</v>
      </c>
      <c r="G54" t="s">
        <v>190</v>
      </c>
      <c r="H54" t="s">
        <v>191</v>
      </c>
      <c r="I54" t="s">
        <v>192</v>
      </c>
      <c r="J54" t="s">
        <v>193</v>
      </c>
    </row>
    <row r="55" spans="1:10">
      <c r="A55" t="s">
        <v>194</v>
      </c>
      <c r="B55" t="s">
        <v>195</v>
      </c>
      <c r="C55" t="s">
        <v>222</v>
      </c>
      <c r="D55" t="s">
        <v>223</v>
      </c>
      <c r="E55">
        <v>42.806071606621863</v>
      </c>
      <c r="F55">
        <v>39</v>
      </c>
      <c r="G55">
        <v>18</v>
      </c>
      <c r="H55">
        <v>87</v>
      </c>
      <c r="I55">
        <v>248</v>
      </c>
      <c r="J55">
        <v>2677</v>
      </c>
    </row>
    <row r="56" spans="1:10">
      <c r="A56" t="s">
        <v>194</v>
      </c>
      <c r="B56" t="s">
        <v>195</v>
      </c>
      <c r="C56" t="s">
        <v>224</v>
      </c>
      <c r="D56" t="s">
        <v>223</v>
      </c>
      <c r="E56">
        <v>46.671280664656322</v>
      </c>
      <c r="F56">
        <v>43</v>
      </c>
      <c r="G56">
        <v>18</v>
      </c>
      <c r="H56">
        <v>91</v>
      </c>
      <c r="I56">
        <v>941</v>
      </c>
      <c r="J56">
        <v>2677</v>
      </c>
    </row>
    <row r="57" spans="1:10">
      <c r="A57" t="s">
        <v>194</v>
      </c>
      <c r="B57" t="s">
        <v>199</v>
      </c>
      <c r="C57" t="s">
        <v>222</v>
      </c>
      <c r="D57" t="s">
        <v>223</v>
      </c>
      <c r="E57">
        <v>43.030590354645149</v>
      </c>
      <c r="F57">
        <v>39</v>
      </c>
      <c r="G57">
        <v>18</v>
      </c>
      <c r="H57">
        <v>84</v>
      </c>
      <c r="I57">
        <v>390</v>
      </c>
      <c r="J57">
        <v>2677</v>
      </c>
    </row>
    <row r="58" spans="1:10">
      <c r="A58" t="s">
        <v>194</v>
      </c>
      <c r="B58" t="s">
        <v>199</v>
      </c>
      <c r="C58" t="s">
        <v>224</v>
      </c>
      <c r="D58" t="s">
        <v>223</v>
      </c>
      <c r="E58">
        <v>42.82086089682479</v>
      </c>
      <c r="F58">
        <v>39</v>
      </c>
      <c r="G58">
        <v>18</v>
      </c>
      <c r="H58">
        <v>87</v>
      </c>
      <c r="I58">
        <v>1098</v>
      </c>
      <c r="J58">
        <v>2677</v>
      </c>
    </row>
    <row r="59" spans="1:10">
      <c r="A59" t="s">
        <v>200</v>
      </c>
      <c r="B59" t="s">
        <v>200</v>
      </c>
      <c r="C59" t="s">
        <v>200</v>
      </c>
      <c r="D59" t="s">
        <v>200</v>
      </c>
      <c r="E59">
        <v>44.153836865753938</v>
      </c>
      <c r="F59">
        <v>40</v>
      </c>
      <c r="G59">
        <v>18</v>
      </c>
      <c r="H59">
        <v>91</v>
      </c>
      <c r="I59">
        <v>2677</v>
      </c>
      <c r="J59">
        <v>2677</v>
      </c>
    </row>
    <row r="61" spans="1:10" ht="45">
      <c r="A61" s="22" t="s">
        <v>225</v>
      </c>
    </row>
    <row r="62" spans="1:10">
      <c r="A62" t="s">
        <v>185</v>
      </c>
      <c r="B62" t="s">
        <v>186</v>
      </c>
      <c r="C62" t="s">
        <v>192</v>
      </c>
      <c r="D62" t="s">
        <v>184</v>
      </c>
      <c r="E62" t="s">
        <v>193</v>
      </c>
      <c r="F62" t="s">
        <v>226</v>
      </c>
      <c r="G62" t="s">
        <v>227</v>
      </c>
    </row>
    <row r="63" spans="1:10">
      <c r="A63" t="s">
        <v>195</v>
      </c>
      <c r="B63" t="s">
        <v>222</v>
      </c>
      <c r="C63">
        <v>248</v>
      </c>
      <c r="D63" t="s">
        <v>194</v>
      </c>
      <c r="E63">
        <v>2677</v>
      </c>
      <c r="F63" s="3">
        <v>4.7399999999999998E-2</v>
      </c>
      <c r="G63" s="3">
        <v>0.9526</v>
      </c>
    </row>
    <row r="64" spans="1:10">
      <c r="A64" t="s">
        <v>195</v>
      </c>
      <c r="B64" t="s">
        <v>224</v>
      </c>
      <c r="C64">
        <v>941</v>
      </c>
      <c r="D64" t="s">
        <v>194</v>
      </c>
      <c r="E64">
        <v>2677</v>
      </c>
      <c r="F64" s="3">
        <v>8.7599999999999997E-2</v>
      </c>
      <c r="G64" s="3">
        <v>0.91239999999999999</v>
      </c>
    </row>
    <row r="65" spans="1:7">
      <c r="A65" t="s">
        <v>199</v>
      </c>
      <c r="B65" t="s">
        <v>222</v>
      </c>
      <c r="C65">
        <v>390</v>
      </c>
      <c r="D65" t="s">
        <v>194</v>
      </c>
      <c r="E65">
        <v>2677</v>
      </c>
      <c r="F65" s="3">
        <v>0.12620000000000001</v>
      </c>
      <c r="G65" s="3">
        <v>0.87380000000000002</v>
      </c>
    </row>
    <row r="66" spans="1:7">
      <c r="A66" t="s">
        <v>199</v>
      </c>
      <c r="B66" t="s">
        <v>224</v>
      </c>
      <c r="C66">
        <v>1098</v>
      </c>
      <c r="D66" t="s">
        <v>194</v>
      </c>
      <c r="E66">
        <v>2677</v>
      </c>
      <c r="F66" s="3">
        <v>0.1129</v>
      </c>
      <c r="G66" s="3">
        <v>0.8871</v>
      </c>
    </row>
    <row r="67" spans="1:7">
      <c r="A67" t="s">
        <v>200</v>
      </c>
      <c r="B67" t="s">
        <v>200</v>
      </c>
      <c r="C67">
        <v>2677</v>
      </c>
      <c r="D67" t="s">
        <v>200</v>
      </c>
      <c r="E67">
        <v>2677</v>
      </c>
      <c r="F67" s="3">
        <v>9.9599999999999994E-2</v>
      </c>
      <c r="G67" s="3">
        <v>0.90039999999999998</v>
      </c>
    </row>
    <row r="69" spans="1:7" ht="45">
      <c r="A69" s="22" t="s">
        <v>228</v>
      </c>
    </row>
    <row r="70" spans="1:7">
      <c r="A70" t="s">
        <v>185</v>
      </c>
      <c r="B70" t="s">
        <v>186</v>
      </c>
      <c r="C70" t="s">
        <v>192</v>
      </c>
      <c r="D70" t="s">
        <v>184</v>
      </c>
      <c r="E70" t="s">
        <v>193</v>
      </c>
      <c r="F70" t="s">
        <v>226</v>
      </c>
      <c r="G70" t="s">
        <v>227</v>
      </c>
    </row>
    <row r="71" spans="1:7">
      <c r="A71" t="s">
        <v>195</v>
      </c>
      <c r="B71" t="s">
        <v>229</v>
      </c>
      <c r="C71">
        <v>130</v>
      </c>
      <c r="D71" t="s">
        <v>194</v>
      </c>
      <c r="E71">
        <v>2677</v>
      </c>
      <c r="F71" s="3">
        <v>0.13389999999999999</v>
      </c>
      <c r="G71" s="3">
        <v>0.86609999999999998</v>
      </c>
    </row>
    <row r="72" spans="1:7">
      <c r="A72" t="s">
        <v>195</v>
      </c>
      <c r="B72" t="s">
        <v>230</v>
      </c>
      <c r="C72">
        <v>486</v>
      </c>
      <c r="D72" t="s">
        <v>194</v>
      </c>
      <c r="E72">
        <v>2677</v>
      </c>
      <c r="F72" s="3">
        <v>9.1499999999999998E-2</v>
      </c>
      <c r="G72" s="3">
        <v>0.90849999999999997</v>
      </c>
    </row>
    <row r="73" spans="1:7">
      <c r="A73" t="s">
        <v>195</v>
      </c>
      <c r="B73" t="s">
        <v>231</v>
      </c>
      <c r="C73">
        <v>305</v>
      </c>
      <c r="D73" t="s">
        <v>194</v>
      </c>
      <c r="E73">
        <v>2677</v>
      </c>
      <c r="F73" s="3">
        <v>4.1099999999999998E-2</v>
      </c>
      <c r="G73" s="3">
        <v>0.95889999999999997</v>
      </c>
    </row>
    <row r="74" spans="1:7">
      <c r="A74" t="s">
        <v>195</v>
      </c>
      <c r="B74" t="s">
        <v>232</v>
      </c>
      <c r="C74">
        <v>268</v>
      </c>
      <c r="D74" t="s">
        <v>194</v>
      </c>
      <c r="E74">
        <v>2677</v>
      </c>
      <c r="F74" s="3">
        <v>5.5500000000000001E-2</v>
      </c>
      <c r="G74" s="3">
        <v>0.94450000000000001</v>
      </c>
    </row>
    <row r="75" spans="1:7">
      <c r="A75" t="s">
        <v>199</v>
      </c>
      <c r="B75" t="s">
        <v>229</v>
      </c>
      <c r="C75">
        <v>150</v>
      </c>
      <c r="D75" t="s">
        <v>194</v>
      </c>
      <c r="E75">
        <v>2677</v>
      </c>
      <c r="F75" s="3">
        <v>0.26179999999999998</v>
      </c>
      <c r="G75" s="3">
        <v>0.73819999999999997</v>
      </c>
    </row>
    <row r="76" spans="1:7">
      <c r="A76" t="s">
        <v>199</v>
      </c>
      <c r="B76" t="s">
        <v>230</v>
      </c>
      <c r="C76">
        <v>701</v>
      </c>
      <c r="D76" t="s">
        <v>194</v>
      </c>
      <c r="E76">
        <v>2677</v>
      </c>
      <c r="F76" s="3">
        <v>0.1027</v>
      </c>
      <c r="G76" s="3">
        <v>0.89729999999999999</v>
      </c>
    </row>
    <row r="77" spans="1:7">
      <c r="A77" t="s">
        <v>199</v>
      </c>
      <c r="B77" t="s">
        <v>231</v>
      </c>
      <c r="C77">
        <v>397</v>
      </c>
      <c r="D77" t="s">
        <v>194</v>
      </c>
      <c r="E77">
        <v>2677</v>
      </c>
      <c r="F77" s="3">
        <v>2.5000000000000001E-2</v>
      </c>
      <c r="G77" s="3">
        <v>0.97499999999999998</v>
      </c>
    </row>
    <row r="78" spans="1:7">
      <c r="A78" t="s">
        <v>199</v>
      </c>
      <c r="B78" t="s">
        <v>232</v>
      </c>
      <c r="C78">
        <v>240</v>
      </c>
      <c r="D78" t="s">
        <v>194</v>
      </c>
      <c r="E78">
        <v>2677</v>
      </c>
      <c r="F78" s="3">
        <v>0.104</v>
      </c>
      <c r="G78" s="3">
        <v>0.89600000000000002</v>
      </c>
    </row>
    <row r="79" spans="1:7">
      <c r="A79" t="s">
        <v>200</v>
      </c>
      <c r="B79" t="s">
        <v>200</v>
      </c>
      <c r="C79">
        <v>2677</v>
      </c>
      <c r="D79" t="s">
        <v>200</v>
      </c>
      <c r="E79">
        <v>2677</v>
      </c>
      <c r="F79" s="3">
        <v>9.9599999999999994E-2</v>
      </c>
      <c r="G79" s="3">
        <v>0.90039999999999998</v>
      </c>
    </row>
    <row r="81" spans="1:10" ht="30">
      <c r="A81" s="22" t="s">
        <v>233</v>
      </c>
    </row>
    <row r="82" spans="1:10">
      <c r="A82" t="s">
        <v>184</v>
      </c>
      <c r="B82" t="s">
        <v>185</v>
      </c>
      <c r="C82" t="s">
        <v>186</v>
      </c>
      <c r="D82" t="s">
        <v>187</v>
      </c>
      <c r="E82" t="s">
        <v>188</v>
      </c>
      <c r="F82" t="s">
        <v>189</v>
      </c>
      <c r="G82" t="s">
        <v>190</v>
      </c>
      <c r="H82" t="s">
        <v>191</v>
      </c>
      <c r="I82" t="s">
        <v>192</v>
      </c>
      <c r="J82" t="s">
        <v>193</v>
      </c>
    </row>
    <row r="83" spans="1:10">
      <c r="A83" t="s">
        <v>194</v>
      </c>
      <c r="B83" t="s">
        <v>195</v>
      </c>
      <c r="C83" t="s">
        <v>196</v>
      </c>
      <c r="D83" t="s">
        <v>197</v>
      </c>
      <c r="E83">
        <v>2.7685275537369241</v>
      </c>
      <c r="F83">
        <v>2</v>
      </c>
      <c r="G83">
        <v>1</v>
      </c>
      <c r="H83">
        <v>10</v>
      </c>
      <c r="I83">
        <v>413</v>
      </c>
      <c r="J83">
        <v>2677</v>
      </c>
    </row>
    <row r="84" spans="1:10">
      <c r="A84" t="s">
        <v>194</v>
      </c>
      <c r="B84" t="s">
        <v>195</v>
      </c>
      <c r="C84" t="s">
        <v>198</v>
      </c>
      <c r="D84" t="s">
        <v>197</v>
      </c>
      <c r="E84">
        <v>2.7247626196426702</v>
      </c>
      <c r="F84">
        <v>3</v>
      </c>
      <c r="G84">
        <v>1</v>
      </c>
      <c r="H84">
        <v>8</v>
      </c>
      <c r="I84">
        <v>755</v>
      </c>
      <c r="J84">
        <v>2677</v>
      </c>
    </row>
    <row r="85" spans="1:10">
      <c r="A85" t="s">
        <v>194</v>
      </c>
      <c r="B85" t="s">
        <v>199</v>
      </c>
      <c r="C85" t="s">
        <v>196</v>
      </c>
      <c r="D85" t="s">
        <v>197</v>
      </c>
      <c r="E85">
        <v>3.1526787801916769</v>
      </c>
      <c r="F85">
        <v>3</v>
      </c>
      <c r="G85">
        <v>1</v>
      </c>
      <c r="H85">
        <v>10</v>
      </c>
      <c r="I85">
        <v>525</v>
      </c>
      <c r="J85">
        <v>2677</v>
      </c>
    </row>
    <row r="86" spans="1:10">
      <c r="A86" t="s">
        <v>194</v>
      </c>
      <c r="B86" t="s">
        <v>199</v>
      </c>
      <c r="C86" t="s">
        <v>198</v>
      </c>
      <c r="D86" t="s">
        <v>197</v>
      </c>
      <c r="E86">
        <v>2.6996986570343431</v>
      </c>
      <c r="F86">
        <v>3</v>
      </c>
      <c r="G86">
        <v>1</v>
      </c>
      <c r="H86">
        <v>12</v>
      </c>
      <c r="I86">
        <v>945</v>
      </c>
      <c r="J86">
        <v>2677</v>
      </c>
    </row>
    <row r="87" spans="1:10">
      <c r="A87" t="s">
        <v>200</v>
      </c>
      <c r="B87" t="s">
        <v>200</v>
      </c>
      <c r="C87" t="s">
        <v>200</v>
      </c>
      <c r="D87" t="s">
        <v>200</v>
      </c>
      <c r="E87">
        <v>2.7631434624896301</v>
      </c>
      <c r="F87">
        <v>3</v>
      </c>
      <c r="G87">
        <v>1</v>
      </c>
      <c r="H87">
        <v>12</v>
      </c>
      <c r="I87">
        <v>2677</v>
      </c>
      <c r="J87">
        <v>2677</v>
      </c>
    </row>
    <row r="89" spans="1:10" ht="30">
      <c r="A89" s="22" t="s">
        <v>234</v>
      </c>
    </row>
    <row r="90" spans="1:10">
      <c r="A90" t="s">
        <v>184</v>
      </c>
      <c r="B90" t="s">
        <v>185</v>
      </c>
      <c r="C90" t="s">
        <v>186</v>
      </c>
      <c r="D90" t="s">
        <v>187</v>
      </c>
      <c r="E90" t="s">
        <v>188</v>
      </c>
      <c r="F90" t="s">
        <v>189</v>
      </c>
      <c r="G90" t="s">
        <v>190</v>
      </c>
      <c r="H90" t="s">
        <v>191</v>
      </c>
      <c r="I90" t="s">
        <v>192</v>
      </c>
      <c r="J90" t="s">
        <v>193</v>
      </c>
    </row>
    <row r="91" spans="1:10">
      <c r="A91" t="s">
        <v>194</v>
      </c>
      <c r="B91" t="s">
        <v>195</v>
      </c>
      <c r="C91" t="s">
        <v>202</v>
      </c>
      <c r="D91" t="s">
        <v>203</v>
      </c>
      <c r="E91">
        <v>2.6998354142118388</v>
      </c>
      <c r="F91">
        <v>3</v>
      </c>
      <c r="G91">
        <v>1</v>
      </c>
      <c r="H91">
        <v>10</v>
      </c>
      <c r="I91">
        <v>533</v>
      </c>
      <c r="J91">
        <v>2677</v>
      </c>
    </row>
    <row r="92" spans="1:10">
      <c r="A92" t="s">
        <v>194</v>
      </c>
      <c r="B92" t="s">
        <v>195</v>
      </c>
      <c r="C92" t="s">
        <v>204</v>
      </c>
      <c r="D92" t="s">
        <v>203</v>
      </c>
      <c r="E92">
        <v>2.7815755412994312</v>
      </c>
      <c r="F92">
        <v>3</v>
      </c>
      <c r="G92">
        <v>1</v>
      </c>
      <c r="H92">
        <v>9</v>
      </c>
      <c r="I92">
        <v>301</v>
      </c>
      <c r="J92">
        <v>2677</v>
      </c>
    </row>
    <row r="93" spans="1:10">
      <c r="A93" t="s">
        <v>194</v>
      </c>
      <c r="B93" t="s">
        <v>195</v>
      </c>
      <c r="C93" t="s">
        <v>205</v>
      </c>
      <c r="D93" t="s">
        <v>203</v>
      </c>
      <c r="E93">
        <v>2.8403935586006259</v>
      </c>
      <c r="F93">
        <v>3</v>
      </c>
      <c r="G93">
        <v>1</v>
      </c>
      <c r="H93">
        <v>9</v>
      </c>
      <c r="I93">
        <v>334</v>
      </c>
      <c r="J93">
        <v>2677</v>
      </c>
    </row>
    <row r="94" spans="1:10">
      <c r="A94" t="s">
        <v>194</v>
      </c>
      <c r="B94" t="s">
        <v>199</v>
      </c>
      <c r="C94" t="s">
        <v>202</v>
      </c>
      <c r="D94" t="s">
        <v>203</v>
      </c>
      <c r="E94">
        <v>2.7686487944576772</v>
      </c>
      <c r="F94">
        <v>3</v>
      </c>
      <c r="G94">
        <v>1</v>
      </c>
      <c r="H94">
        <v>10</v>
      </c>
      <c r="I94">
        <v>538</v>
      </c>
      <c r="J94">
        <v>2677</v>
      </c>
    </row>
    <row r="95" spans="1:10">
      <c r="A95" t="s">
        <v>194</v>
      </c>
      <c r="B95" t="s">
        <v>199</v>
      </c>
      <c r="C95" t="s">
        <v>204</v>
      </c>
      <c r="D95" t="s">
        <v>203</v>
      </c>
      <c r="E95">
        <v>2.8915629116307531</v>
      </c>
      <c r="F95">
        <v>3</v>
      </c>
      <c r="G95">
        <v>1</v>
      </c>
      <c r="H95">
        <v>9</v>
      </c>
      <c r="I95">
        <v>426</v>
      </c>
      <c r="J95">
        <v>2677</v>
      </c>
    </row>
    <row r="96" spans="1:10">
      <c r="A96" t="s">
        <v>194</v>
      </c>
      <c r="B96" t="s">
        <v>199</v>
      </c>
      <c r="C96" t="s">
        <v>205</v>
      </c>
      <c r="D96" t="s">
        <v>203</v>
      </c>
      <c r="E96">
        <v>2.7165359987218589</v>
      </c>
      <c r="F96">
        <v>3</v>
      </c>
      <c r="G96">
        <v>1</v>
      </c>
      <c r="H96">
        <v>12</v>
      </c>
      <c r="I96">
        <v>506</v>
      </c>
      <c r="J96">
        <v>2677</v>
      </c>
    </row>
    <row r="97" spans="1:10">
      <c r="A97" t="s">
        <v>200</v>
      </c>
      <c r="B97" t="s">
        <v>200</v>
      </c>
      <c r="C97" t="s">
        <v>200</v>
      </c>
      <c r="D97" t="s">
        <v>200</v>
      </c>
      <c r="E97">
        <v>2.7631434624896301</v>
      </c>
      <c r="F97">
        <v>3</v>
      </c>
      <c r="G97">
        <v>1</v>
      </c>
      <c r="H97">
        <v>12</v>
      </c>
      <c r="I97">
        <v>2677</v>
      </c>
      <c r="J97">
        <v>2677</v>
      </c>
    </row>
    <row r="99" spans="1:10" ht="30">
      <c r="A99" s="22" t="s">
        <v>235</v>
      </c>
    </row>
    <row r="100" spans="1:10">
      <c r="A100" t="s">
        <v>184</v>
      </c>
      <c r="B100" t="s">
        <v>185</v>
      </c>
      <c r="C100" t="s">
        <v>186</v>
      </c>
      <c r="D100" t="s">
        <v>187</v>
      </c>
      <c r="E100" t="s">
        <v>188</v>
      </c>
      <c r="F100" t="s">
        <v>189</v>
      </c>
      <c r="G100" t="s">
        <v>190</v>
      </c>
      <c r="H100" t="s">
        <v>191</v>
      </c>
      <c r="I100" t="s">
        <v>192</v>
      </c>
      <c r="J100" t="s">
        <v>193</v>
      </c>
    </row>
    <row r="101" spans="1:10">
      <c r="A101" t="s">
        <v>194</v>
      </c>
      <c r="B101" t="s">
        <v>195</v>
      </c>
      <c r="C101" t="s">
        <v>207</v>
      </c>
      <c r="D101" t="s">
        <v>208</v>
      </c>
      <c r="E101">
        <v>2.826705438155519</v>
      </c>
      <c r="F101">
        <v>3</v>
      </c>
      <c r="G101">
        <v>1</v>
      </c>
      <c r="H101">
        <v>10</v>
      </c>
      <c r="I101">
        <v>322</v>
      </c>
      <c r="J101">
        <v>2677</v>
      </c>
    </row>
    <row r="102" spans="1:10">
      <c r="A102" t="s">
        <v>194</v>
      </c>
      <c r="B102" t="s">
        <v>195</v>
      </c>
      <c r="C102" t="s">
        <v>209</v>
      </c>
      <c r="D102" t="s">
        <v>208</v>
      </c>
      <c r="E102">
        <v>2.705508408742241</v>
      </c>
      <c r="F102">
        <v>3</v>
      </c>
      <c r="G102">
        <v>1</v>
      </c>
      <c r="H102">
        <v>10</v>
      </c>
      <c r="I102">
        <v>867</v>
      </c>
      <c r="J102">
        <v>2677</v>
      </c>
    </row>
    <row r="103" spans="1:10">
      <c r="A103" t="s">
        <v>194</v>
      </c>
      <c r="B103" t="s">
        <v>199</v>
      </c>
      <c r="C103" t="s">
        <v>207</v>
      </c>
      <c r="D103" t="s">
        <v>208</v>
      </c>
      <c r="E103">
        <v>3.081534333007268</v>
      </c>
      <c r="F103">
        <v>3</v>
      </c>
      <c r="G103">
        <v>1</v>
      </c>
      <c r="H103">
        <v>10</v>
      </c>
      <c r="I103">
        <v>283</v>
      </c>
      <c r="J103">
        <v>2677</v>
      </c>
    </row>
    <row r="104" spans="1:10">
      <c r="A104" t="s">
        <v>194</v>
      </c>
      <c r="B104" t="s">
        <v>199</v>
      </c>
      <c r="C104" t="s">
        <v>209</v>
      </c>
      <c r="D104" t="s">
        <v>208</v>
      </c>
      <c r="E104">
        <v>2.7431026985382161</v>
      </c>
      <c r="F104">
        <v>3</v>
      </c>
      <c r="G104">
        <v>1</v>
      </c>
      <c r="H104">
        <v>12</v>
      </c>
      <c r="I104">
        <v>1205</v>
      </c>
      <c r="J104">
        <v>2677</v>
      </c>
    </row>
    <row r="105" spans="1:10">
      <c r="A105" t="s">
        <v>200</v>
      </c>
      <c r="B105" t="s">
        <v>200</v>
      </c>
      <c r="C105" t="s">
        <v>200</v>
      </c>
      <c r="D105" t="s">
        <v>200</v>
      </c>
      <c r="E105">
        <v>2.7631434624896301</v>
      </c>
      <c r="F105">
        <v>3</v>
      </c>
      <c r="G105">
        <v>1</v>
      </c>
      <c r="H105">
        <v>12</v>
      </c>
      <c r="I105">
        <v>2677</v>
      </c>
      <c r="J105">
        <v>2677</v>
      </c>
    </row>
    <row r="107" spans="1:10" ht="30">
      <c r="A107" s="22" t="s">
        <v>236</v>
      </c>
    </row>
    <row r="108" spans="1:10">
      <c r="A108" t="s">
        <v>184</v>
      </c>
      <c r="B108" t="s">
        <v>185</v>
      </c>
      <c r="C108" t="s">
        <v>188</v>
      </c>
      <c r="D108" t="s">
        <v>189</v>
      </c>
      <c r="E108" t="s">
        <v>190</v>
      </c>
      <c r="F108" t="s">
        <v>191</v>
      </c>
      <c r="G108" t="s">
        <v>192</v>
      </c>
      <c r="H108" t="s">
        <v>193</v>
      </c>
    </row>
    <row r="109" spans="1:10">
      <c r="A109" t="s">
        <v>194</v>
      </c>
      <c r="B109" t="s">
        <v>195</v>
      </c>
      <c r="C109">
        <v>2.736657748654971</v>
      </c>
      <c r="D109">
        <v>3</v>
      </c>
      <c r="E109">
        <v>1</v>
      </c>
      <c r="F109">
        <v>10</v>
      </c>
      <c r="G109">
        <v>1189</v>
      </c>
      <c r="H109">
        <v>2677</v>
      </c>
    </row>
    <row r="110" spans="1:10">
      <c r="A110" t="s">
        <v>194</v>
      </c>
      <c r="B110" t="s">
        <v>199</v>
      </c>
      <c r="C110">
        <v>2.784307114202941</v>
      </c>
      <c r="D110">
        <v>3</v>
      </c>
      <c r="E110">
        <v>1</v>
      </c>
      <c r="F110">
        <v>12</v>
      </c>
      <c r="G110">
        <v>1488</v>
      </c>
      <c r="H110">
        <v>2677</v>
      </c>
    </row>
    <row r="111" spans="1:10">
      <c r="A111" t="s">
        <v>200</v>
      </c>
      <c r="B111" t="s">
        <v>200</v>
      </c>
      <c r="C111">
        <v>2.7631434624896301</v>
      </c>
      <c r="D111">
        <v>3</v>
      </c>
      <c r="E111">
        <v>1</v>
      </c>
      <c r="F111">
        <v>12</v>
      </c>
      <c r="G111">
        <v>2677</v>
      </c>
      <c r="H111">
        <v>2677</v>
      </c>
    </row>
    <row r="113" spans="1:10" ht="30">
      <c r="A113" s="22" t="s">
        <v>237</v>
      </c>
    </row>
    <row r="114" spans="1:10">
      <c r="A114" t="s">
        <v>184</v>
      </c>
      <c r="B114" t="s">
        <v>185</v>
      </c>
      <c r="C114" t="s">
        <v>186</v>
      </c>
      <c r="D114" t="s">
        <v>187</v>
      </c>
      <c r="E114" t="s">
        <v>188</v>
      </c>
      <c r="F114" t="s">
        <v>189</v>
      </c>
      <c r="G114" t="s">
        <v>190</v>
      </c>
      <c r="H114" t="s">
        <v>191</v>
      </c>
      <c r="I114" t="s">
        <v>192</v>
      </c>
      <c r="J114" t="s">
        <v>193</v>
      </c>
    </row>
    <row r="115" spans="1:10">
      <c r="A115" t="s">
        <v>194</v>
      </c>
      <c r="B115" t="s">
        <v>195</v>
      </c>
      <c r="C115" t="s">
        <v>217</v>
      </c>
      <c r="D115" t="s">
        <v>218</v>
      </c>
      <c r="E115">
        <v>3.2562960922058011</v>
      </c>
      <c r="F115">
        <v>3</v>
      </c>
      <c r="G115">
        <v>2</v>
      </c>
      <c r="H115">
        <v>10</v>
      </c>
      <c r="I115">
        <v>499</v>
      </c>
      <c r="J115">
        <v>2677</v>
      </c>
    </row>
    <row r="116" spans="1:10">
      <c r="A116" t="s">
        <v>194</v>
      </c>
      <c r="B116" t="s">
        <v>195</v>
      </c>
      <c r="C116" t="s">
        <v>219</v>
      </c>
      <c r="D116" t="s">
        <v>218</v>
      </c>
      <c r="E116">
        <v>2.3235744837800358</v>
      </c>
      <c r="F116">
        <v>2</v>
      </c>
      <c r="G116">
        <v>1</v>
      </c>
      <c r="H116">
        <v>9</v>
      </c>
      <c r="I116">
        <v>507</v>
      </c>
      <c r="J116">
        <v>2677</v>
      </c>
    </row>
    <row r="117" spans="1:10">
      <c r="A117" t="s">
        <v>194</v>
      </c>
      <c r="B117" t="s">
        <v>195</v>
      </c>
      <c r="C117" t="s">
        <v>220</v>
      </c>
      <c r="D117" t="s">
        <v>218</v>
      </c>
      <c r="E117">
        <v>2.4321375969330079</v>
      </c>
      <c r="F117">
        <v>2</v>
      </c>
      <c r="G117">
        <v>1</v>
      </c>
      <c r="H117">
        <v>8</v>
      </c>
      <c r="I117">
        <v>182</v>
      </c>
      <c r="J117">
        <v>2677</v>
      </c>
    </row>
    <row r="118" spans="1:10">
      <c r="A118" t="s">
        <v>194</v>
      </c>
      <c r="B118" t="s">
        <v>199</v>
      </c>
      <c r="C118" t="s">
        <v>217</v>
      </c>
      <c r="D118" t="s">
        <v>218</v>
      </c>
      <c r="E118">
        <v>3.160856130133288</v>
      </c>
      <c r="F118">
        <v>3</v>
      </c>
      <c r="G118">
        <v>2</v>
      </c>
      <c r="H118">
        <v>12</v>
      </c>
      <c r="I118">
        <v>814</v>
      </c>
      <c r="J118">
        <v>2677</v>
      </c>
    </row>
    <row r="119" spans="1:10">
      <c r="A119" t="s">
        <v>194</v>
      </c>
      <c r="B119" t="s">
        <v>199</v>
      </c>
      <c r="C119" t="s">
        <v>219</v>
      </c>
      <c r="D119" t="s">
        <v>218</v>
      </c>
      <c r="E119">
        <v>1.987517706893605</v>
      </c>
      <c r="F119">
        <v>2</v>
      </c>
      <c r="G119">
        <v>1</v>
      </c>
      <c r="H119">
        <v>10</v>
      </c>
      <c r="I119">
        <v>451</v>
      </c>
      <c r="J119">
        <v>2677</v>
      </c>
    </row>
    <row r="120" spans="1:10">
      <c r="A120" t="s">
        <v>194</v>
      </c>
      <c r="B120" t="s">
        <v>199</v>
      </c>
      <c r="C120" t="s">
        <v>220</v>
      </c>
      <c r="D120" t="s">
        <v>218</v>
      </c>
      <c r="E120">
        <v>2.6036566118807669</v>
      </c>
      <c r="F120">
        <v>3</v>
      </c>
      <c r="G120">
        <v>1</v>
      </c>
      <c r="H120">
        <v>8</v>
      </c>
      <c r="I120">
        <v>223</v>
      </c>
      <c r="J120">
        <v>2677</v>
      </c>
    </row>
    <row r="121" spans="1:10">
      <c r="A121" t="s">
        <v>200</v>
      </c>
      <c r="B121" t="s">
        <v>200</v>
      </c>
      <c r="C121" t="s">
        <v>200</v>
      </c>
      <c r="D121" t="s">
        <v>200</v>
      </c>
      <c r="E121">
        <v>2.7631434624896301</v>
      </c>
      <c r="F121">
        <v>3</v>
      </c>
      <c r="G121">
        <v>1</v>
      </c>
      <c r="H121">
        <v>12</v>
      </c>
      <c r="I121">
        <v>2677</v>
      </c>
      <c r="J121">
        <v>2677</v>
      </c>
    </row>
    <row r="123" spans="1:10" ht="30">
      <c r="A123" s="22" t="s">
        <v>238</v>
      </c>
    </row>
    <row r="124" spans="1:10">
      <c r="A124" t="s">
        <v>184</v>
      </c>
      <c r="B124" t="s">
        <v>185</v>
      </c>
      <c r="C124" t="s">
        <v>186</v>
      </c>
      <c r="D124" t="s">
        <v>187</v>
      </c>
      <c r="E124" t="s">
        <v>188</v>
      </c>
      <c r="F124" t="s">
        <v>189</v>
      </c>
      <c r="G124" t="s">
        <v>190</v>
      </c>
      <c r="H124" t="s">
        <v>191</v>
      </c>
      <c r="I124" t="s">
        <v>192</v>
      </c>
      <c r="J124" t="s">
        <v>193</v>
      </c>
    </row>
    <row r="125" spans="1:10">
      <c r="A125" t="s">
        <v>194</v>
      </c>
      <c r="B125" t="s">
        <v>195</v>
      </c>
      <c r="C125" t="s">
        <v>222</v>
      </c>
      <c r="D125" t="s">
        <v>223</v>
      </c>
      <c r="E125">
        <v>2.5040040901453362</v>
      </c>
      <c r="F125">
        <v>2</v>
      </c>
      <c r="G125">
        <v>1</v>
      </c>
      <c r="H125">
        <v>7</v>
      </c>
      <c r="I125">
        <v>248</v>
      </c>
      <c r="J125">
        <v>2677</v>
      </c>
    </row>
    <row r="126" spans="1:10">
      <c r="A126" t="s">
        <v>194</v>
      </c>
      <c r="B126" t="s">
        <v>195</v>
      </c>
      <c r="C126" t="s">
        <v>224</v>
      </c>
      <c r="D126" t="s">
        <v>223</v>
      </c>
      <c r="E126">
        <v>2.81033589902942</v>
      </c>
      <c r="F126">
        <v>3</v>
      </c>
      <c r="G126">
        <v>1</v>
      </c>
      <c r="H126">
        <v>10</v>
      </c>
      <c r="I126">
        <v>941</v>
      </c>
      <c r="J126">
        <v>2677</v>
      </c>
    </row>
    <row r="127" spans="1:10">
      <c r="A127" t="s">
        <v>194</v>
      </c>
      <c r="B127" t="s">
        <v>199</v>
      </c>
      <c r="C127" t="s">
        <v>222</v>
      </c>
      <c r="D127" t="s">
        <v>223</v>
      </c>
      <c r="E127">
        <v>2.8152429899387532</v>
      </c>
      <c r="F127">
        <v>3</v>
      </c>
      <c r="G127">
        <v>1</v>
      </c>
      <c r="H127">
        <v>12</v>
      </c>
      <c r="I127">
        <v>390</v>
      </c>
      <c r="J127">
        <v>2677</v>
      </c>
    </row>
    <row r="128" spans="1:10">
      <c r="A128" t="s">
        <v>194</v>
      </c>
      <c r="B128" t="s">
        <v>199</v>
      </c>
      <c r="C128" t="s">
        <v>224</v>
      </c>
      <c r="D128" t="s">
        <v>223</v>
      </c>
      <c r="E128">
        <v>2.7706490800250121</v>
      </c>
      <c r="F128">
        <v>3</v>
      </c>
      <c r="G128">
        <v>1</v>
      </c>
      <c r="H128">
        <v>10</v>
      </c>
      <c r="I128">
        <v>1098</v>
      </c>
      <c r="J128">
        <v>2677</v>
      </c>
    </row>
    <row r="129" spans="1:10">
      <c r="A129" t="s">
        <v>200</v>
      </c>
      <c r="B129" t="s">
        <v>200</v>
      </c>
      <c r="C129" t="s">
        <v>200</v>
      </c>
      <c r="D129" t="s">
        <v>200</v>
      </c>
      <c r="E129">
        <v>2.7631434624896301</v>
      </c>
      <c r="F129">
        <v>3</v>
      </c>
      <c r="G129">
        <v>1</v>
      </c>
      <c r="H129">
        <v>12</v>
      </c>
      <c r="I129">
        <v>2677</v>
      </c>
      <c r="J129">
        <v>2677</v>
      </c>
    </row>
    <row r="131" spans="1:10" ht="30">
      <c r="A131" s="22" t="s">
        <v>239</v>
      </c>
    </row>
    <row r="132" spans="1:10">
      <c r="A132" t="s">
        <v>184</v>
      </c>
      <c r="B132" t="s">
        <v>185</v>
      </c>
      <c r="C132" t="s">
        <v>186</v>
      </c>
      <c r="D132" t="s">
        <v>187</v>
      </c>
      <c r="E132" t="s">
        <v>188</v>
      </c>
      <c r="F132" t="s">
        <v>189</v>
      </c>
      <c r="G132" t="s">
        <v>190</v>
      </c>
      <c r="H132" t="s">
        <v>191</v>
      </c>
      <c r="I132" t="s">
        <v>192</v>
      </c>
      <c r="J132" t="s">
        <v>193</v>
      </c>
    </row>
    <row r="133" spans="1:10">
      <c r="A133" t="s">
        <v>194</v>
      </c>
      <c r="B133" t="s">
        <v>195</v>
      </c>
      <c r="C133" t="s">
        <v>196</v>
      </c>
      <c r="D133" t="s">
        <v>197</v>
      </c>
      <c r="E133">
        <v>39.000623592710838</v>
      </c>
      <c r="F133">
        <v>39</v>
      </c>
      <c r="G133">
        <v>0</v>
      </c>
      <c r="H133">
        <v>96</v>
      </c>
      <c r="I133">
        <v>1249</v>
      </c>
      <c r="J133">
        <v>7705</v>
      </c>
    </row>
    <row r="134" spans="1:10">
      <c r="A134" t="s">
        <v>194</v>
      </c>
      <c r="B134" t="s">
        <v>195</v>
      </c>
      <c r="C134" t="s">
        <v>198</v>
      </c>
      <c r="D134" t="s">
        <v>197</v>
      </c>
      <c r="E134">
        <v>34.68317167160177</v>
      </c>
      <c r="F134">
        <v>35</v>
      </c>
      <c r="G134">
        <v>0</v>
      </c>
      <c r="H134">
        <v>96</v>
      </c>
      <c r="I134">
        <v>2078</v>
      </c>
      <c r="J134">
        <v>7705</v>
      </c>
    </row>
    <row r="135" spans="1:10">
      <c r="A135" t="s">
        <v>194</v>
      </c>
      <c r="B135" t="s">
        <v>199</v>
      </c>
      <c r="C135" t="s">
        <v>196</v>
      </c>
      <c r="D135" t="s">
        <v>197</v>
      </c>
      <c r="E135">
        <v>35.689716420214893</v>
      </c>
      <c r="F135">
        <v>37</v>
      </c>
      <c r="G135">
        <v>0</v>
      </c>
      <c r="H135">
        <v>93</v>
      </c>
      <c r="I135">
        <v>1657</v>
      </c>
      <c r="J135">
        <v>7705</v>
      </c>
    </row>
    <row r="136" spans="1:10">
      <c r="A136" t="s">
        <v>194</v>
      </c>
      <c r="B136" t="s">
        <v>199</v>
      </c>
      <c r="C136" t="s">
        <v>198</v>
      </c>
      <c r="D136" t="s">
        <v>197</v>
      </c>
      <c r="E136">
        <v>34.100129261458868</v>
      </c>
      <c r="F136">
        <v>35</v>
      </c>
      <c r="G136">
        <v>0</v>
      </c>
      <c r="H136">
        <v>91</v>
      </c>
      <c r="I136">
        <v>2606</v>
      </c>
      <c r="J136">
        <v>7705</v>
      </c>
    </row>
    <row r="137" spans="1:10">
      <c r="A137" t="s">
        <v>200</v>
      </c>
      <c r="B137" t="s">
        <v>200</v>
      </c>
      <c r="C137" t="s">
        <v>200</v>
      </c>
      <c r="D137" t="s">
        <v>200</v>
      </c>
      <c r="E137">
        <v>35.057444047336908</v>
      </c>
      <c r="F137">
        <v>35</v>
      </c>
      <c r="G137">
        <v>0</v>
      </c>
      <c r="H137">
        <v>96</v>
      </c>
      <c r="I137">
        <v>7705</v>
      </c>
      <c r="J137">
        <v>7705</v>
      </c>
    </row>
    <row r="139" spans="1:10" ht="30">
      <c r="A139" s="22" t="s">
        <v>240</v>
      </c>
    </row>
    <row r="140" spans="1:10">
      <c r="A140" t="s">
        <v>184</v>
      </c>
      <c r="B140" t="s">
        <v>185</v>
      </c>
      <c r="C140" t="s">
        <v>186</v>
      </c>
      <c r="D140" t="s">
        <v>187</v>
      </c>
      <c r="E140" t="s">
        <v>188</v>
      </c>
      <c r="F140" t="s">
        <v>189</v>
      </c>
      <c r="G140" t="s">
        <v>190</v>
      </c>
      <c r="H140" t="s">
        <v>191</v>
      </c>
      <c r="I140" t="s">
        <v>192</v>
      </c>
      <c r="J140" t="s">
        <v>193</v>
      </c>
    </row>
    <row r="141" spans="1:10">
      <c r="A141" t="s">
        <v>194</v>
      </c>
      <c r="B141" t="s">
        <v>195</v>
      </c>
      <c r="C141" t="s">
        <v>202</v>
      </c>
      <c r="D141" t="s">
        <v>203</v>
      </c>
      <c r="E141">
        <v>36.431462062315781</v>
      </c>
      <c r="F141">
        <v>36</v>
      </c>
      <c r="G141">
        <v>0</v>
      </c>
      <c r="H141">
        <v>96</v>
      </c>
      <c r="I141">
        <v>1493</v>
      </c>
      <c r="J141">
        <v>7705</v>
      </c>
    </row>
    <row r="142" spans="1:10">
      <c r="A142" t="s">
        <v>194</v>
      </c>
      <c r="B142" t="s">
        <v>195</v>
      </c>
      <c r="C142" t="s">
        <v>204</v>
      </c>
      <c r="D142" t="s">
        <v>203</v>
      </c>
      <c r="E142">
        <v>34.980844964525652</v>
      </c>
      <c r="F142">
        <v>35</v>
      </c>
      <c r="G142">
        <v>0</v>
      </c>
      <c r="H142">
        <v>96</v>
      </c>
      <c r="I142">
        <v>902</v>
      </c>
      <c r="J142">
        <v>7705</v>
      </c>
    </row>
    <row r="143" spans="1:10">
      <c r="A143" t="s">
        <v>194</v>
      </c>
      <c r="B143" t="s">
        <v>195</v>
      </c>
      <c r="C143" t="s">
        <v>205</v>
      </c>
      <c r="D143" t="s">
        <v>203</v>
      </c>
      <c r="E143">
        <v>34.557915731458969</v>
      </c>
      <c r="F143">
        <v>33</v>
      </c>
      <c r="G143">
        <v>0</v>
      </c>
      <c r="H143">
        <v>96</v>
      </c>
      <c r="I143">
        <v>932</v>
      </c>
      <c r="J143">
        <v>7705</v>
      </c>
    </row>
    <row r="144" spans="1:10">
      <c r="A144" t="s">
        <v>194</v>
      </c>
      <c r="B144" t="s">
        <v>199</v>
      </c>
      <c r="C144" t="s">
        <v>202</v>
      </c>
      <c r="D144" t="s">
        <v>203</v>
      </c>
      <c r="E144">
        <v>34.232457609789329</v>
      </c>
      <c r="F144">
        <v>35</v>
      </c>
      <c r="G144">
        <v>0</v>
      </c>
      <c r="H144">
        <v>91</v>
      </c>
      <c r="I144">
        <v>1572</v>
      </c>
      <c r="J144">
        <v>7705</v>
      </c>
    </row>
    <row r="145" spans="1:10">
      <c r="A145" t="s">
        <v>194</v>
      </c>
      <c r="B145" t="s">
        <v>199</v>
      </c>
      <c r="C145" t="s">
        <v>204</v>
      </c>
      <c r="D145" t="s">
        <v>203</v>
      </c>
      <c r="E145">
        <v>32.68200798067808</v>
      </c>
      <c r="F145">
        <v>35</v>
      </c>
      <c r="G145">
        <v>0</v>
      </c>
      <c r="H145">
        <v>91</v>
      </c>
      <c r="I145">
        <v>1227</v>
      </c>
      <c r="J145">
        <v>7705</v>
      </c>
    </row>
    <row r="146" spans="1:10">
      <c r="A146" t="s">
        <v>194</v>
      </c>
      <c r="B146" t="s">
        <v>199</v>
      </c>
      <c r="C146" t="s">
        <v>205</v>
      </c>
      <c r="D146" t="s">
        <v>203</v>
      </c>
      <c r="E146">
        <v>37.348560501486993</v>
      </c>
      <c r="F146">
        <v>39</v>
      </c>
      <c r="G146">
        <v>0</v>
      </c>
      <c r="H146">
        <v>93</v>
      </c>
      <c r="I146">
        <v>1464</v>
      </c>
      <c r="J146">
        <v>7705</v>
      </c>
    </row>
    <row r="147" spans="1:10">
      <c r="A147" t="s">
        <v>200</v>
      </c>
      <c r="B147" t="s">
        <v>200</v>
      </c>
      <c r="C147" t="s">
        <v>200</v>
      </c>
      <c r="D147" t="s">
        <v>200</v>
      </c>
      <c r="E147">
        <v>35.057444047336908</v>
      </c>
      <c r="F147">
        <v>35</v>
      </c>
      <c r="G147">
        <v>0</v>
      </c>
      <c r="H147">
        <v>96</v>
      </c>
      <c r="I147">
        <v>7705</v>
      </c>
      <c r="J147">
        <v>7705</v>
      </c>
    </row>
    <row r="149" spans="1:10" ht="30">
      <c r="A149" s="22" t="s">
        <v>241</v>
      </c>
    </row>
    <row r="150" spans="1:10">
      <c r="A150" t="s">
        <v>184</v>
      </c>
      <c r="B150" t="s">
        <v>185</v>
      </c>
      <c r="C150" t="s">
        <v>186</v>
      </c>
      <c r="D150" t="s">
        <v>187</v>
      </c>
      <c r="E150" t="s">
        <v>188</v>
      </c>
      <c r="F150" t="s">
        <v>189</v>
      </c>
      <c r="G150" t="s">
        <v>190</v>
      </c>
      <c r="H150" t="s">
        <v>191</v>
      </c>
      <c r="I150" t="s">
        <v>192</v>
      </c>
      <c r="J150" t="s">
        <v>193</v>
      </c>
    </row>
    <row r="151" spans="1:10">
      <c r="A151" t="s">
        <v>194</v>
      </c>
      <c r="B151" t="s">
        <v>195</v>
      </c>
      <c r="C151" t="s">
        <v>207</v>
      </c>
      <c r="D151" t="s">
        <v>208</v>
      </c>
      <c r="E151">
        <v>45.506701836289892</v>
      </c>
      <c r="F151">
        <v>48</v>
      </c>
      <c r="G151">
        <v>0</v>
      </c>
      <c r="H151">
        <v>96</v>
      </c>
      <c r="I151">
        <v>939</v>
      </c>
      <c r="J151">
        <v>7705</v>
      </c>
    </row>
    <row r="152" spans="1:10">
      <c r="A152" t="s">
        <v>194</v>
      </c>
      <c r="B152" t="s">
        <v>195</v>
      </c>
      <c r="C152" t="s">
        <v>209</v>
      </c>
      <c r="D152" t="s">
        <v>208</v>
      </c>
      <c r="E152">
        <v>32.352318371392627</v>
      </c>
      <c r="F152">
        <v>33</v>
      </c>
      <c r="G152">
        <v>0</v>
      </c>
      <c r="H152">
        <v>89</v>
      </c>
      <c r="I152">
        <v>2450</v>
      </c>
      <c r="J152">
        <v>7705</v>
      </c>
    </row>
    <row r="153" spans="1:10">
      <c r="A153" t="s">
        <v>194</v>
      </c>
      <c r="B153" t="s">
        <v>199</v>
      </c>
      <c r="C153" t="s">
        <v>207</v>
      </c>
      <c r="D153" t="s">
        <v>208</v>
      </c>
      <c r="E153">
        <v>42.119287019932123</v>
      </c>
      <c r="F153">
        <v>41</v>
      </c>
      <c r="G153">
        <v>0</v>
      </c>
      <c r="H153">
        <v>91</v>
      </c>
      <c r="I153">
        <v>870</v>
      </c>
      <c r="J153">
        <v>7705</v>
      </c>
    </row>
    <row r="154" spans="1:10">
      <c r="A154" t="s">
        <v>194</v>
      </c>
      <c r="B154" t="s">
        <v>199</v>
      </c>
      <c r="C154" t="s">
        <v>209</v>
      </c>
      <c r="D154" t="s">
        <v>208</v>
      </c>
      <c r="E154">
        <v>33.243345505301008</v>
      </c>
      <c r="F154">
        <v>35</v>
      </c>
      <c r="G154">
        <v>0</v>
      </c>
      <c r="H154">
        <v>93</v>
      </c>
      <c r="I154">
        <v>3446</v>
      </c>
      <c r="J154">
        <v>7705</v>
      </c>
    </row>
    <row r="155" spans="1:10">
      <c r="A155" t="s">
        <v>200</v>
      </c>
      <c r="B155" t="s">
        <v>200</v>
      </c>
      <c r="C155" t="s">
        <v>200</v>
      </c>
      <c r="D155" t="s">
        <v>200</v>
      </c>
      <c r="E155">
        <v>35.057444047336908</v>
      </c>
      <c r="F155">
        <v>35</v>
      </c>
      <c r="G155">
        <v>0</v>
      </c>
      <c r="H155">
        <v>96</v>
      </c>
      <c r="I155">
        <v>7705</v>
      </c>
      <c r="J155">
        <v>7705</v>
      </c>
    </row>
    <row r="157" spans="1:10" ht="30">
      <c r="A157" s="22" t="s">
        <v>242</v>
      </c>
    </row>
    <row r="158" spans="1:10">
      <c r="A158" t="s">
        <v>184</v>
      </c>
      <c r="B158" t="s">
        <v>185</v>
      </c>
      <c r="C158" t="s">
        <v>188</v>
      </c>
      <c r="D158" t="s">
        <v>189</v>
      </c>
      <c r="E158" t="s">
        <v>190</v>
      </c>
      <c r="F158" t="s">
        <v>191</v>
      </c>
      <c r="G158" t="s">
        <v>192</v>
      </c>
      <c r="H158" t="s">
        <v>193</v>
      </c>
    </row>
    <row r="159" spans="1:10">
      <c r="A159" t="s">
        <v>194</v>
      </c>
      <c r="B159" t="s">
        <v>195</v>
      </c>
      <c r="C159">
        <v>35.844424531878857</v>
      </c>
      <c r="D159">
        <v>35</v>
      </c>
      <c r="E159">
        <v>0</v>
      </c>
      <c r="F159">
        <v>96</v>
      </c>
      <c r="G159">
        <v>3389</v>
      </c>
      <c r="H159">
        <v>7705</v>
      </c>
    </row>
    <row r="160" spans="1:10">
      <c r="A160" t="s">
        <v>194</v>
      </c>
      <c r="B160" t="s">
        <v>199</v>
      </c>
      <c r="C160">
        <v>34.439361847653373</v>
      </c>
      <c r="D160">
        <v>35</v>
      </c>
      <c r="E160">
        <v>0</v>
      </c>
      <c r="F160">
        <v>93</v>
      </c>
      <c r="G160">
        <v>4316</v>
      </c>
      <c r="H160">
        <v>7705</v>
      </c>
    </row>
    <row r="161" spans="1:10">
      <c r="A161" t="s">
        <v>200</v>
      </c>
      <c r="B161" t="s">
        <v>200</v>
      </c>
      <c r="C161">
        <v>35.057444047336908</v>
      </c>
      <c r="D161">
        <v>35</v>
      </c>
      <c r="E161">
        <v>0</v>
      </c>
      <c r="F161">
        <v>96</v>
      </c>
      <c r="G161">
        <v>7705</v>
      </c>
      <c r="H161">
        <v>7705</v>
      </c>
    </row>
    <row r="163" spans="1:10" ht="30">
      <c r="A163" s="22" t="s">
        <v>243</v>
      </c>
    </row>
    <row r="164" spans="1:10">
      <c r="A164" t="s">
        <v>184</v>
      </c>
      <c r="B164" t="s">
        <v>185</v>
      </c>
      <c r="C164" t="s">
        <v>186</v>
      </c>
      <c r="D164" t="s">
        <v>187</v>
      </c>
      <c r="E164" t="s">
        <v>188</v>
      </c>
      <c r="F164" t="s">
        <v>189</v>
      </c>
      <c r="G164" t="s">
        <v>190</v>
      </c>
      <c r="H164" t="s">
        <v>191</v>
      </c>
      <c r="I164" t="s">
        <v>192</v>
      </c>
      <c r="J164" t="s">
        <v>193</v>
      </c>
    </row>
    <row r="165" spans="1:10">
      <c r="A165" t="s">
        <v>194</v>
      </c>
      <c r="B165" t="s">
        <v>195</v>
      </c>
      <c r="C165" t="s">
        <v>212</v>
      </c>
      <c r="D165" t="s">
        <v>213</v>
      </c>
      <c r="E165">
        <v>35.86363955260753</v>
      </c>
      <c r="F165">
        <v>35</v>
      </c>
      <c r="G165">
        <v>0</v>
      </c>
      <c r="H165">
        <v>96</v>
      </c>
      <c r="I165">
        <v>2447</v>
      </c>
      <c r="J165">
        <v>7705</v>
      </c>
    </row>
    <row r="166" spans="1:10">
      <c r="A166" t="s">
        <v>194</v>
      </c>
      <c r="B166" t="s">
        <v>195</v>
      </c>
      <c r="C166" t="s">
        <v>214</v>
      </c>
      <c r="D166" t="s">
        <v>213</v>
      </c>
      <c r="E166">
        <v>54.538711855398091</v>
      </c>
      <c r="F166">
        <v>57</v>
      </c>
      <c r="G166">
        <v>19</v>
      </c>
      <c r="H166">
        <v>89</v>
      </c>
      <c r="I166">
        <v>181</v>
      </c>
      <c r="J166">
        <v>7705</v>
      </c>
    </row>
    <row r="167" spans="1:10">
      <c r="A167" t="s">
        <v>194</v>
      </c>
      <c r="B167" t="s">
        <v>195</v>
      </c>
      <c r="C167" t="s">
        <v>215</v>
      </c>
      <c r="D167" t="s">
        <v>213</v>
      </c>
      <c r="E167">
        <v>29.15143411667411</v>
      </c>
      <c r="F167">
        <v>26</v>
      </c>
      <c r="G167">
        <v>0</v>
      </c>
      <c r="H167">
        <v>96</v>
      </c>
      <c r="I167">
        <v>761</v>
      </c>
      <c r="J167">
        <v>7705</v>
      </c>
    </row>
    <row r="168" spans="1:10">
      <c r="A168" t="s">
        <v>194</v>
      </c>
      <c r="B168" t="s">
        <v>199</v>
      </c>
      <c r="C168" t="s">
        <v>212</v>
      </c>
      <c r="D168" t="s">
        <v>213</v>
      </c>
      <c r="E168">
        <v>34.093484585952297</v>
      </c>
      <c r="F168">
        <v>35</v>
      </c>
      <c r="G168">
        <v>0</v>
      </c>
      <c r="H168">
        <v>93</v>
      </c>
      <c r="I168">
        <v>3161</v>
      </c>
      <c r="J168">
        <v>7705</v>
      </c>
    </row>
    <row r="169" spans="1:10">
      <c r="A169" t="s">
        <v>194</v>
      </c>
      <c r="B169" t="s">
        <v>199</v>
      </c>
      <c r="C169" t="s">
        <v>214</v>
      </c>
      <c r="D169" t="s">
        <v>213</v>
      </c>
      <c r="E169">
        <v>47.92822758918328</v>
      </c>
      <c r="F169">
        <v>51</v>
      </c>
      <c r="G169">
        <v>20</v>
      </c>
      <c r="H169">
        <v>87</v>
      </c>
      <c r="I169">
        <v>197</v>
      </c>
      <c r="J169">
        <v>7705</v>
      </c>
    </row>
    <row r="170" spans="1:10">
      <c r="A170" t="s">
        <v>194</v>
      </c>
      <c r="B170" t="s">
        <v>199</v>
      </c>
      <c r="C170" t="s">
        <v>215</v>
      </c>
      <c r="D170" t="s">
        <v>213</v>
      </c>
      <c r="E170">
        <v>31.636686954635429</v>
      </c>
      <c r="F170">
        <v>33</v>
      </c>
      <c r="G170">
        <v>0</v>
      </c>
      <c r="H170">
        <v>87</v>
      </c>
      <c r="I170">
        <v>958</v>
      </c>
      <c r="J170">
        <v>7705</v>
      </c>
    </row>
    <row r="171" spans="1:10">
      <c r="A171" t="s">
        <v>200</v>
      </c>
      <c r="B171" t="s">
        <v>200</v>
      </c>
      <c r="C171" t="s">
        <v>200</v>
      </c>
      <c r="D171" t="s">
        <v>200</v>
      </c>
      <c r="E171">
        <v>35.057444047336908</v>
      </c>
      <c r="F171">
        <v>35</v>
      </c>
      <c r="G171">
        <v>0</v>
      </c>
      <c r="H171">
        <v>96</v>
      </c>
      <c r="I171">
        <v>7705</v>
      </c>
      <c r="J171">
        <v>7705</v>
      </c>
    </row>
    <row r="173" spans="1:10" ht="30">
      <c r="A173" s="22" t="s">
        <v>244</v>
      </c>
    </row>
    <row r="174" spans="1:10">
      <c r="A174" t="s">
        <v>184</v>
      </c>
      <c r="B174" t="s">
        <v>185</v>
      </c>
      <c r="C174" t="s">
        <v>186</v>
      </c>
      <c r="D174" t="s">
        <v>187</v>
      </c>
      <c r="E174" t="s">
        <v>188</v>
      </c>
      <c r="F174" t="s">
        <v>189</v>
      </c>
      <c r="G174" t="s">
        <v>190</v>
      </c>
      <c r="H174" t="s">
        <v>191</v>
      </c>
      <c r="I174" t="s">
        <v>192</v>
      </c>
      <c r="J174" t="s">
        <v>193</v>
      </c>
    </row>
    <row r="175" spans="1:10">
      <c r="A175" t="s">
        <v>194</v>
      </c>
      <c r="B175" t="s">
        <v>195</v>
      </c>
      <c r="C175" t="s">
        <v>217</v>
      </c>
      <c r="D175" t="s">
        <v>218</v>
      </c>
      <c r="E175">
        <v>35.50474533401033</v>
      </c>
      <c r="F175">
        <v>35</v>
      </c>
      <c r="G175">
        <v>0</v>
      </c>
      <c r="H175">
        <v>96</v>
      </c>
      <c r="I175">
        <v>1693</v>
      </c>
      <c r="J175">
        <v>7705</v>
      </c>
    </row>
    <row r="176" spans="1:10">
      <c r="A176" t="s">
        <v>194</v>
      </c>
      <c r="B176" t="s">
        <v>195</v>
      </c>
      <c r="C176" t="s">
        <v>219</v>
      </c>
      <c r="D176" t="s">
        <v>218</v>
      </c>
      <c r="E176">
        <v>36.691664628672207</v>
      </c>
      <c r="F176">
        <v>35</v>
      </c>
      <c r="G176">
        <v>0</v>
      </c>
      <c r="H176">
        <v>96</v>
      </c>
      <c r="I176">
        <v>1201</v>
      </c>
      <c r="J176">
        <v>7705</v>
      </c>
    </row>
    <row r="177" spans="1:10">
      <c r="A177" t="s">
        <v>194</v>
      </c>
      <c r="B177" t="s">
        <v>195</v>
      </c>
      <c r="C177" t="s">
        <v>220</v>
      </c>
      <c r="D177" t="s">
        <v>218</v>
      </c>
      <c r="E177">
        <v>35.184064287064459</v>
      </c>
      <c r="F177">
        <v>35</v>
      </c>
      <c r="G177">
        <v>0</v>
      </c>
      <c r="H177">
        <v>96</v>
      </c>
      <c r="I177">
        <v>488</v>
      </c>
      <c r="J177">
        <v>7705</v>
      </c>
    </row>
    <row r="178" spans="1:10">
      <c r="A178" t="s">
        <v>194</v>
      </c>
      <c r="B178" t="s">
        <v>199</v>
      </c>
      <c r="C178" t="s">
        <v>217</v>
      </c>
      <c r="D178" t="s">
        <v>218</v>
      </c>
      <c r="E178">
        <v>34.07670816183397</v>
      </c>
      <c r="F178">
        <v>36</v>
      </c>
      <c r="G178">
        <v>0</v>
      </c>
      <c r="H178">
        <v>91</v>
      </c>
      <c r="I178">
        <v>2672</v>
      </c>
      <c r="J178">
        <v>7705</v>
      </c>
    </row>
    <row r="179" spans="1:10">
      <c r="A179" t="s">
        <v>194</v>
      </c>
      <c r="B179" t="s">
        <v>199</v>
      </c>
      <c r="C179" t="s">
        <v>219</v>
      </c>
      <c r="D179" t="s">
        <v>218</v>
      </c>
      <c r="E179">
        <v>37.530212096278937</v>
      </c>
      <c r="F179">
        <v>36</v>
      </c>
      <c r="G179">
        <v>0</v>
      </c>
      <c r="H179">
        <v>93</v>
      </c>
      <c r="I179">
        <v>1043</v>
      </c>
      <c r="J179">
        <v>7705</v>
      </c>
    </row>
    <row r="180" spans="1:10">
      <c r="A180" t="s">
        <v>194</v>
      </c>
      <c r="B180" t="s">
        <v>199</v>
      </c>
      <c r="C180" t="s">
        <v>220</v>
      </c>
      <c r="D180" t="s">
        <v>218</v>
      </c>
      <c r="E180">
        <v>32.404216038482978</v>
      </c>
      <c r="F180">
        <v>32</v>
      </c>
      <c r="G180">
        <v>0</v>
      </c>
      <c r="H180">
        <v>91</v>
      </c>
      <c r="I180">
        <v>601</v>
      </c>
      <c r="J180">
        <v>7705</v>
      </c>
    </row>
    <row r="181" spans="1:10">
      <c r="A181" t="s">
        <v>200</v>
      </c>
      <c r="B181" t="s">
        <v>200</v>
      </c>
      <c r="C181" t="s">
        <v>200</v>
      </c>
      <c r="D181" t="s">
        <v>200</v>
      </c>
      <c r="E181">
        <v>35.057444047336908</v>
      </c>
      <c r="F181">
        <v>35</v>
      </c>
      <c r="G181">
        <v>0</v>
      </c>
      <c r="H181">
        <v>96</v>
      </c>
      <c r="I181">
        <v>7705</v>
      </c>
      <c r="J181">
        <v>7705</v>
      </c>
    </row>
    <row r="183" spans="1:10" ht="30">
      <c r="A183" s="22" t="s">
        <v>245</v>
      </c>
    </row>
    <row r="184" spans="1:10">
      <c r="A184" t="s">
        <v>185</v>
      </c>
      <c r="B184" t="s">
        <v>186</v>
      </c>
      <c r="C184" t="s">
        <v>192</v>
      </c>
      <c r="D184" t="s">
        <v>184</v>
      </c>
      <c r="E184" t="s">
        <v>193</v>
      </c>
      <c r="F184" t="s">
        <v>246</v>
      </c>
      <c r="G184" t="s">
        <v>247</v>
      </c>
      <c r="H184" t="s">
        <v>248</v>
      </c>
    </row>
    <row r="185" spans="1:10">
      <c r="A185" t="s">
        <v>195</v>
      </c>
      <c r="B185" t="s">
        <v>196</v>
      </c>
      <c r="C185">
        <v>1249</v>
      </c>
      <c r="D185" t="s">
        <v>194</v>
      </c>
      <c r="E185">
        <v>7705</v>
      </c>
      <c r="F185" s="3">
        <v>0.41909999999999997</v>
      </c>
      <c r="G185" s="3">
        <v>0</v>
      </c>
      <c r="H185" s="3">
        <v>0.58079999999999998</v>
      </c>
    </row>
    <row r="186" spans="1:10">
      <c r="A186" t="s">
        <v>195</v>
      </c>
      <c r="B186" t="s">
        <v>198</v>
      </c>
      <c r="C186">
        <v>2078</v>
      </c>
      <c r="D186" t="s">
        <v>194</v>
      </c>
      <c r="E186">
        <v>7705</v>
      </c>
      <c r="F186" s="3">
        <v>0.41860000000000003</v>
      </c>
      <c r="H186" s="3">
        <v>0.58140000000000003</v>
      </c>
    </row>
    <row r="187" spans="1:10">
      <c r="A187" t="s">
        <v>199</v>
      </c>
      <c r="B187" t="s">
        <v>196</v>
      </c>
      <c r="C187">
        <v>1657</v>
      </c>
      <c r="D187" t="s">
        <v>194</v>
      </c>
      <c r="E187">
        <v>7705</v>
      </c>
      <c r="F187" s="3">
        <v>0.44719999999999999</v>
      </c>
      <c r="H187" s="3">
        <v>0.55279999999999996</v>
      </c>
    </row>
    <row r="188" spans="1:10">
      <c r="A188" t="s">
        <v>199</v>
      </c>
      <c r="B188" t="s">
        <v>198</v>
      </c>
      <c r="C188">
        <v>2606</v>
      </c>
      <c r="D188" t="s">
        <v>194</v>
      </c>
      <c r="E188">
        <v>7705</v>
      </c>
      <c r="F188" s="3">
        <v>0.46379999999999999</v>
      </c>
      <c r="H188" s="3">
        <v>0.53620000000000001</v>
      </c>
    </row>
    <row r="189" spans="1:10">
      <c r="A189" t="s">
        <v>200</v>
      </c>
      <c r="B189" t="s">
        <v>200</v>
      </c>
      <c r="C189">
        <v>7705</v>
      </c>
      <c r="D189" t="s">
        <v>200</v>
      </c>
      <c r="E189">
        <v>7705</v>
      </c>
      <c r="F189" s="3">
        <v>0.44219999999999998</v>
      </c>
      <c r="G189" s="3">
        <v>0</v>
      </c>
      <c r="H189" s="3">
        <v>0.55779999999999996</v>
      </c>
    </row>
    <row r="191" spans="1:10" ht="45">
      <c r="A191" s="22" t="s">
        <v>249</v>
      </c>
    </row>
    <row r="192" spans="1:10">
      <c r="A192" t="s">
        <v>185</v>
      </c>
      <c r="B192" t="s">
        <v>186</v>
      </c>
      <c r="C192" t="s">
        <v>192</v>
      </c>
      <c r="D192" t="s">
        <v>184</v>
      </c>
      <c r="E192" t="s">
        <v>193</v>
      </c>
      <c r="F192" t="s">
        <v>246</v>
      </c>
      <c r="G192" t="s">
        <v>247</v>
      </c>
      <c r="H192" t="s">
        <v>248</v>
      </c>
    </row>
    <row r="193" spans="1:8">
      <c r="A193" t="s">
        <v>195</v>
      </c>
      <c r="B193" t="s">
        <v>202</v>
      </c>
      <c r="C193">
        <v>1493</v>
      </c>
      <c r="D193" t="s">
        <v>194</v>
      </c>
      <c r="E193">
        <v>7705</v>
      </c>
      <c r="F193" s="3">
        <v>0.4153</v>
      </c>
      <c r="H193" s="3">
        <v>0.5847</v>
      </c>
    </row>
    <row r="194" spans="1:8">
      <c r="A194" t="s">
        <v>195</v>
      </c>
      <c r="B194" t="s">
        <v>204</v>
      </c>
      <c r="C194">
        <v>902</v>
      </c>
      <c r="D194" t="s">
        <v>194</v>
      </c>
      <c r="E194">
        <v>7705</v>
      </c>
      <c r="F194" s="3">
        <v>0.39479999999999998</v>
      </c>
      <c r="H194" s="3">
        <v>0.60519999999999996</v>
      </c>
    </row>
    <row r="195" spans="1:8">
      <c r="A195" t="s">
        <v>195</v>
      </c>
      <c r="B195" t="s">
        <v>205</v>
      </c>
      <c r="C195">
        <v>932</v>
      </c>
      <c r="D195" t="s">
        <v>194</v>
      </c>
      <c r="E195">
        <v>7705</v>
      </c>
      <c r="F195" s="3">
        <v>0.47120000000000001</v>
      </c>
      <c r="G195" s="3">
        <v>1E-4</v>
      </c>
      <c r="H195" s="3">
        <v>0.52869999999999995</v>
      </c>
    </row>
    <row r="196" spans="1:8">
      <c r="A196" t="s">
        <v>199</v>
      </c>
      <c r="B196" t="s">
        <v>202</v>
      </c>
      <c r="C196">
        <v>1572</v>
      </c>
      <c r="D196" t="s">
        <v>194</v>
      </c>
      <c r="E196">
        <v>7705</v>
      </c>
      <c r="F196" s="3">
        <v>0.45900000000000002</v>
      </c>
      <c r="H196" s="3">
        <v>0.54100000000000004</v>
      </c>
    </row>
    <row r="197" spans="1:8">
      <c r="A197" t="s">
        <v>199</v>
      </c>
      <c r="B197" t="s">
        <v>204</v>
      </c>
      <c r="C197">
        <v>1227</v>
      </c>
      <c r="D197" t="s">
        <v>194</v>
      </c>
      <c r="E197">
        <v>7705</v>
      </c>
      <c r="F197" s="3">
        <v>0.48470000000000002</v>
      </c>
      <c r="H197" s="3">
        <v>0.51529999999999998</v>
      </c>
    </row>
    <row r="198" spans="1:8">
      <c r="A198" t="s">
        <v>199</v>
      </c>
      <c r="B198" t="s">
        <v>205</v>
      </c>
      <c r="C198">
        <v>1464</v>
      </c>
      <c r="D198" t="s">
        <v>194</v>
      </c>
      <c r="E198">
        <v>7705</v>
      </c>
      <c r="F198" s="3">
        <v>0.436</v>
      </c>
      <c r="H198" s="3">
        <v>0.56399999999999995</v>
      </c>
    </row>
    <row r="199" spans="1:8">
      <c r="A199" t="s">
        <v>200</v>
      </c>
      <c r="B199" t="s">
        <v>200</v>
      </c>
      <c r="C199">
        <v>7705</v>
      </c>
      <c r="D199" t="s">
        <v>200</v>
      </c>
      <c r="E199">
        <v>7705</v>
      </c>
      <c r="F199" s="3">
        <v>0.44219999999999998</v>
      </c>
      <c r="G199" s="3">
        <v>0</v>
      </c>
      <c r="H199" s="3">
        <v>0.55779999999999996</v>
      </c>
    </row>
    <row r="201" spans="1:8" ht="30">
      <c r="A201" s="22" t="s">
        <v>250</v>
      </c>
    </row>
    <row r="202" spans="1:8">
      <c r="A202" t="s">
        <v>185</v>
      </c>
      <c r="B202" t="s">
        <v>186</v>
      </c>
      <c r="C202" t="s">
        <v>192</v>
      </c>
      <c r="D202" t="s">
        <v>184</v>
      </c>
      <c r="E202" t="s">
        <v>193</v>
      </c>
      <c r="F202" t="s">
        <v>246</v>
      </c>
      <c r="G202" t="s">
        <v>247</v>
      </c>
      <c r="H202" t="s">
        <v>248</v>
      </c>
    </row>
    <row r="203" spans="1:8">
      <c r="A203" t="s">
        <v>195</v>
      </c>
      <c r="B203" t="s">
        <v>207</v>
      </c>
      <c r="C203">
        <v>939</v>
      </c>
      <c r="D203" t="s">
        <v>194</v>
      </c>
      <c r="E203">
        <v>7705</v>
      </c>
      <c r="F203" s="3">
        <v>0.40400000000000003</v>
      </c>
      <c r="G203" s="3">
        <v>0</v>
      </c>
      <c r="H203" s="3">
        <v>0.59589999999999999</v>
      </c>
    </row>
    <row r="204" spans="1:8">
      <c r="A204" t="s">
        <v>195</v>
      </c>
      <c r="B204" t="s">
        <v>209</v>
      </c>
      <c r="C204">
        <v>2450</v>
      </c>
      <c r="D204" t="s">
        <v>194</v>
      </c>
      <c r="E204">
        <v>7705</v>
      </c>
      <c r="F204" s="3">
        <v>0.42430000000000001</v>
      </c>
      <c r="H204" s="3">
        <v>0.57569999999999999</v>
      </c>
    </row>
    <row r="205" spans="1:8">
      <c r="A205" t="s">
        <v>199</v>
      </c>
      <c r="B205" t="s">
        <v>207</v>
      </c>
      <c r="C205">
        <v>870</v>
      </c>
      <c r="D205" t="s">
        <v>194</v>
      </c>
      <c r="E205">
        <v>7705</v>
      </c>
      <c r="F205" s="3">
        <v>0.46539999999999998</v>
      </c>
      <c r="H205" s="3">
        <v>0.53459999999999996</v>
      </c>
    </row>
    <row r="206" spans="1:8">
      <c r="A206" t="s">
        <v>199</v>
      </c>
      <c r="B206" t="s">
        <v>209</v>
      </c>
      <c r="C206">
        <v>3446</v>
      </c>
      <c r="D206" t="s">
        <v>194</v>
      </c>
      <c r="E206">
        <v>7705</v>
      </c>
      <c r="F206" s="3">
        <v>0.4597</v>
      </c>
      <c r="H206" s="3">
        <v>0.5403</v>
      </c>
    </row>
    <row r="207" spans="1:8">
      <c r="A207" t="s">
        <v>200</v>
      </c>
      <c r="B207" t="s">
        <v>200</v>
      </c>
      <c r="C207">
        <v>7705</v>
      </c>
      <c r="D207" t="s">
        <v>200</v>
      </c>
      <c r="E207">
        <v>7705</v>
      </c>
      <c r="F207" s="3">
        <v>0.44219999999999998</v>
      </c>
      <c r="G207" s="3">
        <v>0</v>
      </c>
      <c r="H207" s="3">
        <v>0.55779999999999996</v>
      </c>
    </row>
    <row r="209" spans="1:8" ht="30">
      <c r="A209" s="22" t="s">
        <v>251</v>
      </c>
    </row>
    <row r="210" spans="1:8">
      <c r="A210" t="s">
        <v>185</v>
      </c>
      <c r="B210" t="s">
        <v>192</v>
      </c>
      <c r="C210" t="s">
        <v>184</v>
      </c>
      <c r="D210" t="s">
        <v>193</v>
      </c>
      <c r="E210" t="s">
        <v>246</v>
      </c>
      <c r="F210" t="s">
        <v>247</v>
      </c>
      <c r="G210" t="s">
        <v>248</v>
      </c>
    </row>
    <row r="211" spans="1:8">
      <c r="A211" t="s">
        <v>195</v>
      </c>
      <c r="B211">
        <v>3389</v>
      </c>
      <c r="C211" t="s">
        <v>194</v>
      </c>
      <c r="D211">
        <v>7705</v>
      </c>
      <c r="E211" s="3">
        <v>0.41889999999999999</v>
      </c>
      <c r="F211" s="3">
        <v>0</v>
      </c>
      <c r="G211" s="3">
        <v>0.58109999999999995</v>
      </c>
    </row>
    <row r="212" spans="1:8">
      <c r="A212" t="s">
        <v>199</v>
      </c>
      <c r="B212">
        <v>4316</v>
      </c>
      <c r="C212" t="s">
        <v>194</v>
      </c>
      <c r="D212">
        <v>7705</v>
      </c>
      <c r="E212" s="3">
        <v>0.46050000000000002</v>
      </c>
      <c r="G212" s="3">
        <v>0.53949999999999998</v>
      </c>
    </row>
    <row r="213" spans="1:8">
      <c r="A213" t="s">
        <v>200</v>
      </c>
      <c r="B213">
        <v>7705</v>
      </c>
      <c r="C213" t="s">
        <v>200</v>
      </c>
      <c r="D213">
        <v>7705</v>
      </c>
      <c r="E213" s="3">
        <v>0.44219999999999998</v>
      </c>
      <c r="F213" s="3">
        <v>0</v>
      </c>
      <c r="G213" s="3">
        <v>0.55779999999999996</v>
      </c>
    </row>
    <row r="215" spans="1:8" ht="30">
      <c r="A215" s="22" t="s">
        <v>252</v>
      </c>
    </row>
    <row r="216" spans="1:8">
      <c r="A216" t="s">
        <v>185</v>
      </c>
      <c r="B216" t="s">
        <v>186</v>
      </c>
      <c r="C216" t="s">
        <v>192</v>
      </c>
      <c r="D216" t="s">
        <v>184</v>
      </c>
      <c r="E216" t="s">
        <v>193</v>
      </c>
      <c r="F216" t="s">
        <v>246</v>
      </c>
      <c r="G216" t="s">
        <v>247</v>
      </c>
      <c r="H216" t="s">
        <v>248</v>
      </c>
    </row>
    <row r="217" spans="1:8">
      <c r="A217" t="s">
        <v>195</v>
      </c>
      <c r="B217" t="s">
        <v>212</v>
      </c>
      <c r="C217">
        <v>2447</v>
      </c>
      <c r="D217" t="s">
        <v>194</v>
      </c>
      <c r="E217">
        <v>7705</v>
      </c>
      <c r="F217" s="3">
        <v>0.42120000000000002</v>
      </c>
      <c r="H217" s="3">
        <v>0.57879999999999998</v>
      </c>
    </row>
    <row r="218" spans="1:8">
      <c r="A218" t="s">
        <v>195</v>
      </c>
      <c r="B218" t="s">
        <v>214</v>
      </c>
      <c r="C218">
        <v>181</v>
      </c>
      <c r="D218" t="s">
        <v>194</v>
      </c>
      <c r="E218">
        <v>7705</v>
      </c>
      <c r="F218" s="3">
        <v>0.3503</v>
      </c>
      <c r="H218" s="3">
        <v>0.64970000000000006</v>
      </c>
    </row>
    <row r="219" spans="1:8">
      <c r="A219" t="s">
        <v>195</v>
      </c>
      <c r="B219" t="s">
        <v>215</v>
      </c>
      <c r="C219">
        <v>761</v>
      </c>
      <c r="D219" t="s">
        <v>194</v>
      </c>
      <c r="E219">
        <v>7705</v>
      </c>
      <c r="F219" s="3">
        <v>0.43309999999999998</v>
      </c>
      <c r="G219" s="3">
        <v>1E-4</v>
      </c>
      <c r="H219" s="3">
        <v>0.56679999999999997</v>
      </c>
    </row>
    <row r="220" spans="1:8">
      <c r="A220" t="s">
        <v>199</v>
      </c>
      <c r="B220" t="s">
        <v>212</v>
      </c>
      <c r="C220">
        <v>3161</v>
      </c>
      <c r="D220" t="s">
        <v>194</v>
      </c>
      <c r="E220">
        <v>7705</v>
      </c>
      <c r="F220" s="3">
        <v>0.46850000000000003</v>
      </c>
      <c r="H220" s="3">
        <v>0.53149999999999997</v>
      </c>
    </row>
    <row r="221" spans="1:8">
      <c r="A221" t="s">
        <v>199</v>
      </c>
      <c r="B221" t="s">
        <v>214</v>
      </c>
      <c r="C221">
        <v>197</v>
      </c>
      <c r="D221" t="s">
        <v>194</v>
      </c>
      <c r="E221">
        <v>7705</v>
      </c>
      <c r="F221" s="3">
        <v>0.2382</v>
      </c>
      <c r="H221" s="3">
        <v>0.76180000000000003</v>
      </c>
    </row>
    <row r="222" spans="1:8">
      <c r="A222" t="s">
        <v>199</v>
      </c>
      <c r="B222" t="s">
        <v>215</v>
      </c>
      <c r="C222">
        <v>958</v>
      </c>
      <c r="D222" t="s">
        <v>194</v>
      </c>
      <c r="E222">
        <v>7705</v>
      </c>
      <c r="F222" s="3">
        <v>0.4955</v>
      </c>
      <c r="H222" s="3">
        <v>0.50449999999999995</v>
      </c>
    </row>
    <row r="223" spans="1:8">
      <c r="A223" t="s">
        <v>200</v>
      </c>
      <c r="B223" t="s">
        <v>200</v>
      </c>
      <c r="C223">
        <v>7705</v>
      </c>
      <c r="D223" t="s">
        <v>200</v>
      </c>
      <c r="E223">
        <v>7705</v>
      </c>
      <c r="F223" s="3">
        <v>0.44219999999999998</v>
      </c>
      <c r="G223" s="3">
        <v>0</v>
      </c>
      <c r="H223" s="3">
        <v>0.55779999999999996</v>
      </c>
    </row>
    <row r="225" spans="1:15" ht="30">
      <c r="A225" s="22" t="s">
        <v>253</v>
      </c>
    </row>
    <row r="226" spans="1:15">
      <c r="A226" t="s">
        <v>185</v>
      </c>
      <c r="B226" t="s">
        <v>186</v>
      </c>
      <c r="C226" t="s">
        <v>192</v>
      </c>
      <c r="D226" t="s">
        <v>184</v>
      </c>
      <c r="E226" t="s">
        <v>193</v>
      </c>
      <c r="F226" t="s">
        <v>246</v>
      </c>
      <c r="G226" t="s">
        <v>247</v>
      </c>
      <c r="H226" t="s">
        <v>248</v>
      </c>
    </row>
    <row r="227" spans="1:15">
      <c r="A227" t="s">
        <v>195</v>
      </c>
      <c r="B227" t="s">
        <v>217</v>
      </c>
      <c r="C227">
        <v>1693</v>
      </c>
      <c r="D227" t="s">
        <v>194</v>
      </c>
      <c r="E227">
        <v>7705</v>
      </c>
      <c r="F227" s="3">
        <v>0.4501</v>
      </c>
      <c r="H227" s="3">
        <v>0.54990000000000006</v>
      </c>
    </row>
    <row r="228" spans="1:15">
      <c r="A228" t="s">
        <v>195</v>
      </c>
      <c r="B228" t="s">
        <v>219</v>
      </c>
      <c r="C228">
        <v>1201</v>
      </c>
      <c r="D228" t="s">
        <v>194</v>
      </c>
      <c r="E228">
        <v>7705</v>
      </c>
      <c r="F228" s="3">
        <v>0.29160000000000003</v>
      </c>
      <c r="H228" s="3">
        <v>0.70840000000000003</v>
      </c>
    </row>
    <row r="229" spans="1:15">
      <c r="A229" t="s">
        <v>195</v>
      </c>
      <c r="B229" t="s">
        <v>220</v>
      </c>
      <c r="C229">
        <v>488</v>
      </c>
      <c r="D229" t="s">
        <v>194</v>
      </c>
      <c r="E229">
        <v>7705</v>
      </c>
      <c r="F229" s="3">
        <v>0.57799999999999996</v>
      </c>
      <c r="H229" s="3">
        <v>0.42199999999999999</v>
      </c>
    </row>
    <row r="230" spans="1:15">
      <c r="A230" t="s">
        <v>199</v>
      </c>
      <c r="B230" t="s">
        <v>217</v>
      </c>
      <c r="C230">
        <v>2672</v>
      </c>
      <c r="D230" t="s">
        <v>194</v>
      </c>
      <c r="E230">
        <v>7705</v>
      </c>
      <c r="F230" s="3">
        <v>0.48780000000000001</v>
      </c>
      <c r="H230" s="3">
        <v>0.51219999999999999</v>
      </c>
    </row>
    <row r="231" spans="1:15">
      <c r="A231" t="s">
        <v>199</v>
      </c>
      <c r="B231" t="s">
        <v>219</v>
      </c>
      <c r="C231">
        <v>1043</v>
      </c>
      <c r="D231" t="s">
        <v>194</v>
      </c>
      <c r="E231">
        <v>7705</v>
      </c>
      <c r="F231" s="3">
        <v>0.27989999999999998</v>
      </c>
      <c r="H231" s="3">
        <v>0.72009999999999996</v>
      </c>
    </row>
    <row r="232" spans="1:15">
      <c r="A232" t="s">
        <v>199</v>
      </c>
      <c r="B232" t="s">
        <v>220</v>
      </c>
      <c r="C232">
        <v>601</v>
      </c>
      <c r="D232" t="s">
        <v>194</v>
      </c>
      <c r="E232">
        <v>7705</v>
      </c>
      <c r="F232" s="3">
        <v>0.55079999999999996</v>
      </c>
      <c r="H232" s="3">
        <v>0.44919999999999999</v>
      </c>
    </row>
    <row r="233" spans="1:15">
      <c r="A233" t="s">
        <v>200</v>
      </c>
      <c r="B233" t="s">
        <v>200</v>
      </c>
      <c r="C233">
        <v>7705</v>
      </c>
      <c r="D233" t="s">
        <v>200</v>
      </c>
      <c r="E233">
        <v>7705</v>
      </c>
      <c r="F233" s="3">
        <v>0.44219999999999998</v>
      </c>
      <c r="G233" s="3">
        <v>0</v>
      </c>
      <c r="H233" s="3">
        <v>0.55779999999999996</v>
      </c>
    </row>
    <row r="235" spans="1:15" ht="30">
      <c r="A235" s="22" t="s">
        <v>254</v>
      </c>
    </row>
    <row r="236" spans="1:15">
      <c r="A236" t="s">
        <v>185</v>
      </c>
      <c r="B236" t="s">
        <v>186</v>
      </c>
      <c r="C236" t="s">
        <v>192</v>
      </c>
      <c r="D236" t="s">
        <v>184</v>
      </c>
      <c r="E236" t="s">
        <v>193</v>
      </c>
      <c r="F236" t="s">
        <v>255</v>
      </c>
      <c r="G236" t="s">
        <v>256</v>
      </c>
      <c r="H236" t="s">
        <v>257</v>
      </c>
      <c r="I236" t="s">
        <v>258</v>
      </c>
      <c r="J236" t="s">
        <v>259</v>
      </c>
      <c r="K236" t="s">
        <v>260</v>
      </c>
      <c r="L236" t="s">
        <v>247</v>
      </c>
      <c r="M236" t="s">
        <v>261</v>
      </c>
      <c r="N236" t="s">
        <v>262</v>
      </c>
      <c r="O236" t="s">
        <v>263</v>
      </c>
    </row>
    <row r="237" spans="1:15">
      <c r="A237" t="s">
        <v>195</v>
      </c>
      <c r="B237" t="s">
        <v>196</v>
      </c>
      <c r="C237">
        <v>596</v>
      </c>
      <c r="D237" t="s">
        <v>194</v>
      </c>
      <c r="E237">
        <v>3990</v>
      </c>
      <c r="F237" s="3">
        <v>4.1799999999999997E-2</v>
      </c>
      <c r="G237" s="3">
        <v>0.1943</v>
      </c>
      <c r="H237" s="3">
        <v>1.6000000000000001E-3</v>
      </c>
      <c r="J237" s="3">
        <v>1.2999999999999999E-3</v>
      </c>
      <c r="M237" s="3">
        <v>8.9999999999999993E-3</v>
      </c>
      <c r="N237" s="3">
        <v>0.317</v>
      </c>
      <c r="O237" s="3">
        <v>0.43509999999999999</v>
      </c>
    </row>
    <row r="238" spans="1:15">
      <c r="A238" t="s">
        <v>195</v>
      </c>
      <c r="B238" t="s">
        <v>198</v>
      </c>
      <c r="C238">
        <v>1060</v>
      </c>
      <c r="D238" t="s">
        <v>194</v>
      </c>
      <c r="E238">
        <v>3990</v>
      </c>
      <c r="F238" s="3">
        <v>3.2099999999999997E-2</v>
      </c>
      <c r="G238" s="3">
        <v>0.1178</v>
      </c>
      <c r="H238" s="3">
        <v>6.9999999999999999E-4</v>
      </c>
      <c r="J238" s="3">
        <v>1.9E-3</v>
      </c>
      <c r="K238" s="3">
        <v>8.5000000000000006E-3</v>
      </c>
      <c r="L238" s="3">
        <v>5.0000000000000001E-4</v>
      </c>
      <c r="M238" s="3">
        <v>3.7000000000000002E-3</v>
      </c>
      <c r="N238" s="3">
        <v>0.5292</v>
      </c>
      <c r="O238" s="3">
        <v>0.30570000000000003</v>
      </c>
    </row>
    <row r="239" spans="1:15">
      <c r="A239" t="s">
        <v>199</v>
      </c>
      <c r="B239" t="s">
        <v>196</v>
      </c>
      <c r="C239">
        <v>805</v>
      </c>
      <c r="D239" t="s">
        <v>194</v>
      </c>
      <c r="E239">
        <v>3990</v>
      </c>
      <c r="F239" s="3">
        <v>2.9499999999999998E-2</v>
      </c>
      <c r="G239" s="3">
        <v>0.14449999999999999</v>
      </c>
      <c r="H239" s="3">
        <v>6.9999999999999999E-4</v>
      </c>
      <c r="I239" s="3">
        <v>6.9999999999999999E-4</v>
      </c>
      <c r="K239" s="3">
        <v>1.4999999999999999E-2</v>
      </c>
      <c r="L239" s="3">
        <v>3.5000000000000001E-3</v>
      </c>
      <c r="M239" s="3">
        <v>2.7000000000000001E-3</v>
      </c>
      <c r="N239" s="3">
        <v>0.41789999999999999</v>
      </c>
      <c r="O239" s="3">
        <v>0.38529999999999998</v>
      </c>
    </row>
    <row r="240" spans="1:15">
      <c r="A240" t="s">
        <v>199</v>
      </c>
      <c r="B240" t="s">
        <v>198</v>
      </c>
      <c r="C240">
        <v>1468</v>
      </c>
      <c r="D240" t="s">
        <v>194</v>
      </c>
      <c r="E240">
        <v>3990</v>
      </c>
      <c r="F240" s="3">
        <v>1.5599999999999999E-2</v>
      </c>
      <c r="G240" s="3">
        <v>6.0699999999999997E-2</v>
      </c>
      <c r="H240" s="3">
        <v>5.0000000000000001E-4</v>
      </c>
      <c r="I240" s="3">
        <v>1.6999999999999999E-3</v>
      </c>
      <c r="J240" s="3">
        <v>2.9999999999999997E-4</v>
      </c>
      <c r="K240" s="3">
        <v>9.9000000000000008E-3</v>
      </c>
      <c r="L240" s="3">
        <v>2.0000000000000001E-4</v>
      </c>
      <c r="M240" s="3">
        <v>4.4000000000000003E-3</v>
      </c>
      <c r="N240" s="3">
        <v>0.62870000000000004</v>
      </c>
      <c r="O240" s="3">
        <v>0.27810000000000001</v>
      </c>
    </row>
    <row r="241" spans="1:15">
      <c r="A241" t="s">
        <v>200</v>
      </c>
      <c r="B241" t="s">
        <v>200</v>
      </c>
      <c r="C241">
        <v>3990</v>
      </c>
      <c r="D241" t="s">
        <v>200</v>
      </c>
      <c r="E241">
        <v>3990</v>
      </c>
      <c r="F241" s="3">
        <v>2.5000000000000001E-2</v>
      </c>
      <c r="G241" s="3">
        <v>0.1024</v>
      </c>
      <c r="H241" s="3">
        <v>6.9999999999999999E-4</v>
      </c>
      <c r="I241" s="3">
        <v>8.9999999999999998E-4</v>
      </c>
      <c r="J241" s="3">
        <v>8.9999999999999998E-4</v>
      </c>
      <c r="K241" s="3">
        <v>8.8999999999999999E-3</v>
      </c>
      <c r="L241" s="3">
        <v>5.9999999999999995E-4</v>
      </c>
      <c r="M241" s="3">
        <v>4.5999999999999999E-3</v>
      </c>
      <c r="N241" s="3">
        <v>0.54049999999999998</v>
      </c>
      <c r="O241" s="3">
        <v>0.31559999999999999</v>
      </c>
    </row>
    <row r="243" spans="1:15" ht="45">
      <c r="A243" s="22" t="s">
        <v>264</v>
      </c>
    </row>
    <row r="244" spans="1:15">
      <c r="A244" t="s">
        <v>185</v>
      </c>
      <c r="B244" t="s">
        <v>186</v>
      </c>
      <c r="C244" t="s">
        <v>192</v>
      </c>
      <c r="D244" t="s">
        <v>184</v>
      </c>
      <c r="E244" t="s">
        <v>193</v>
      </c>
      <c r="F244" t="s">
        <v>255</v>
      </c>
      <c r="G244" t="s">
        <v>256</v>
      </c>
      <c r="H244" t="s">
        <v>257</v>
      </c>
      <c r="I244" t="s">
        <v>258</v>
      </c>
      <c r="J244" t="s">
        <v>259</v>
      </c>
      <c r="K244" t="s">
        <v>260</v>
      </c>
      <c r="L244" t="s">
        <v>247</v>
      </c>
      <c r="M244" t="s">
        <v>261</v>
      </c>
      <c r="N244" t="s">
        <v>262</v>
      </c>
      <c r="O244" t="s">
        <v>263</v>
      </c>
    </row>
    <row r="245" spans="1:15">
      <c r="A245" t="s">
        <v>195</v>
      </c>
      <c r="B245" t="s">
        <v>202</v>
      </c>
      <c r="C245">
        <v>764</v>
      </c>
      <c r="D245" t="s">
        <v>194</v>
      </c>
      <c r="E245">
        <v>3990</v>
      </c>
      <c r="F245" s="3">
        <v>2.5399999999999999E-2</v>
      </c>
      <c r="G245" s="3">
        <v>0.12429999999999999</v>
      </c>
      <c r="H245" s="3">
        <v>4.0000000000000002E-4</v>
      </c>
      <c r="J245" s="3">
        <v>5.0000000000000001E-4</v>
      </c>
      <c r="K245" s="3">
        <v>3.0999999999999999E-3</v>
      </c>
      <c r="L245" s="3">
        <v>5.0000000000000001E-4</v>
      </c>
      <c r="M245" s="3">
        <v>4.7999999999999996E-3</v>
      </c>
      <c r="N245" s="3">
        <v>0.51480000000000004</v>
      </c>
      <c r="O245" s="3">
        <v>0.3261</v>
      </c>
    </row>
    <row r="246" spans="1:15">
      <c r="A246" t="s">
        <v>195</v>
      </c>
      <c r="B246" t="s">
        <v>204</v>
      </c>
      <c r="C246">
        <v>432</v>
      </c>
      <c r="D246" t="s">
        <v>194</v>
      </c>
      <c r="E246">
        <v>3990</v>
      </c>
      <c r="F246" s="3">
        <v>4.19E-2</v>
      </c>
      <c r="G246" s="3">
        <v>0.1421</v>
      </c>
      <c r="H246" s="3">
        <v>8.0000000000000004E-4</v>
      </c>
      <c r="J246" s="3">
        <v>6.4999999999999997E-3</v>
      </c>
      <c r="K246" s="3">
        <v>5.1000000000000004E-3</v>
      </c>
      <c r="M246" s="3">
        <v>4.8999999999999998E-3</v>
      </c>
      <c r="N246" s="3">
        <v>0.4047</v>
      </c>
      <c r="O246" s="3">
        <v>0.39389999999999997</v>
      </c>
    </row>
    <row r="247" spans="1:15">
      <c r="A247" t="s">
        <v>195</v>
      </c>
      <c r="B247" t="s">
        <v>205</v>
      </c>
      <c r="C247">
        <v>460</v>
      </c>
      <c r="D247" t="s">
        <v>194</v>
      </c>
      <c r="E247">
        <v>3990</v>
      </c>
      <c r="F247" s="3">
        <v>6.6699999999999995E-2</v>
      </c>
      <c r="G247" s="3">
        <v>0.1993</v>
      </c>
      <c r="H247" s="3">
        <v>3.5000000000000001E-3</v>
      </c>
      <c r="K247" s="3">
        <v>2.2200000000000001E-2</v>
      </c>
      <c r="M247" s="3">
        <v>7.1999999999999998E-3</v>
      </c>
      <c r="N247" s="3">
        <v>0.37180000000000002</v>
      </c>
      <c r="O247" s="3">
        <v>0.32929999999999998</v>
      </c>
    </row>
    <row r="248" spans="1:15">
      <c r="A248" t="s">
        <v>199</v>
      </c>
      <c r="B248" t="s">
        <v>202</v>
      </c>
      <c r="C248">
        <v>863</v>
      </c>
      <c r="D248" t="s">
        <v>194</v>
      </c>
      <c r="E248">
        <v>3990</v>
      </c>
      <c r="F248" s="3">
        <v>1.77E-2</v>
      </c>
      <c r="G248" s="3">
        <v>7.8700000000000006E-2</v>
      </c>
      <c r="H248" s="3">
        <v>2.9999999999999997E-4</v>
      </c>
      <c r="I248" s="3">
        <v>2.0999999999999999E-3</v>
      </c>
      <c r="J248" s="3">
        <v>4.0000000000000002E-4</v>
      </c>
      <c r="K248" s="3">
        <v>8.3999999999999995E-3</v>
      </c>
      <c r="L248" s="3">
        <v>1E-3</v>
      </c>
      <c r="M248" s="3">
        <v>6.0000000000000001E-3</v>
      </c>
      <c r="N248" s="3">
        <v>0.63429999999999997</v>
      </c>
      <c r="O248" s="3">
        <v>0.25090000000000001</v>
      </c>
    </row>
    <row r="249" spans="1:15">
      <c r="A249" t="s">
        <v>199</v>
      </c>
      <c r="B249" t="s">
        <v>204</v>
      </c>
      <c r="C249">
        <v>660</v>
      </c>
      <c r="D249" t="s">
        <v>194</v>
      </c>
      <c r="E249">
        <v>3990</v>
      </c>
      <c r="F249" s="3">
        <v>1.6899999999999998E-2</v>
      </c>
      <c r="G249" s="3">
        <v>7.6499999999999999E-2</v>
      </c>
      <c r="H249" s="3">
        <v>1E-4</v>
      </c>
      <c r="K249" s="3">
        <v>6.7000000000000002E-3</v>
      </c>
      <c r="M249" s="3">
        <v>4.0000000000000002E-4</v>
      </c>
      <c r="N249" s="3">
        <v>0.4667</v>
      </c>
      <c r="O249" s="3">
        <v>0.43269999999999997</v>
      </c>
    </row>
    <row r="250" spans="1:15">
      <c r="A250" t="s">
        <v>199</v>
      </c>
      <c r="B250" t="s">
        <v>205</v>
      </c>
      <c r="C250">
        <v>750</v>
      </c>
      <c r="D250" t="s">
        <v>194</v>
      </c>
      <c r="E250">
        <v>3990</v>
      </c>
      <c r="F250" s="3">
        <v>2.1700000000000001E-2</v>
      </c>
      <c r="G250" s="3">
        <v>6.7199999999999996E-2</v>
      </c>
      <c r="H250" s="3">
        <v>1.6000000000000001E-3</v>
      </c>
      <c r="I250" s="3">
        <v>1E-3</v>
      </c>
      <c r="K250" s="3">
        <v>2.4400000000000002E-2</v>
      </c>
      <c r="L250" s="3">
        <v>8.0000000000000004E-4</v>
      </c>
      <c r="M250" s="3">
        <v>1.1000000000000001E-3</v>
      </c>
      <c r="N250" s="3">
        <v>0.56530000000000002</v>
      </c>
      <c r="O250" s="3">
        <v>0.31690000000000002</v>
      </c>
    </row>
    <row r="251" spans="1:15">
      <c r="A251" t="s">
        <v>200</v>
      </c>
      <c r="B251" t="s">
        <v>200</v>
      </c>
      <c r="C251">
        <v>3990</v>
      </c>
      <c r="D251" t="s">
        <v>200</v>
      </c>
      <c r="E251">
        <v>3990</v>
      </c>
      <c r="F251" s="3">
        <v>2.5000000000000001E-2</v>
      </c>
      <c r="G251" s="3">
        <v>0.1024</v>
      </c>
      <c r="H251" s="3">
        <v>6.9999999999999999E-4</v>
      </c>
      <c r="I251" s="3">
        <v>8.9999999999999998E-4</v>
      </c>
      <c r="J251" s="3">
        <v>8.9999999999999998E-4</v>
      </c>
      <c r="K251" s="3">
        <v>8.8999999999999999E-3</v>
      </c>
      <c r="L251" s="3">
        <v>5.9999999999999995E-4</v>
      </c>
      <c r="M251" s="3">
        <v>4.5999999999999999E-3</v>
      </c>
      <c r="N251" s="3">
        <v>0.54049999999999998</v>
      </c>
      <c r="O251" s="3">
        <v>0.31559999999999999</v>
      </c>
    </row>
    <row r="253" spans="1:15" ht="30">
      <c r="A253" s="22" t="s">
        <v>265</v>
      </c>
    </row>
    <row r="254" spans="1:15">
      <c r="A254" t="s">
        <v>185</v>
      </c>
      <c r="B254" t="s">
        <v>186</v>
      </c>
      <c r="C254" t="s">
        <v>192</v>
      </c>
      <c r="D254" t="s">
        <v>184</v>
      </c>
      <c r="E254" t="s">
        <v>193</v>
      </c>
      <c r="F254" t="s">
        <v>255</v>
      </c>
      <c r="G254" t="s">
        <v>256</v>
      </c>
      <c r="H254" t="s">
        <v>257</v>
      </c>
      <c r="I254" t="s">
        <v>258</v>
      </c>
      <c r="J254" t="s">
        <v>259</v>
      </c>
      <c r="K254" t="s">
        <v>260</v>
      </c>
      <c r="L254" t="s">
        <v>247</v>
      </c>
      <c r="M254" t="s">
        <v>261</v>
      </c>
      <c r="N254" t="s">
        <v>262</v>
      </c>
      <c r="O254" t="s">
        <v>263</v>
      </c>
    </row>
    <row r="255" spans="1:15">
      <c r="A255" t="s">
        <v>195</v>
      </c>
      <c r="B255" t="s">
        <v>207</v>
      </c>
      <c r="C255">
        <v>452</v>
      </c>
      <c r="D255" t="s">
        <v>194</v>
      </c>
      <c r="E255">
        <v>3990</v>
      </c>
      <c r="F255" s="3">
        <v>5.3199999999999997E-2</v>
      </c>
      <c r="G255" s="3">
        <v>0.1857</v>
      </c>
      <c r="H255" s="3">
        <v>1.8E-3</v>
      </c>
      <c r="M255" s="3">
        <v>8.3999999999999995E-3</v>
      </c>
      <c r="N255" s="3">
        <v>0.3861</v>
      </c>
      <c r="O255" s="3">
        <v>0.36470000000000002</v>
      </c>
    </row>
    <row r="256" spans="1:15">
      <c r="A256" t="s">
        <v>195</v>
      </c>
      <c r="B256" t="s">
        <v>209</v>
      </c>
      <c r="C256">
        <v>1236</v>
      </c>
      <c r="D256" t="s">
        <v>194</v>
      </c>
      <c r="E256">
        <v>3990</v>
      </c>
      <c r="F256" s="3">
        <v>2.8500000000000001E-2</v>
      </c>
      <c r="G256" s="3">
        <v>0.1235</v>
      </c>
      <c r="H256" s="3">
        <v>5.9999999999999995E-4</v>
      </c>
      <c r="J256" s="3">
        <v>2.3E-3</v>
      </c>
      <c r="K256" s="3">
        <v>8.2000000000000007E-3</v>
      </c>
      <c r="L256" s="3">
        <v>4.0000000000000002E-4</v>
      </c>
      <c r="M256" s="3">
        <v>4.3E-3</v>
      </c>
      <c r="N256" s="3">
        <v>0.50009999999999999</v>
      </c>
      <c r="O256" s="3">
        <v>0.33210000000000001</v>
      </c>
    </row>
    <row r="257" spans="1:15">
      <c r="A257" t="s">
        <v>199</v>
      </c>
      <c r="B257" t="s">
        <v>207</v>
      </c>
      <c r="C257">
        <v>428</v>
      </c>
      <c r="D257" t="s">
        <v>194</v>
      </c>
      <c r="E257">
        <v>3990</v>
      </c>
      <c r="F257" s="3">
        <v>5.5E-2</v>
      </c>
      <c r="G257" s="3">
        <v>0.13270000000000001</v>
      </c>
      <c r="H257" s="3">
        <v>2.3999999999999998E-3</v>
      </c>
      <c r="K257" s="3">
        <v>1.1999999999999999E-3</v>
      </c>
      <c r="L257" s="3">
        <v>5.9999999999999995E-4</v>
      </c>
      <c r="M257" s="3">
        <v>2.6499999999999999E-2</v>
      </c>
      <c r="N257" s="3">
        <v>0.41189999999999999</v>
      </c>
      <c r="O257" s="3">
        <v>0.36980000000000002</v>
      </c>
    </row>
    <row r="258" spans="1:15">
      <c r="A258" t="s">
        <v>199</v>
      </c>
      <c r="B258" t="s">
        <v>209</v>
      </c>
      <c r="C258">
        <v>1874</v>
      </c>
      <c r="D258" t="s">
        <v>194</v>
      </c>
      <c r="E258">
        <v>3990</v>
      </c>
      <c r="F258" s="3">
        <v>1.3299999999999999E-2</v>
      </c>
      <c r="G258" s="3">
        <v>6.9000000000000006E-2</v>
      </c>
      <c r="H258" s="3">
        <v>2.9999999999999997E-4</v>
      </c>
      <c r="I258" s="3">
        <v>1.6999999999999999E-3</v>
      </c>
      <c r="J258" s="3">
        <v>2.9999999999999997E-4</v>
      </c>
      <c r="K258" s="3">
        <v>1.21E-2</v>
      </c>
      <c r="L258" s="3">
        <v>8.0000000000000004E-4</v>
      </c>
      <c r="M258" s="3">
        <v>1.1000000000000001E-3</v>
      </c>
      <c r="N258" s="3">
        <v>0.6129</v>
      </c>
      <c r="O258" s="3">
        <v>0.28860000000000002</v>
      </c>
    </row>
    <row r="259" spans="1:15">
      <c r="A259" t="s">
        <v>200</v>
      </c>
      <c r="B259" t="s">
        <v>200</v>
      </c>
      <c r="C259">
        <v>3990</v>
      </c>
      <c r="D259" t="s">
        <v>200</v>
      </c>
      <c r="E259">
        <v>3990</v>
      </c>
      <c r="F259" s="3">
        <v>2.5000000000000001E-2</v>
      </c>
      <c r="G259" s="3">
        <v>0.1024</v>
      </c>
      <c r="H259" s="3">
        <v>6.9999999999999999E-4</v>
      </c>
      <c r="I259" s="3">
        <v>8.9999999999999998E-4</v>
      </c>
      <c r="J259" s="3">
        <v>8.9999999999999998E-4</v>
      </c>
      <c r="K259" s="3">
        <v>8.8999999999999999E-3</v>
      </c>
      <c r="L259" s="3">
        <v>5.9999999999999995E-4</v>
      </c>
      <c r="M259" s="3">
        <v>4.5999999999999999E-3</v>
      </c>
      <c r="N259" s="3">
        <v>0.54049999999999998</v>
      </c>
      <c r="O259" s="3">
        <v>0.31559999999999999</v>
      </c>
    </row>
    <row r="261" spans="1:15" ht="30">
      <c r="A261" s="22" t="s">
        <v>266</v>
      </c>
    </row>
    <row r="262" spans="1:15">
      <c r="A262" t="s">
        <v>185</v>
      </c>
      <c r="B262" t="s">
        <v>192</v>
      </c>
      <c r="C262" t="s">
        <v>184</v>
      </c>
      <c r="D262" t="s">
        <v>193</v>
      </c>
      <c r="E262" t="s">
        <v>255</v>
      </c>
      <c r="F262" t="s">
        <v>256</v>
      </c>
      <c r="G262" t="s">
        <v>257</v>
      </c>
      <c r="H262" t="s">
        <v>258</v>
      </c>
      <c r="I262" t="s">
        <v>259</v>
      </c>
      <c r="J262" t="s">
        <v>260</v>
      </c>
      <c r="K262" t="s">
        <v>247</v>
      </c>
      <c r="L262" t="s">
        <v>261</v>
      </c>
      <c r="M262" t="s">
        <v>262</v>
      </c>
      <c r="N262" t="s">
        <v>263</v>
      </c>
    </row>
    <row r="263" spans="1:15">
      <c r="A263" t="s">
        <v>195</v>
      </c>
      <c r="B263">
        <v>1688</v>
      </c>
      <c r="C263" t="s">
        <v>194</v>
      </c>
      <c r="D263">
        <v>3990</v>
      </c>
      <c r="E263" s="3">
        <v>3.4599999999999999E-2</v>
      </c>
      <c r="F263" s="3">
        <v>0.13880000000000001</v>
      </c>
      <c r="G263" s="3">
        <v>8.9999999999999998E-4</v>
      </c>
      <c r="I263" s="3">
        <v>1.6999999999999999E-3</v>
      </c>
      <c r="J263" s="3">
        <v>6.1999999999999998E-3</v>
      </c>
      <c r="K263" s="3">
        <v>2.9999999999999997E-4</v>
      </c>
      <c r="L263" s="3">
        <v>5.3E-3</v>
      </c>
      <c r="M263" s="3">
        <v>0.47220000000000001</v>
      </c>
      <c r="N263" s="3">
        <v>0.34010000000000001</v>
      </c>
    </row>
    <row r="264" spans="1:15">
      <c r="A264" t="s">
        <v>199</v>
      </c>
      <c r="B264">
        <v>2302</v>
      </c>
      <c r="C264" t="s">
        <v>194</v>
      </c>
      <c r="D264">
        <v>3990</v>
      </c>
      <c r="E264" s="3">
        <v>1.8200000000000001E-2</v>
      </c>
      <c r="F264" s="3">
        <v>7.6499999999999999E-2</v>
      </c>
      <c r="G264" s="3">
        <v>5.0000000000000001E-4</v>
      </c>
      <c r="H264" s="3">
        <v>1.5E-3</v>
      </c>
      <c r="I264" s="3">
        <v>2.9999999999999997E-4</v>
      </c>
      <c r="J264" s="3">
        <v>1.0800000000000001E-2</v>
      </c>
      <c r="K264" s="3">
        <v>8.0000000000000004E-4</v>
      </c>
      <c r="L264" s="3">
        <v>4.1000000000000003E-3</v>
      </c>
      <c r="M264" s="3">
        <v>0.58909999999999996</v>
      </c>
      <c r="N264" s="3">
        <v>0.29820000000000002</v>
      </c>
    </row>
    <row r="265" spans="1:15">
      <c r="A265" t="s">
        <v>200</v>
      </c>
      <c r="B265">
        <v>3990</v>
      </c>
      <c r="C265" t="s">
        <v>200</v>
      </c>
      <c r="D265">
        <v>3990</v>
      </c>
      <c r="E265" s="3">
        <v>2.5000000000000001E-2</v>
      </c>
      <c r="F265" s="3">
        <v>0.1024</v>
      </c>
      <c r="G265" s="3">
        <v>6.9999999999999999E-4</v>
      </c>
      <c r="H265" s="3">
        <v>8.9999999999999998E-4</v>
      </c>
      <c r="I265" s="3">
        <v>8.9999999999999998E-4</v>
      </c>
      <c r="J265" s="3">
        <v>8.8999999999999999E-3</v>
      </c>
      <c r="K265" s="3">
        <v>5.9999999999999995E-4</v>
      </c>
      <c r="L265" s="3">
        <v>4.5999999999999999E-3</v>
      </c>
      <c r="M265" s="3">
        <v>0.54049999999999998</v>
      </c>
      <c r="N265" s="3">
        <v>0.31559999999999999</v>
      </c>
    </row>
    <row r="267" spans="1:15" ht="30">
      <c r="A267" s="22" t="s">
        <v>267</v>
      </c>
    </row>
    <row r="268" spans="1:15">
      <c r="A268" t="s">
        <v>185</v>
      </c>
      <c r="B268" t="s">
        <v>186</v>
      </c>
      <c r="C268" t="s">
        <v>192</v>
      </c>
      <c r="D268" t="s">
        <v>184</v>
      </c>
      <c r="E268" t="s">
        <v>193</v>
      </c>
      <c r="F268" t="s">
        <v>255</v>
      </c>
      <c r="G268" t="s">
        <v>256</v>
      </c>
      <c r="H268" t="s">
        <v>257</v>
      </c>
      <c r="I268" t="s">
        <v>258</v>
      </c>
      <c r="J268" t="s">
        <v>259</v>
      </c>
      <c r="K268" t="s">
        <v>260</v>
      </c>
      <c r="L268" t="s">
        <v>247</v>
      </c>
      <c r="M268" t="s">
        <v>261</v>
      </c>
      <c r="N268" t="s">
        <v>262</v>
      </c>
      <c r="O268" t="s">
        <v>263</v>
      </c>
    </row>
    <row r="269" spans="1:15">
      <c r="A269" t="s">
        <v>195</v>
      </c>
      <c r="B269" t="s">
        <v>212</v>
      </c>
      <c r="C269">
        <v>1285</v>
      </c>
      <c r="D269" t="s">
        <v>194</v>
      </c>
      <c r="E269">
        <v>3990</v>
      </c>
      <c r="F269" s="3">
        <v>3.0800000000000001E-2</v>
      </c>
      <c r="G269" s="3">
        <v>0.13550000000000001</v>
      </c>
      <c r="H269" s="3">
        <v>8.0000000000000004E-4</v>
      </c>
      <c r="J269" s="3">
        <v>1.6000000000000001E-3</v>
      </c>
      <c r="K269" s="3">
        <v>6.7999999999999996E-3</v>
      </c>
      <c r="M269" s="3">
        <v>5.1999999999999998E-3</v>
      </c>
      <c r="N269" s="3">
        <v>0.49009999999999998</v>
      </c>
      <c r="O269" s="3">
        <v>0.32929999999999998</v>
      </c>
    </row>
    <row r="270" spans="1:15">
      <c r="A270" t="s">
        <v>195</v>
      </c>
      <c r="B270" t="s">
        <v>214</v>
      </c>
      <c r="C270">
        <v>181</v>
      </c>
      <c r="D270" t="s">
        <v>194</v>
      </c>
      <c r="E270">
        <v>3990</v>
      </c>
      <c r="F270" s="3">
        <v>5.0099999999999999E-2</v>
      </c>
      <c r="G270" s="3">
        <v>8.2600000000000007E-2</v>
      </c>
      <c r="H270" s="3">
        <v>4.0000000000000002E-4</v>
      </c>
      <c r="K270" s="3">
        <v>1.4E-3</v>
      </c>
      <c r="L270" s="3">
        <v>2.8999999999999998E-3</v>
      </c>
      <c r="M270" s="3">
        <v>3.8E-3</v>
      </c>
      <c r="N270" s="3">
        <v>0.4904</v>
      </c>
      <c r="O270" s="3">
        <v>0.36840000000000001</v>
      </c>
    </row>
    <row r="271" spans="1:15">
      <c r="A271" t="s">
        <v>195</v>
      </c>
      <c r="B271" t="s">
        <v>215</v>
      </c>
      <c r="C271">
        <v>222</v>
      </c>
      <c r="D271" t="s">
        <v>194</v>
      </c>
      <c r="E271">
        <v>3990</v>
      </c>
      <c r="F271" s="3">
        <v>4.65E-2</v>
      </c>
      <c r="G271" s="3">
        <v>0.23219999999999999</v>
      </c>
      <c r="H271" s="3">
        <v>2.5999999999999999E-3</v>
      </c>
      <c r="J271" s="3">
        <v>4.8999999999999998E-3</v>
      </c>
      <c r="K271" s="3">
        <v>6.7999999999999996E-3</v>
      </c>
      <c r="M271" s="3">
        <v>7.7000000000000002E-3</v>
      </c>
      <c r="N271" s="3">
        <v>0.30599999999999999</v>
      </c>
      <c r="O271" s="3">
        <v>0.39319999999999999</v>
      </c>
    </row>
    <row r="272" spans="1:15">
      <c r="A272" t="s">
        <v>199</v>
      </c>
      <c r="B272" t="s">
        <v>212</v>
      </c>
      <c r="C272">
        <v>1812</v>
      </c>
      <c r="D272" t="s">
        <v>194</v>
      </c>
      <c r="E272">
        <v>3990</v>
      </c>
      <c r="F272" s="3">
        <v>1.7000000000000001E-2</v>
      </c>
      <c r="G272" s="3">
        <v>6.8599999999999994E-2</v>
      </c>
      <c r="H272" s="3">
        <v>5.9999999999999995E-4</v>
      </c>
      <c r="I272" s="3">
        <v>4.0000000000000002E-4</v>
      </c>
      <c r="K272" s="3">
        <v>7.1999999999999998E-3</v>
      </c>
      <c r="L272" s="3">
        <v>8.9999999999999998E-4</v>
      </c>
      <c r="M272" s="3">
        <v>4.0000000000000001E-3</v>
      </c>
      <c r="N272" s="3">
        <v>0.60980000000000001</v>
      </c>
      <c r="O272" s="3">
        <v>0.29149999999999998</v>
      </c>
    </row>
    <row r="273" spans="1:22">
      <c r="A273" t="s">
        <v>199</v>
      </c>
      <c r="B273" t="s">
        <v>214</v>
      </c>
      <c r="C273">
        <v>197</v>
      </c>
      <c r="D273" t="s">
        <v>194</v>
      </c>
      <c r="E273">
        <v>3990</v>
      </c>
      <c r="F273" s="3">
        <v>2.6599999999999999E-2</v>
      </c>
      <c r="G273" s="3">
        <v>0.1003</v>
      </c>
      <c r="I273" s="3">
        <v>1.2699999999999999E-2</v>
      </c>
      <c r="K273" s="3">
        <v>5.1999999999999998E-2</v>
      </c>
      <c r="M273" s="3">
        <v>5.0000000000000001E-3</v>
      </c>
      <c r="N273" s="3">
        <v>0.54359999999999997</v>
      </c>
      <c r="O273" s="3">
        <v>0.25969999999999999</v>
      </c>
    </row>
    <row r="274" spans="1:22">
      <c r="A274" t="s">
        <v>199</v>
      </c>
      <c r="B274" t="s">
        <v>215</v>
      </c>
      <c r="C274">
        <v>293</v>
      </c>
      <c r="D274" t="s">
        <v>194</v>
      </c>
      <c r="E274">
        <v>3990</v>
      </c>
      <c r="F274" s="3">
        <v>2.0199999999999999E-2</v>
      </c>
      <c r="G274" s="3">
        <v>0.1226</v>
      </c>
      <c r="H274" s="3">
        <v>5.9999999999999995E-4</v>
      </c>
      <c r="J274" s="3">
        <v>3.0000000000000001E-3</v>
      </c>
      <c r="L274" s="3">
        <v>8.0000000000000004E-4</v>
      </c>
      <c r="M274" s="3">
        <v>3.8999999999999998E-3</v>
      </c>
      <c r="N274" s="3">
        <v>0.45029999999999998</v>
      </c>
      <c r="O274" s="3">
        <v>0.39860000000000001</v>
      </c>
    </row>
    <row r="275" spans="1:22">
      <c r="A275" t="s">
        <v>200</v>
      </c>
      <c r="B275" t="s">
        <v>200</v>
      </c>
      <c r="C275">
        <v>3990</v>
      </c>
      <c r="D275" t="s">
        <v>200</v>
      </c>
      <c r="E275">
        <v>3990</v>
      </c>
      <c r="F275" s="3">
        <v>2.5000000000000001E-2</v>
      </c>
      <c r="G275" s="3">
        <v>0.1024</v>
      </c>
      <c r="H275" s="3">
        <v>6.9999999999999999E-4</v>
      </c>
      <c r="I275" s="3">
        <v>8.9999999999999998E-4</v>
      </c>
      <c r="J275" s="3">
        <v>8.9999999999999998E-4</v>
      </c>
      <c r="K275" s="3">
        <v>8.8999999999999999E-3</v>
      </c>
      <c r="L275" s="3">
        <v>5.9999999999999995E-4</v>
      </c>
      <c r="M275" s="3">
        <v>4.5999999999999999E-3</v>
      </c>
      <c r="N275" s="3">
        <v>0.54049999999999998</v>
      </c>
      <c r="O275" s="3">
        <v>0.31559999999999999</v>
      </c>
    </row>
    <row r="277" spans="1:22" ht="30">
      <c r="A277" s="22" t="s">
        <v>268</v>
      </c>
    </row>
    <row r="278" spans="1:22">
      <c r="A278" t="s">
        <v>185</v>
      </c>
      <c r="B278" t="s">
        <v>186</v>
      </c>
      <c r="C278" t="s">
        <v>192</v>
      </c>
      <c r="D278" t="s">
        <v>184</v>
      </c>
      <c r="E278" t="s">
        <v>193</v>
      </c>
      <c r="F278" t="s">
        <v>255</v>
      </c>
      <c r="G278" t="s">
        <v>256</v>
      </c>
      <c r="H278" t="s">
        <v>257</v>
      </c>
      <c r="I278" t="s">
        <v>258</v>
      </c>
      <c r="J278" t="s">
        <v>259</v>
      </c>
      <c r="K278" t="s">
        <v>260</v>
      </c>
      <c r="L278" t="s">
        <v>247</v>
      </c>
      <c r="M278" t="s">
        <v>261</v>
      </c>
      <c r="N278" t="s">
        <v>262</v>
      </c>
      <c r="O278" t="s">
        <v>263</v>
      </c>
    </row>
    <row r="279" spans="1:22">
      <c r="A279" t="s">
        <v>195</v>
      </c>
      <c r="B279" t="s">
        <v>217</v>
      </c>
      <c r="C279">
        <v>998</v>
      </c>
      <c r="D279" t="s">
        <v>194</v>
      </c>
      <c r="E279">
        <v>3990</v>
      </c>
      <c r="F279" s="3">
        <v>2.52E-2</v>
      </c>
      <c r="G279" s="3">
        <v>0.15</v>
      </c>
      <c r="H279" s="3">
        <v>1.4E-3</v>
      </c>
      <c r="J279" s="3">
        <v>2.0000000000000001E-4</v>
      </c>
      <c r="K279" s="3">
        <v>8.9999999999999993E-3</v>
      </c>
      <c r="M279" s="3">
        <v>2.3E-3</v>
      </c>
      <c r="N279" s="3">
        <v>0.48530000000000001</v>
      </c>
      <c r="O279" s="3">
        <v>0.32650000000000001</v>
      </c>
    </row>
    <row r="280" spans="1:22">
      <c r="A280" t="s">
        <v>195</v>
      </c>
      <c r="B280" t="s">
        <v>219</v>
      </c>
      <c r="C280">
        <v>507</v>
      </c>
      <c r="D280" t="s">
        <v>194</v>
      </c>
      <c r="E280">
        <v>3990</v>
      </c>
      <c r="F280" s="3">
        <v>5.5E-2</v>
      </c>
      <c r="G280" s="3">
        <v>0.1431</v>
      </c>
      <c r="H280" s="3">
        <v>2.0000000000000001E-4</v>
      </c>
      <c r="J280" s="3">
        <v>5.7000000000000002E-3</v>
      </c>
      <c r="K280" s="3">
        <v>5.9999999999999995E-4</v>
      </c>
      <c r="L280" s="3">
        <v>1.1999999999999999E-3</v>
      </c>
      <c r="M280" s="3">
        <v>9.2999999999999992E-3</v>
      </c>
      <c r="N280" s="3">
        <v>0.41589999999999999</v>
      </c>
      <c r="O280" s="3">
        <v>0.36899999999999999</v>
      </c>
    </row>
    <row r="281" spans="1:22">
      <c r="A281" t="s">
        <v>195</v>
      </c>
      <c r="B281" t="s">
        <v>220</v>
      </c>
      <c r="C281">
        <v>182</v>
      </c>
      <c r="D281" t="s">
        <v>194</v>
      </c>
      <c r="E281">
        <v>3990</v>
      </c>
      <c r="F281" s="3">
        <v>3.4000000000000002E-2</v>
      </c>
      <c r="G281" s="3">
        <v>7.9699999999999993E-2</v>
      </c>
      <c r="K281" s="3">
        <v>5.0000000000000001E-3</v>
      </c>
      <c r="M281" s="3">
        <v>1.04E-2</v>
      </c>
      <c r="N281" s="3">
        <v>0.52990000000000004</v>
      </c>
      <c r="O281" s="3">
        <v>0.34100000000000003</v>
      </c>
    </row>
    <row r="282" spans="1:22">
      <c r="A282" t="s">
        <v>199</v>
      </c>
      <c r="B282" t="s">
        <v>217</v>
      </c>
      <c r="C282">
        <v>1628</v>
      </c>
      <c r="D282" t="s">
        <v>194</v>
      </c>
      <c r="E282">
        <v>3990</v>
      </c>
      <c r="F282" s="3">
        <v>1.5900000000000001E-2</v>
      </c>
      <c r="G282" s="3">
        <v>6.5100000000000005E-2</v>
      </c>
      <c r="H282" s="3">
        <v>5.0000000000000001E-4</v>
      </c>
      <c r="I282" s="3">
        <v>4.0000000000000002E-4</v>
      </c>
      <c r="J282" s="3">
        <v>4.0000000000000002E-4</v>
      </c>
      <c r="K282" s="3">
        <v>7.7000000000000002E-3</v>
      </c>
      <c r="L282" s="3">
        <v>1E-3</v>
      </c>
      <c r="M282" s="3">
        <v>4.7999999999999996E-3</v>
      </c>
      <c r="N282" s="3">
        <v>0.59740000000000004</v>
      </c>
      <c r="O282" s="3">
        <v>0.307</v>
      </c>
    </row>
    <row r="283" spans="1:22">
      <c r="A283" t="s">
        <v>199</v>
      </c>
      <c r="B283" t="s">
        <v>219</v>
      </c>
      <c r="C283">
        <v>451</v>
      </c>
      <c r="D283" t="s">
        <v>194</v>
      </c>
      <c r="E283">
        <v>3990</v>
      </c>
      <c r="F283" s="3">
        <v>1.9199999999999998E-2</v>
      </c>
      <c r="G283" s="3">
        <v>0.1401</v>
      </c>
      <c r="H283" s="3">
        <v>5.0000000000000001E-4</v>
      </c>
      <c r="I283" s="3">
        <v>7.7999999999999996E-3</v>
      </c>
      <c r="K283" s="3">
        <v>7.7999999999999996E-3</v>
      </c>
      <c r="L283" s="3">
        <v>4.0000000000000002E-4</v>
      </c>
      <c r="M283" s="3">
        <v>3.0999999999999999E-3</v>
      </c>
      <c r="N283" s="3">
        <v>0.54720000000000002</v>
      </c>
      <c r="O283" s="3">
        <v>0.27379999999999999</v>
      </c>
    </row>
    <row r="284" spans="1:22">
      <c r="A284" t="s">
        <v>199</v>
      </c>
      <c r="B284" t="s">
        <v>220</v>
      </c>
      <c r="C284">
        <v>223</v>
      </c>
      <c r="D284" t="s">
        <v>194</v>
      </c>
      <c r="E284">
        <v>3990</v>
      </c>
      <c r="F284" s="3">
        <v>3.4299999999999997E-2</v>
      </c>
      <c r="G284" s="3">
        <v>6.3899999999999998E-2</v>
      </c>
      <c r="H284" s="3">
        <v>8.0000000000000004E-4</v>
      </c>
      <c r="K284" s="3">
        <v>3.95E-2</v>
      </c>
      <c r="M284" s="3">
        <v>2.9999999999999997E-4</v>
      </c>
      <c r="N284" s="3">
        <v>0.59150000000000003</v>
      </c>
      <c r="O284" s="3">
        <v>0.26979999999999998</v>
      </c>
    </row>
    <row r="285" spans="1:22">
      <c r="A285" t="s">
        <v>200</v>
      </c>
      <c r="B285" t="s">
        <v>200</v>
      </c>
      <c r="C285">
        <v>3990</v>
      </c>
      <c r="D285" t="s">
        <v>200</v>
      </c>
      <c r="E285">
        <v>3990</v>
      </c>
      <c r="F285" s="3">
        <v>2.5000000000000001E-2</v>
      </c>
      <c r="G285" s="3">
        <v>0.1024</v>
      </c>
      <c r="H285" s="3">
        <v>6.9999999999999999E-4</v>
      </c>
      <c r="I285" s="3">
        <v>8.9999999999999998E-4</v>
      </c>
      <c r="J285" s="3">
        <v>8.9999999999999998E-4</v>
      </c>
      <c r="K285" s="3">
        <v>8.8999999999999999E-3</v>
      </c>
      <c r="L285" s="3">
        <v>5.9999999999999995E-4</v>
      </c>
      <c r="M285" s="3">
        <v>4.5999999999999999E-3</v>
      </c>
      <c r="N285" s="3">
        <v>0.54049999999999998</v>
      </c>
      <c r="O285" s="3">
        <v>0.31559999999999999</v>
      </c>
    </row>
    <row r="287" spans="1:22" ht="45">
      <c r="A287" s="22" t="s">
        <v>269</v>
      </c>
    </row>
    <row r="288" spans="1:22">
      <c r="A288" t="s">
        <v>185</v>
      </c>
      <c r="B288" t="s">
        <v>186</v>
      </c>
      <c r="C288" t="s">
        <v>192</v>
      </c>
      <c r="D288" t="s">
        <v>184</v>
      </c>
      <c r="E288" t="s">
        <v>193</v>
      </c>
      <c r="F288" t="s">
        <v>270</v>
      </c>
      <c r="G288" t="s">
        <v>257</v>
      </c>
      <c r="H288" t="s">
        <v>271</v>
      </c>
      <c r="I288" t="s">
        <v>272</v>
      </c>
      <c r="J288" t="s">
        <v>273</v>
      </c>
      <c r="K288" t="s">
        <v>274</v>
      </c>
      <c r="L288" t="s">
        <v>275</v>
      </c>
      <c r="M288" t="s">
        <v>276</v>
      </c>
      <c r="N288" t="s">
        <v>277</v>
      </c>
      <c r="O288" t="s">
        <v>247</v>
      </c>
      <c r="P288" t="s">
        <v>278</v>
      </c>
      <c r="Q288" t="s">
        <v>279</v>
      </c>
      <c r="R288" t="s">
        <v>280</v>
      </c>
      <c r="S288" t="s">
        <v>281</v>
      </c>
      <c r="T288" t="s">
        <v>282</v>
      </c>
      <c r="U288" t="s">
        <v>283</v>
      </c>
      <c r="V288" t="s">
        <v>284</v>
      </c>
    </row>
    <row r="289" spans="1:23">
      <c r="A289" t="s">
        <v>195</v>
      </c>
      <c r="B289" t="s">
        <v>285</v>
      </c>
      <c r="C289">
        <v>164</v>
      </c>
      <c r="D289" t="s">
        <v>194</v>
      </c>
      <c r="E289">
        <v>5910</v>
      </c>
      <c r="G289" s="3">
        <v>1.1000000000000001E-3</v>
      </c>
      <c r="N289" s="3">
        <v>4.5999999999999999E-3</v>
      </c>
      <c r="R289" s="3">
        <v>0.1414</v>
      </c>
      <c r="S289" s="3">
        <v>0.84719999999999995</v>
      </c>
      <c r="U289" s="3">
        <v>1E-3</v>
      </c>
      <c r="V289" s="3">
        <v>4.7999999999999996E-3</v>
      </c>
    </row>
    <row r="290" spans="1:23">
      <c r="A290" t="s">
        <v>195</v>
      </c>
      <c r="B290" t="s">
        <v>286</v>
      </c>
      <c r="C290">
        <v>361</v>
      </c>
      <c r="D290" t="s">
        <v>194</v>
      </c>
      <c r="E290">
        <v>5910</v>
      </c>
      <c r="F290" s="3">
        <v>1.5299999999999999E-2</v>
      </c>
      <c r="H290" s="3">
        <v>5.5899999999999998E-2</v>
      </c>
      <c r="I290" s="3">
        <v>4.3E-3</v>
      </c>
      <c r="J290" s="3">
        <v>1.4999999999999999E-2</v>
      </c>
      <c r="L290" s="3">
        <v>4.1999999999999997E-3</v>
      </c>
      <c r="M290" s="3">
        <v>0.25890000000000002</v>
      </c>
      <c r="N290" s="3">
        <v>2.2599999999999999E-2</v>
      </c>
      <c r="O290" s="3">
        <v>1.1999999999999999E-3</v>
      </c>
      <c r="Q290" s="3">
        <v>6.9400000000000003E-2</v>
      </c>
      <c r="R290" s="3">
        <v>9.4899999999999998E-2</v>
      </c>
      <c r="S290" s="3">
        <v>0.16500000000000001</v>
      </c>
      <c r="T290" s="3">
        <v>7.5399999999999995E-2</v>
      </c>
      <c r="U290" s="3">
        <v>8.0500000000000002E-2</v>
      </c>
      <c r="V290" s="3">
        <v>0.13739999999999999</v>
      </c>
    </row>
    <row r="291" spans="1:23">
      <c r="A291" t="s">
        <v>195</v>
      </c>
      <c r="B291" t="s">
        <v>287</v>
      </c>
      <c r="C291">
        <v>836</v>
      </c>
      <c r="D291" t="s">
        <v>194</v>
      </c>
      <c r="E291">
        <v>5910</v>
      </c>
      <c r="F291" s="3">
        <v>2.6700000000000002E-2</v>
      </c>
      <c r="H291" s="3">
        <v>6.7799999999999999E-2</v>
      </c>
      <c r="I291" s="3">
        <v>1.01E-2</v>
      </c>
      <c r="J291" s="3">
        <v>1.7999999999999999E-2</v>
      </c>
      <c r="L291" s="3">
        <v>8.3000000000000001E-3</v>
      </c>
      <c r="M291" s="3">
        <v>0.47820000000000001</v>
      </c>
      <c r="N291" s="3">
        <v>4.1399999999999999E-2</v>
      </c>
      <c r="Q291" s="3">
        <v>3.2000000000000001E-2</v>
      </c>
      <c r="R291" s="3">
        <v>1.2999999999999999E-3</v>
      </c>
      <c r="S291" s="3">
        <v>1.6000000000000001E-3</v>
      </c>
      <c r="T291" s="3">
        <v>2.9399999999999999E-2</v>
      </c>
      <c r="U291" s="3">
        <v>0.1003</v>
      </c>
      <c r="V291" s="3">
        <v>0.18479999999999999</v>
      </c>
    </row>
    <row r="292" spans="1:23">
      <c r="A292" t="s">
        <v>195</v>
      </c>
      <c r="B292" t="s">
        <v>288</v>
      </c>
      <c r="C292">
        <v>585</v>
      </c>
      <c r="D292" t="s">
        <v>194</v>
      </c>
      <c r="E292">
        <v>5910</v>
      </c>
      <c r="F292" s="3">
        <v>3.0300000000000001E-2</v>
      </c>
      <c r="H292" s="3">
        <v>4.8599999999999997E-2</v>
      </c>
      <c r="I292" s="3">
        <v>6.8999999999999999E-3</v>
      </c>
      <c r="J292" s="3">
        <v>2.8500000000000001E-2</v>
      </c>
      <c r="L292" s="3">
        <v>1.1900000000000001E-2</v>
      </c>
      <c r="M292" s="3">
        <v>0.42049999999999998</v>
      </c>
      <c r="N292" s="3">
        <v>6.4799999999999996E-2</v>
      </c>
      <c r="P292" s="3">
        <v>0.1094</v>
      </c>
      <c r="Q292" s="3">
        <v>2.9000000000000001E-2</v>
      </c>
      <c r="R292" s="3">
        <v>1.1000000000000001E-3</v>
      </c>
      <c r="S292" s="3">
        <v>9.5999999999999992E-3</v>
      </c>
      <c r="T292" s="3">
        <v>4.3900000000000002E-2</v>
      </c>
      <c r="U292" s="3">
        <v>0.13200000000000001</v>
      </c>
      <c r="V292" s="3">
        <v>6.3399999999999998E-2</v>
      </c>
    </row>
    <row r="293" spans="1:23">
      <c r="A293" t="s">
        <v>195</v>
      </c>
      <c r="B293" t="s">
        <v>289</v>
      </c>
      <c r="C293">
        <v>612</v>
      </c>
      <c r="D293" t="s">
        <v>194</v>
      </c>
      <c r="E293">
        <v>5910</v>
      </c>
      <c r="F293" s="3">
        <v>5.7999999999999996E-3</v>
      </c>
      <c r="H293" s="3">
        <v>1.5E-3</v>
      </c>
      <c r="L293" s="3">
        <v>6.4999999999999997E-3</v>
      </c>
      <c r="M293" s="3">
        <v>5.5399999999999998E-2</v>
      </c>
      <c r="N293" s="3">
        <v>5.8900000000000001E-2</v>
      </c>
      <c r="P293" s="3">
        <v>0.8165</v>
      </c>
      <c r="Q293" s="3">
        <v>2.5000000000000001E-3</v>
      </c>
      <c r="T293" s="3">
        <v>3.0999999999999999E-3</v>
      </c>
      <c r="U293" s="3">
        <v>3.04E-2</v>
      </c>
      <c r="V293" s="3">
        <v>1.9400000000000001E-2</v>
      </c>
    </row>
    <row r="294" spans="1:23">
      <c r="A294" t="s">
        <v>199</v>
      </c>
      <c r="B294" t="s">
        <v>285</v>
      </c>
      <c r="C294">
        <v>201</v>
      </c>
      <c r="D294" t="s">
        <v>194</v>
      </c>
      <c r="E294">
        <v>5910</v>
      </c>
      <c r="F294" s="3">
        <v>2.0000000000000001E-4</v>
      </c>
      <c r="R294" s="3">
        <v>9.64E-2</v>
      </c>
      <c r="S294" s="3">
        <v>0.89239999999999997</v>
      </c>
      <c r="T294" s="3">
        <v>5.9999999999999995E-4</v>
      </c>
      <c r="U294" s="3">
        <v>3.3999999999999998E-3</v>
      </c>
      <c r="V294" s="3">
        <v>7.0000000000000001E-3</v>
      </c>
    </row>
    <row r="295" spans="1:23">
      <c r="A295" t="s">
        <v>199</v>
      </c>
      <c r="B295" t="s">
        <v>286</v>
      </c>
      <c r="C295">
        <v>409</v>
      </c>
      <c r="D295" t="s">
        <v>194</v>
      </c>
      <c r="E295">
        <v>5910</v>
      </c>
      <c r="F295" s="3">
        <v>1.32E-2</v>
      </c>
      <c r="G295" s="3">
        <v>1.9E-3</v>
      </c>
      <c r="H295" s="3">
        <v>6.2E-2</v>
      </c>
      <c r="I295" s="3">
        <v>1.8700000000000001E-2</v>
      </c>
      <c r="J295" s="3">
        <v>1.37E-2</v>
      </c>
      <c r="L295" s="3">
        <v>2.18E-2</v>
      </c>
      <c r="M295" s="3">
        <v>0.34820000000000001</v>
      </c>
      <c r="N295" s="3">
        <v>1.8E-3</v>
      </c>
      <c r="Q295" s="3">
        <v>7.46E-2</v>
      </c>
      <c r="R295" s="3">
        <v>0.1062</v>
      </c>
      <c r="S295" s="3">
        <v>0.1013</v>
      </c>
      <c r="T295" s="3">
        <v>2.35E-2</v>
      </c>
      <c r="U295" s="3">
        <v>9.4500000000000001E-2</v>
      </c>
      <c r="V295" s="3">
        <v>0.1186</v>
      </c>
    </row>
    <row r="296" spans="1:23">
      <c r="A296" t="s">
        <v>199</v>
      </c>
      <c r="B296" t="s">
        <v>287</v>
      </c>
      <c r="C296">
        <v>1297</v>
      </c>
      <c r="D296" t="s">
        <v>194</v>
      </c>
      <c r="E296">
        <v>5910</v>
      </c>
      <c r="F296" s="3">
        <v>8.2000000000000007E-3</v>
      </c>
      <c r="H296" s="3">
        <v>5.8700000000000002E-2</v>
      </c>
      <c r="I296" s="3">
        <v>2.7199999999999998E-2</v>
      </c>
      <c r="J296" s="3">
        <v>3.6600000000000001E-2</v>
      </c>
      <c r="L296" s="3">
        <v>7.9000000000000001E-2</v>
      </c>
      <c r="M296" s="3">
        <v>0.55359999999999998</v>
      </c>
      <c r="N296" s="3">
        <v>5.0000000000000001E-3</v>
      </c>
      <c r="P296" s="3">
        <v>2.3E-3</v>
      </c>
      <c r="Q296" s="3">
        <v>3.8699999999999998E-2</v>
      </c>
      <c r="R296" s="3">
        <v>1E-4</v>
      </c>
      <c r="S296" s="3">
        <v>2.9999999999999997E-4</v>
      </c>
      <c r="T296" s="3">
        <v>1.29E-2</v>
      </c>
      <c r="U296" s="3">
        <v>4.0800000000000003E-2</v>
      </c>
      <c r="V296" s="3">
        <v>0.13650000000000001</v>
      </c>
    </row>
    <row r="297" spans="1:23">
      <c r="A297" t="s">
        <v>199</v>
      </c>
      <c r="B297" t="s">
        <v>288</v>
      </c>
      <c r="C297">
        <v>834</v>
      </c>
      <c r="D297" t="s">
        <v>194</v>
      </c>
      <c r="E297">
        <v>5910</v>
      </c>
      <c r="F297" s="3">
        <v>3.3500000000000002E-2</v>
      </c>
      <c r="H297" s="3">
        <v>6.0499999999999998E-2</v>
      </c>
      <c r="I297" s="3">
        <v>1.17E-2</v>
      </c>
      <c r="J297" s="3">
        <v>3.5400000000000001E-2</v>
      </c>
      <c r="K297" s="3">
        <v>2.9999999999999997E-4</v>
      </c>
      <c r="L297" s="3">
        <v>8.6999999999999994E-2</v>
      </c>
      <c r="M297" s="3">
        <v>0.55310000000000004</v>
      </c>
      <c r="N297" s="3">
        <v>2.4799999999999999E-2</v>
      </c>
      <c r="O297" s="3">
        <v>4.8999999999999998E-3</v>
      </c>
      <c r="P297" s="3">
        <v>2.9000000000000001E-2</v>
      </c>
      <c r="Q297" s="3">
        <v>1.7500000000000002E-2</v>
      </c>
      <c r="R297" s="3">
        <v>2.9999999999999997E-4</v>
      </c>
      <c r="T297" s="3">
        <v>3.8699999999999998E-2</v>
      </c>
      <c r="U297" s="3">
        <v>6.4899999999999999E-2</v>
      </c>
      <c r="V297" s="3">
        <v>3.85E-2</v>
      </c>
    </row>
    <row r="298" spans="1:23">
      <c r="A298" t="s">
        <v>199</v>
      </c>
      <c r="B298" t="s">
        <v>289</v>
      </c>
      <c r="C298">
        <v>611</v>
      </c>
      <c r="D298" t="s">
        <v>194</v>
      </c>
      <c r="E298">
        <v>5910</v>
      </c>
      <c r="H298" s="3">
        <v>1.2999999999999999E-2</v>
      </c>
      <c r="L298" s="3">
        <v>2.47E-2</v>
      </c>
      <c r="M298" s="3">
        <v>0.1134</v>
      </c>
      <c r="N298" s="3">
        <v>1.7899999999999999E-2</v>
      </c>
      <c r="O298" s="3">
        <v>5.0000000000000001E-4</v>
      </c>
      <c r="P298" s="3">
        <v>0.79369999999999996</v>
      </c>
      <c r="Q298" s="3">
        <v>7.9000000000000008E-3</v>
      </c>
      <c r="T298" s="3">
        <v>2.01E-2</v>
      </c>
      <c r="U298" s="3">
        <v>7.1999999999999998E-3</v>
      </c>
      <c r="V298" s="3">
        <v>1.8E-3</v>
      </c>
    </row>
    <row r="299" spans="1:23">
      <c r="A299" t="s">
        <v>200</v>
      </c>
      <c r="B299" t="s">
        <v>200</v>
      </c>
      <c r="C299">
        <v>5910</v>
      </c>
      <c r="D299" t="s">
        <v>200</v>
      </c>
      <c r="E299">
        <v>5910</v>
      </c>
      <c r="F299" s="3">
        <v>1.55E-2</v>
      </c>
      <c r="G299" s="3">
        <v>2.0000000000000001E-4</v>
      </c>
      <c r="H299" s="3">
        <v>4.6600000000000003E-2</v>
      </c>
      <c r="I299" s="3">
        <v>1.1900000000000001E-2</v>
      </c>
      <c r="J299" s="3">
        <v>2.0500000000000001E-2</v>
      </c>
      <c r="K299" s="3">
        <v>0</v>
      </c>
      <c r="L299" s="3">
        <v>3.6600000000000001E-2</v>
      </c>
      <c r="M299" s="3">
        <v>0.37240000000000001</v>
      </c>
      <c r="N299" s="3">
        <v>2.58E-2</v>
      </c>
      <c r="O299" s="3">
        <v>6.9999999999999999E-4</v>
      </c>
      <c r="P299" s="3">
        <v>0.1706</v>
      </c>
      <c r="Q299" s="3">
        <v>3.15E-2</v>
      </c>
      <c r="R299" s="3">
        <v>2.24E-2</v>
      </c>
      <c r="S299" s="3">
        <v>6.3399999999999998E-2</v>
      </c>
      <c r="T299" s="3">
        <v>2.5999999999999999E-2</v>
      </c>
      <c r="U299" s="3">
        <v>6.2700000000000006E-2</v>
      </c>
      <c r="V299" s="3">
        <v>9.2899999999999996E-2</v>
      </c>
    </row>
    <row r="301" spans="1:23" ht="45">
      <c r="A301" s="22" t="s">
        <v>290</v>
      </c>
    </row>
    <row r="302" spans="1:23">
      <c r="A302" t="s">
        <v>185</v>
      </c>
      <c r="B302" t="s">
        <v>291</v>
      </c>
      <c r="C302" t="s">
        <v>186</v>
      </c>
      <c r="D302" t="s">
        <v>192</v>
      </c>
      <c r="E302" t="s">
        <v>184</v>
      </c>
      <c r="F302" t="s">
        <v>193</v>
      </c>
      <c r="G302" t="s">
        <v>270</v>
      </c>
      <c r="H302" t="s">
        <v>257</v>
      </c>
      <c r="I302" t="s">
        <v>271</v>
      </c>
      <c r="J302" t="s">
        <v>272</v>
      </c>
      <c r="K302" t="s">
        <v>273</v>
      </c>
      <c r="L302" t="s">
        <v>274</v>
      </c>
      <c r="M302" t="s">
        <v>275</v>
      </c>
      <c r="N302" t="s">
        <v>276</v>
      </c>
      <c r="O302" t="s">
        <v>277</v>
      </c>
      <c r="P302" t="s">
        <v>247</v>
      </c>
      <c r="Q302" t="s">
        <v>278</v>
      </c>
      <c r="R302" t="s">
        <v>279</v>
      </c>
      <c r="S302" t="s">
        <v>280</v>
      </c>
      <c r="T302" t="s">
        <v>281</v>
      </c>
      <c r="U302" t="s">
        <v>282</v>
      </c>
      <c r="V302" t="s">
        <v>283</v>
      </c>
      <c r="W302" t="s">
        <v>284</v>
      </c>
    </row>
    <row r="303" spans="1:23">
      <c r="A303" t="s">
        <v>195</v>
      </c>
      <c r="B303" t="s">
        <v>285</v>
      </c>
      <c r="C303" t="s">
        <v>292</v>
      </c>
      <c r="D303">
        <v>88</v>
      </c>
      <c r="E303" t="s">
        <v>194</v>
      </c>
      <c r="F303">
        <v>5910</v>
      </c>
      <c r="H303" s="3">
        <v>2.3E-3</v>
      </c>
      <c r="O303" s="3">
        <v>8.9999999999999993E-3</v>
      </c>
      <c r="S303" s="3">
        <v>0.1191</v>
      </c>
      <c r="T303" s="3">
        <v>0.86960000000000004</v>
      </c>
    </row>
    <row r="304" spans="1:23">
      <c r="A304" t="s">
        <v>199</v>
      </c>
      <c r="B304" t="s">
        <v>289</v>
      </c>
      <c r="C304" t="s">
        <v>292</v>
      </c>
      <c r="D304">
        <v>230</v>
      </c>
      <c r="E304" t="s">
        <v>194</v>
      </c>
      <c r="F304">
        <v>5910</v>
      </c>
      <c r="I304" s="3">
        <v>6.8999999999999999E-3</v>
      </c>
      <c r="M304" s="3">
        <v>2.6499999999999999E-2</v>
      </c>
      <c r="N304" s="3">
        <v>0.1246</v>
      </c>
      <c r="O304" s="3">
        <v>2.4400000000000002E-2</v>
      </c>
      <c r="P304" s="3">
        <v>1.2999999999999999E-3</v>
      </c>
      <c r="Q304" s="3">
        <v>0.76029999999999998</v>
      </c>
      <c r="R304" s="3">
        <v>2.06E-2</v>
      </c>
      <c r="U304" s="3">
        <v>2.35E-2</v>
      </c>
      <c r="V304" s="3">
        <v>9.1999999999999998E-3</v>
      </c>
      <c r="W304" s="3">
        <v>2.7000000000000001E-3</v>
      </c>
    </row>
    <row r="305" spans="1:23">
      <c r="A305" t="s">
        <v>199</v>
      </c>
      <c r="B305" t="s">
        <v>288</v>
      </c>
      <c r="C305" t="s">
        <v>293</v>
      </c>
      <c r="D305">
        <v>441</v>
      </c>
      <c r="E305" t="s">
        <v>194</v>
      </c>
      <c r="F305">
        <v>5910</v>
      </c>
      <c r="G305" s="3">
        <v>9.5999999999999992E-3</v>
      </c>
      <c r="I305" s="3">
        <v>4.8599999999999997E-2</v>
      </c>
      <c r="L305" s="3">
        <v>5.9999999999999995E-4</v>
      </c>
      <c r="M305" s="3">
        <v>6.1199999999999997E-2</v>
      </c>
      <c r="N305" s="3">
        <v>0.62490000000000001</v>
      </c>
      <c r="O305" s="3">
        <v>1.6E-2</v>
      </c>
      <c r="P305" s="3">
        <v>1.1999999999999999E-3</v>
      </c>
      <c r="Q305" s="3">
        <v>3.2300000000000002E-2</v>
      </c>
      <c r="R305" s="3">
        <v>6.7000000000000002E-3</v>
      </c>
      <c r="U305" s="3">
        <v>6.2399999999999997E-2</v>
      </c>
      <c r="V305" s="3">
        <v>7.6499999999999999E-2</v>
      </c>
      <c r="W305" s="3">
        <v>6.0100000000000001E-2</v>
      </c>
    </row>
    <row r="306" spans="1:23">
      <c r="A306" t="s">
        <v>199</v>
      </c>
      <c r="B306" t="s">
        <v>288</v>
      </c>
      <c r="C306" t="s">
        <v>292</v>
      </c>
      <c r="D306">
        <v>393</v>
      </c>
      <c r="E306" t="s">
        <v>194</v>
      </c>
      <c r="F306">
        <v>5910</v>
      </c>
      <c r="G306" s="3">
        <v>6.0400000000000002E-2</v>
      </c>
      <c r="I306" s="3">
        <v>7.3899999999999993E-2</v>
      </c>
      <c r="J306" s="3">
        <v>2.4799999999999999E-2</v>
      </c>
      <c r="K306" s="3">
        <v>7.51E-2</v>
      </c>
      <c r="M306" s="3">
        <v>0.1159</v>
      </c>
      <c r="N306" s="3">
        <v>0.47249999999999998</v>
      </c>
      <c r="O306" s="3">
        <v>3.4700000000000002E-2</v>
      </c>
      <c r="P306" s="3">
        <v>9.1000000000000004E-3</v>
      </c>
      <c r="Q306" s="3">
        <v>2.53E-2</v>
      </c>
      <c r="R306" s="3">
        <v>2.9600000000000001E-2</v>
      </c>
      <c r="S306" s="3">
        <v>5.9999999999999995E-4</v>
      </c>
      <c r="U306" s="3">
        <v>1.2E-2</v>
      </c>
      <c r="V306" s="3">
        <v>5.1799999999999999E-2</v>
      </c>
      <c r="W306" s="3">
        <v>1.4200000000000001E-2</v>
      </c>
    </row>
    <row r="307" spans="1:23">
      <c r="A307" t="s">
        <v>199</v>
      </c>
      <c r="B307" t="s">
        <v>287</v>
      </c>
      <c r="C307" t="s">
        <v>293</v>
      </c>
      <c r="D307">
        <v>734</v>
      </c>
      <c r="E307" t="s">
        <v>194</v>
      </c>
      <c r="F307">
        <v>5910</v>
      </c>
      <c r="G307" s="3">
        <v>1.09E-2</v>
      </c>
      <c r="I307" s="3">
        <v>3.8800000000000001E-2</v>
      </c>
      <c r="M307" s="3">
        <v>6.1400000000000003E-2</v>
      </c>
      <c r="N307" s="3">
        <v>0.52500000000000002</v>
      </c>
      <c r="O307" s="3">
        <v>5.8999999999999999E-3</v>
      </c>
      <c r="Q307" s="3">
        <v>3.8999999999999998E-3</v>
      </c>
      <c r="R307" s="3">
        <v>3.2800000000000003E-2</v>
      </c>
      <c r="T307" s="3">
        <v>1E-4</v>
      </c>
      <c r="U307" s="3">
        <v>1.34E-2</v>
      </c>
      <c r="V307" s="3">
        <v>5.6000000000000001E-2</v>
      </c>
      <c r="W307" s="3">
        <v>0.25169999999999998</v>
      </c>
    </row>
    <row r="308" spans="1:23">
      <c r="A308" t="s">
        <v>199</v>
      </c>
      <c r="B308" t="s">
        <v>287</v>
      </c>
      <c r="C308" t="s">
        <v>292</v>
      </c>
      <c r="D308">
        <v>563</v>
      </c>
      <c r="E308" t="s">
        <v>194</v>
      </c>
      <c r="F308">
        <v>5910</v>
      </c>
      <c r="G308" s="3">
        <v>5.0000000000000001E-3</v>
      </c>
      <c r="I308" s="3">
        <v>8.2100000000000006E-2</v>
      </c>
      <c r="J308" s="3">
        <v>5.9200000000000003E-2</v>
      </c>
      <c r="K308" s="3">
        <v>7.9799999999999996E-2</v>
      </c>
      <c r="M308" s="3">
        <v>9.98E-2</v>
      </c>
      <c r="N308" s="3">
        <v>0.58730000000000004</v>
      </c>
      <c r="O308" s="3">
        <v>4.0000000000000001E-3</v>
      </c>
      <c r="Q308" s="3">
        <v>2.9999999999999997E-4</v>
      </c>
      <c r="R308" s="3">
        <v>4.5699999999999998E-2</v>
      </c>
      <c r="S308" s="3">
        <v>2.9999999999999997E-4</v>
      </c>
      <c r="T308" s="3">
        <v>5.9999999999999995E-4</v>
      </c>
      <c r="U308" s="3">
        <v>1.23E-2</v>
      </c>
      <c r="V308" s="3">
        <v>2.2800000000000001E-2</v>
      </c>
      <c r="W308" s="3">
        <v>8.0000000000000004E-4</v>
      </c>
    </row>
    <row r="309" spans="1:23">
      <c r="A309" t="s">
        <v>199</v>
      </c>
      <c r="B309" t="s">
        <v>286</v>
      </c>
      <c r="C309" t="s">
        <v>293</v>
      </c>
      <c r="D309">
        <v>243</v>
      </c>
      <c r="E309" t="s">
        <v>194</v>
      </c>
      <c r="F309">
        <v>5910</v>
      </c>
      <c r="G309" s="3">
        <v>1.12E-2</v>
      </c>
      <c r="I309" s="3">
        <v>3.1E-2</v>
      </c>
      <c r="J309" s="3">
        <v>5.9999999999999995E-4</v>
      </c>
      <c r="K309" s="3">
        <v>5.9999999999999995E-4</v>
      </c>
      <c r="M309" s="3">
        <v>3.4099999999999998E-2</v>
      </c>
      <c r="N309" s="3">
        <v>0.34010000000000001</v>
      </c>
      <c r="R309" s="3">
        <v>9.4700000000000006E-2</v>
      </c>
      <c r="S309" s="3">
        <v>9.6500000000000002E-2</v>
      </c>
      <c r="T309" s="3">
        <v>9.6000000000000002E-2</v>
      </c>
      <c r="U309" s="3">
        <v>2.1100000000000001E-2</v>
      </c>
      <c r="V309" s="3">
        <v>8.3599999999999994E-2</v>
      </c>
      <c r="W309" s="3">
        <v>0.19070000000000001</v>
      </c>
    </row>
    <row r="310" spans="1:23">
      <c r="A310" t="s">
        <v>199</v>
      </c>
      <c r="B310" t="s">
        <v>286</v>
      </c>
      <c r="C310" t="s">
        <v>292</v>
      </c>
      <c r="D310">
        <v>166</v>
      </c>
      <c r="E310" t="s">
        <v>194</v>
      </c>
      <c r="F310">
        <v>5910</v>
      </c>
      <c r="G310" s="3">
        <v>1.6299999999999999E-2</v>
      </c>
      <c r="H310" s="3">
        <v>5.1000000000000004E-3</v>
      </c>
      <c r="I310" s="3">
        <v>0.11269999999999999</v>
      </c>
      <c r="J310" s="3">
        <v>4.8099999999999997E-2</v>
      </c>
      <c r="K310" s="3">
        <v>3.5099999999999999E-2</v>
      </c>
      <c r="M310" s="3">
        <v>1.6999999999999999E-3</v>
      </c>
      <c r="N310" s="3">
        <v>0.3614</v>
      </c>
      <c r="O310" s="3">
        <v>4.7999999999999996E-3</v>
      </c>
      <c r="R310" s="3">
        <v>4.1700000000000001E-2</v>
      </c>
      <c r="S310" s="3">
        <v>0.122</v>
      </c>
      <c r="T310" s="3">
        <v>0.11</v>
      </c>
      <c r="U310" s="3">
        <v>2.75E-2</v>
      </c>
      <c r="V310" s="3">
        <v>0.1124</v>
      </c>
      <c r="W310" s="3">
        <v>1E-3</v>
      </c>
    </row>
    <row r="311" spans="1:23">
      <c r="A311" t="s">
        <v>199</v>
      </c>
      <c r="B311" t="s">
        <v>285</v>
      </c>
      <c r="C311" t="s">
        <v>293</v>
      </c>
      <c r="D311">
        <v>94</v>
      </c>
      <c r="E311" t="s">
        <v>194</v>
      </c>
      <c r="F311">
        <v>5910</v>
      </c>
      <c r="S311" s="3">
        <v>2.92E-2</v>
      </c>
      <c r="T311" s="3">
        <v>0.95330000000000004</v>
      </c>
      <c r="U311" s="3">
        <v>1.5E-3</v>
      </c>
      <c r="V311" s="3">
        <v>8.3000000000000001E-3</v>
      </c>
      <c r="W311" s="3">
        <v>7.7000000000000002E-3</v>
      </c>
    </row>
    <row r="312" spans="1:23">
      <c r="A312" t="s">
        <v>199</v>
      </c>
      <c r="B312" t="s">
        <v>285</v>
      </c>
      <c r="C312" t="s">
        <v>292</v>
      </c>
      <c r="D312">
        <v>107</v>
      </c>
      <c r="E312" t="s">
        <v>194</v>
      </c>
      <c r="F312">
        <v>5910</v>
      </c>
      <c r="G312" s="3">
        <v>2.9999999999999997E-4</v>
      </c>
      <c r="S312" s="3">
        <v>0.14330000000000001</v>
      </c>
      <c r="T312" s="3">
        <v>0.84989999999999999</v>
      </c>
      <c r="W312" s="3">
        <v>6.4999999999999997E-3</v>
      </c>
    </row>
    <row r="313" spans="1:23">
      <c r="A313" t="s">
        <v>195</v>
      </c>
      <c r="B313" t="s">
        <v>289</v>
      </c>
      <c r="C313" t="s">
        <v>293</v>
      </c>
      <c r="D313">
        <v>405</v>
      </c>
      <c r="E313" t="s">
        <v>194</v>
      </c>
      <c r="F313">
        <v>5910</v>
      </c>
      <c r="G313" s="3">
        <v>5.4000000000000003E-3</v>
      </c>
      <c r="I313" s="3">
        <v>2.2000000000000001E-3</v>
      </c>
      <c r="M313" s="3">
        <v>1.5E-3</v>
      </c>
      <c r="N313" s="3">
        <v>3.4799999999999998E-2</v>
      </c>
      <c r="O313" s="3">
        <v>3.7999999999999999E-2</v>
      </c>
      <c r="Q313" s="3">
        <v>0.85360000000000003</v>
      </c>
      <c r="R313" s="3">
        <v>3.7000000000000002E-3</v>
      </c>
      <c r="U313" s="3">
        <v>4.0000000000000002E-4</v>
      </c>
      <c r="V313" s="3">
        <v>3.39E-2</v>
      </c>
      <c r="W313" s="3">
        <v>2.6599999999999999E-2</v>
      </c>
    </row>
    <row r="314" spans="1:23">
      <c r="A314" t="s">
        <v>195</v>
      </c>
      <c r="B314" t="s">
        <v>289</v>
      </c>
      <c r="C314" t="s">
        <v>292</v>
      </c>
      <c r="D314">
        <v>207</v>
      </c>
      <c r="E314" t="s">
        <v>194</v>
      </c>
      <c r="F314">
        <v>5910</v>
      </c>
      <c r="G314" s="3">
        <v>6.7000000000000002E-3</v>
      </c>
      <c r="M314" s="3">
        <v>1.7000000000000001E-2</v>
      </c>
      <c r="N314" s="3">
        <v>9.8299999999999998E-2</v>
      </c>
      <c r="O314" s="3">
        <v>0.1026</v>
      </c>
      <c r="Q314" s="3">
        <v>0.73909999999999998</v>
      </c>
      <c r="U314" s="3">
        <v>8.8000000000000005E-3</v>
      </c>
      <c r="V314" s="3">
        <v>2.3099999999999999E-2</v>
      </c>
      <c r="W314" s="3">
        <v>4.3E-3</v>
      </c>
    </row>
    <row r="315" spans="1:23">
      <c r="A315" t="s">
        <v>195</v>
      </c>
      <c r="B315" t="s">
        <v>288</v>
      </c>
      <c r="C315" t="s">
        <v>293</v>
      </c>
      <c r="D315">
        <v>345</v>
      </c>
      <c r="E315" t="s">
        <v>194</v>
      </c>
      <c r="F315">
        <v>5910</v>
      </c>
      <c r="G315" s="3">
        <v>3.4099999999999998E-2</v>
      </c>
      <c r="I315" s="3">
        <v>3.5700000000000003E-2</v>
      </c>
      <c r="M315" s="3">
        <v>1.3100000000000001E-2</v>
      </c>
      <c r="N315" s="3">
        <v>0.4158</v>
      </c>
      <c r="O315" s="3">
        <v>8.8300000000000003E-2</v>
      </c>
      <c r="Q315" s="3">
        <v>8.4699999999999998E-2</v>
      </c>
      <c r="R315" s="3">
        <v>2.07E-2</v>
      </c>
      <c r="S315" s="3">
        <v>2.9999999999999997E-4</v>
      </c>
      <c r="T315" s="3">
        <v>1.66E-2</v>
      </c>
      <c r="U315" s="3">
        <v>3.61E-2</v>
      </c>
      <c r="V315" s="3">
        <v>0.15590000000000001</v>
      </c>
      <c r="W315" s="3">
        <v>9.8699999999999996E-2</v>
      </c>
    </row>
    <row r="316" spans="1:23" s="25" customFormat="1">
      <c r="A316" s="25" t="s">
        <v>195</v>
      </c>
      <c r="B316" s="25" t="s">
        <v>288</v>
      </c>
      <c r="C316" s="25" t="s">
        <v>247</v>
      </c>
      <c r="D316" s="25">
        <v>1</v>
      </c>
      <c r="E316" s="25" t="s">
        <v>194</v>
      </c>
      <c r="F316" s="25">
        <v>5910</v>
      </c>
      <c r="V316" s="26">
        <v>1</v>
      </c>
    </row>
    <row r="317" spans="1:23">
      <c r="A317" t="s">
        <v>195</v>
      </c>
      <c r="B317" t="s">
        <v>288</v>
      </c>
      <c r="C317" t="s">
        <v>292</v>
      </c>
      <c r="D317">
        <v>239</v>
      </c>
      <c r="E317" t="s">
        <v>194</v>
      </c>
      <c r="F317">
        <v>5910</v>
      </c>
      <c r="G317" s="3">
        <v>2.5399999999999999E-2</v>
      </c>
      <c r="I317" s="3">
        <v>6.5600000000000006E-2</v>
      </c>
      <c r="J317" s="3">
        <v>1.5800000000000002E-2</v>
      </c>
      <c r="K317" s="3">
        <v>6.5799999999999997E-2</v>
      </c>
      <c r="M317" s="3">
        <v>1.03E-2</v>
      </c>
      <c r="N317" s="3">
        <v>0.42670000000000002</v>
      </c>
      <c r="O317" s="3">
        <v>3.4200000000000001E-2</v>
      </c>
      <c r="Q317" s="3">
        <v>0.14169999999999999</v>
      </c>
      <c r="R317" s="3">
        <v>3.9800000000000002E-2</v>
      </c>
      <c r="S317" s="3">
        <v>2.3E-3</v>
      </c>
      <c r="T317" s="3">
        <v>2.9999999999999997E-4</v>
      </c>
      <c r="U317" s="3">
        <v>5.4199999999999998E-2</v>
      </c>
      <c r="V317" s="3">
        <v>0.1007</v>
      </c>
      <c r="W317" s="3">
        <v>1.7100000000000001E-2</v>
      </c>
    </row>
    <row r="318" spans="1:23">
      <c r="A318" t="s">
        <v>195</v>
      </c>
      <c r="B318" t="s">
        <v>287</v>
      </c>
      <c r="C318" t="s">
        <v>293</v>
      </c>
      <c r="D318">
        <v>526</v>
      </c>
      <c r="E318" t="s">
        <v>194</v>
      </c>
      <c r="F318">
        <v>5910</v>
      </c>
      <c r="G318" s="3">
        <v>2.8500000000000001E-2</v>
      </c>
      <c r="I318" s="3">
        <v>2.63E-2</v>
      </c>
      <c r="J318" s="3">
        <v>1.2999999999999999E-3</v>
      </c>
      <c r="K318" s="3">
        <v>3.0000000000000001E-3</v>
      </c>
      <c r="M318" s="3">
        <v>1.01E-2</v>
      </c>
      <c r="N318" s="3">
        <v>0.44209999999999999</v>
      </c>
      <c r="O318" s="3">
        <v>4.1700000000000001E-2</v>
      </c>
      <c r="R318" s="3">
        <v>2.92E-2</v>
      </c>
      <c r="S318" s="3">
        <v>1.8E-3</v>
      </c>
      <c r="T318" s="3">
        <v>1.5E-3</v>
      </c>
      <c r="U318" s="3">
        <v>1.4E-2</v>
      </c>
      <c r="V318" s="3">
        <v>0.12590000000000001</v>
      </c>
      <c r="W318" s="3">
        <v>0.27460000000000001</v>
      </c>
    </row>
    <row r="319" spans="1:23">
      <c r="A319" t="s">
        <v>195</v>
      </c>
      <c r="B319" t="s">
        <v>287</v>
      </c>
      <c r="C319" t="s">
        <v>292</v>
      </c>
      <c r="D319">
        <v>310</v>
      </c>
      <c r="E319" t="s">
        <v>194</v>
      </c>
      <c r="F319">
        <v>5910</v>
      </c>
      <c r="G319" s="3">
        <v>2.3900000000000001E-2</v>
      </c>
      <c r="I319" s="3">
        <v>0.1331</v>
      </c>
      <c r="J319" s="3">
        <v>2.4E-2</v>
      </c>
      <c r="K319" s="3">
        <v>4.1700000000000001E-2</v>
      </c>
      <c r="M319" s="3">
        <v>5.4000000000000003E-3</v>
      </c>
      <c r="N319" s="3">
        <v>0.53510000000000002</v>
      </c>
      <c r="O319" s="3">
        <v>4.1000000000000002E-2</v>
      </c>
      <c r="R319" s="3">
        <v>3.6400000000000002E-2</v>
      </c>
      <c r="S319" s="3">
        <v>5.9999999999999995E-4</v>
      </c>
      <c r="T319" s="3">
        <v>1.6999999999999999E-3</v>
      </c>
      <c r="U319" s="3">
        <v>5.3600000000000002E-2</v>
      </c>
      <c r="V319" s="3">
        <v>0.06</v>
      </c>
      <c r="W319" s="3">
        <v>4.3200000000000002E-2</v>
      </c>
    </row>
    <row r="320" spans="1:23">
      <c r="A320" t="s">
        <v>195</v>
      </c>
      <c r="B320" t="s">
        <v>286</v>
      </c>
      <c r="C320" t="s">
        <v>293</v>
      </c>
      <c r="D320">
        <v>220</v>
      </c>
      <c r="E320" t="s">
        <v>194</v>
      </c>
      <c r="F320">
        <v>5910</v>
      </c>
      <c r="G320" s="3">
        <v>1.95E-2</v>
      </c>
      <c r="I320" s="3">
        <v>2.9100000000000001E-2</v>
      </c>
      <c r="M320" s="3">
        <v>6.0000000000000001E-3</v>
      </c>
      <c r="N320" s="3">
        <v>0.23760000000000001</v>
      </c>
      <c r="O320" s="3">
        <v>2.8299999999999999E-2</v>
      </c>
      <c r="P320" s="3">
        <v>2E-3</v>
      </c>
      <c r="R320" s="3">
        <v>7.3899999999999993E-2</v>
      </c>
      <c r="S320" s="3">
        <v>9.1399999999999995E-2</v>
      </c>
      <c r="T320" s="3">
        <v>0.1694</v>
      </c>
      <c r="U320" s="3">
        <v>4.9399999999999999E-2</v>
      </c>
      <c r="V320" s="3">
        <v>6.4799999999999996E-2</v>
      </c>
      <c r="W320" s="3">
        <v>0.2286</v>
      </c>
    </row>
    <row r="321" spans="1:23">
      <c r="A321" t="s">
        <v>195</v>
      </c>
      <c r="B321" t="s">
        <v>286</v>
      </c>
      <c r="C321" t="s">
        <v>292</v>
      </c>
      <c r="D321">
        <v>141</v>
      </c>
      <c r="E321" t="s">
        <v>194</v>
      </c>
      <c r="F321">
        <v>5910</v>
      </c>
      <c r="G321" s="3">
        <v>9.1999999999999998E-3</v>
      </c>
      <c r="I321" s="3">
        <v>9.5100000000000004E-2</v>
      </c>
      <c r="J321" s="3">
        <v>1.06E-2</v>
      </c>
      <c r="K321" s="3">
        <v>3.6900000000000002E-2</v>
      </c>
      <c r="M321" s="3">
        <v>1.6000000000000001E-3</v>
      </c>
      <c r="N321" s="3">
        <v>0.29010000000000002</v>
      </c>
      <c r="O321" s="3">
        <v>1.4200000000000001E-2</v>
      </c>
      <c r="R321" s="3">
        <v>6.2799999999999995E-2</v>
      </c>
      <c r="S321" s="3">
        <v>0.10009999999999999</v>
      </c>
      <c r="T321" s="3">
        <v>0.15859999999999999</v>
      </c>
      <c r="U321" s="3">
        <v>0.1135</v>
      </c>
      <c r="V321" s="3">
        <v>0.10349999999999999</v>
      </c>
      <c r="W321" s="3">
        <v>3.7000000000000002E-3</v>
      </c>
    </row>
    <row r="322" spans="1:23">
      <c r="A322" t="s">
        <v>195</v>
      </c>
      <c r="B322" t="s">
        <v>285</v>
      </c>
      <c r="C322" t="s">
        <v>293</v>
      </c>
      <c r="D322">
        <v>76</v>
      </c>
      <c r="E322" t="s">
        <v>194</v>
      </c>
      <c r="F322">
        <v>5910</v>
      </c>
      <c r="S322" s="3">
        <v>0.16420000000000001</v>
      </c>
      <c r="T322" s="3">
        <v>0.82410000000000005</v>
      </c>
      <c r="V322" s="3">
        <v>2E-3</v>
      </c>
      <c r="W322" s="3">
        <v>9.7000000000000003E-3</v>
      </c>
    </row>
    <row r="323" spans="1:23">
      <c r="A323" t="s">
        <v>199</v>
      </c>
      <c r="B323" t="s">
        <v>289</v>
      </c>
      <c r="C323" t="s">
        <v>293</v>
      </c>
      <c r="D323">
        <v>381</v>
      </c>
      <c r="E323" t="s">
        <v>194</v>
      </c>
      <c r="F323">
        <v>5910</v>
      </c>
      <c r="I323" s="3">
        <v>1.67E-2</v>
      </c>
      <c r="M323" s="3">
        <v>2.3599999999999999E-2</v>
      </c>
      <c r="N323" s="3">
        <v>0.1066</v>
      </c>
      <c r="O323" s="3">
        <v>1.3899999999999999E-2</v>
      </c>
      <c r="Q323" s="3">
        <v>0.81399999999999995</v>
      </c>
      <c r="R323" s="3">
        <v>1E-4</v>
      </c>
      <c r="U323" s="3">
        <v>1.7999999999999999E-2</v>
      </c>
      <c r="V323" s="3">
        <v>6.0000000000000001E-3</v>
      </c>
      <c r="W323" s="3">
        <v>1.1999999999999999E-3</v>
      </c>
    </row>
    <row r="324" spans="1:23">
      <c r="A324" t="s">
        <v>200</v>
      </c>
      <c r="B324" t="s">
        <v>200</v>
      </c>
      <c r="C324" t="s">
        <v>200</v>
      </c>
      <c r="D324">
        <v>5910</v>
      </c>
      <c r="E324" t="s">
        <v>200</v>
      </c>
      <c r="F324">
        <v>5910</v>
      </c>
      <c r="G324" s="3">
        <v>1.55E-2</v>
      </c>
      <c r="H324" s="3">
        <v>2.0000000000000001E-4</v>
      </c>
      <c r="I324" s="3">
        <v>4.6600000000000003E-2</v>
      </c>
      <c r="J324" s="3">
        <v>1.1900000000000001E-2</v>
      </c>
      <c r="K324" s="3">
        <v>2.0500000000000001E-2</v>
      </c>
      <c r="L324" s="3">
        <v>0</v>
      </c>
      <c r="M324" s="3">
        <v>3.6600000000000001E-2</v>
      </c>
      <c r="N324" s="3">
        <v>0.37240000000000001</v>
      </c>
      <c r="O324" s="3">
        <v>2.58E-2</v>
      </c>
      <c r="P324" s="3">
        <v>6.9999999999999999E-4</v>
      </c>
      <c r="Q324" s="3">
        <v>0.1706</v>
      </c>
      <c r="R324" s="3">
        <v>3.15E-2</v>
      </c>
      <c r="S324" s="3">
        <v>2.24E-2</v>
      </c>
      <c r="T324" s="3">
        <v>6.3399999999999998E-2</v>
      </c>
      <c r="U324" s="3">
        <v>2.5999999999999999E-2</v>
      </c>
      <c r="V324" s="3">
        <v>6.2700000000000006E-2</v>
      </c>
      <c r="W324" s="3">
        <v>9.2899999999999996E-2</v>
      </c>
    </row>
    <row r="326" spans="1:23" ht="30">
      <c r="A326" s="22" t="s">
        <v>294</v>
      </c>
    </row>
    <row r="327" spans="1:23">
      <c r="A327" t="s">
        <v>185</v>
      </c>
      <c r="B327" t="s">
        <v>186</v>
      </c>
      <c r="C327" t="s">
        <v>192</v>
      </c>
      <c r="D327" t="s">
        <v>184</v>
      </c>
      <c r="E327" t="s">
        <v>193</v>
      </c>
      <c r="F327" t="s">
        <v>270</v>
      </c>
      <c r="G327" t="s">
        <v>257</v>
      </c>
      <c r="H327" t="s">
        <v>271</v>
      </c>
      <c r="I327" t="s">
        <v>272</v>
      </c>
      <c r="J327" t="s">
        <v>273</v>
      </c>
      <c r="K327" t="s">
        <v>274</v>
      </c>
      <c r="L327" t="s">
        <v>275</v>
      </c>
      <c r="M327" t="s">
        <v>276</v>
      </c>
      <c r="N327" t="s">
        <v>277</v>
      </c>
      <c r="O327" t="s">
        <v>247</v>
      </c>
      <c r="P327" t="s">
        <v>278</v>
      </c>
      <c r="Q327" t="s">
        <v>279</v>
      </c>
      <c r="R327" t="s">
        <v>280</v>
      </c>
      <c r="S327" t="s">
        <v>281</v>
      </c>
      <c r="T327" t="s">
        <v>282</v>
      </c>
      <c r="U327" t="s">
        <v>283</v>
      </c>
      <c r="V327" t="s">
        <v>284</v>
      </c>
    </row>
    <row r="328" spans="1:23">
      <c r="A328" t="s">
        <v>195</v>
      </c>
      <c r="B328" t="s">
        <v>196</v>
      </c>
      <c r="C328">
        <v>926</v>
      </c>
      <c r="D328" t="s">
        <v>194</v>
      </c>
      <c r="E328">
        <v>5910</v>
      </c>
      <c r="F328" s="3">
        <v>2.2499999999999999E-2</v>
      </c>
      <c r="H328" s="3">
        <v>4.2700000000000002E-2</v>
      </c>
      <c r="I328" s="3">
        <v>5.8999999999999999E-3</v>
      </c>
      <c r="J328" s="3">
        <v>9.7000000000000003E-3</v>
      </c>
      <c r="L328" s="3">
        <v>8.8000000000000005E-3</v>
      </c>
      <c r="M328" s="3">
        <v>0.22800000000000001</v>
      </c>
      <c r="N328" s="3">
        <v>3.8600000000000002E-2</v>
      </c>
      <c r="P328" s="3">
        <v>0.28610000000000002</v>
      </c>
      <c r="Q328" s="3">
        <v>5.0599999999999999E-2</v>
      </c>
      <c r="R328" s="3">
        <v>1.12E-2</v>
      </c>
      <c r="S328" s="3">
        <v>5.9499999999999997E-2</v>
      </c>
      <c r="T328" s="3">
        <v>3.56E-2</v>
      </c>
      <c r="U328" s="3">
        <v>0.10730000000000001</v>
      </c>
      <c r="V328" s="3">
        <v>9.3700000000000006E-2</v>
      </c>
    </row>
    <row r="329" spans="1:23">
      <c r="A329" t="s">
        <v>195</v>
      </c>
      <c r="B329" t="s">
        <v>198</v>
      </c>
      <c r="C329">
        <v>1590</v>
      </c>
      <c r="D329" t="s">
        <v>194</v>
      </c>
      <c r="E329">
        <v>5910</v>
      </c>
      <c r="F329" s="3">
        <v>1.83E-2</v>
      </c>
      <c r="G329" s="3">
        <v>1E-4</v>
      </c>
      <c r="H329" s="3">
        <v>4.3299999999999998E-2</v>
      </c>
      <c r="I329" s="3">
        <v>5.4999999999999997E-3</v>
      </c>
      <c r="J329" s="3">
        <v>1.67E-2</v>
      </c>
      <c r="L329" s="3">
        <v>7.1000000000000004E-3</v>
      </c>
      <c r="M329" s="3">
        <v>0.33489999999999998</v>
      </c>
      <c r="N329" s="3">
        <v>4.7800000000000002E-2</v>
      </c>
      <c r="O329" s="3">
        <v>2.9999999999999997E-4</v>
      </c>
      <c r="P329" s="3">
        <v>0.18410000000000001</v>
      </c>
      <c r="Q329" s="3">
        <v>2.1700000000000001E-2</v>
      </c>
      <c r="R329" s="3">
        <v>2.92E-2</v>
      </c>
      <c r="S329" s="3">
        <v>7.8299999999999995E-2</v>
      </c>
      <c r="T329" s="3">
        <v>3.2300000000000002E-2</v>
      </c>
      <c r="U329" s="3">
        <v>7.3400000000000007E-2</v>
      </c>
      <c r="V329" s="3">
        <v>0.107</v>
      </c>
    </row>
    <row r="330" spans="1:23">
      <c r="A330" t="s">
        <v>199</v>
      </c>
      <c r="B330" t="s">
        <v>196</v>
      </c>
      <c r="C330">
        <v>1268</v>
      </c>
      <c r="D330" t="s">
        <v>194</v>
      </c>
      <c r="E330">
        <v>5910</v>
      </c>
      <c r="F330" s="3">
        <v>1.78E-2</v>
      </c>
      <c r="H330" s="3">
        <v>7.5600000000000001E-2</v>
      </c>
      <c r="I330" s="3">
        <v>4.7999999999999996E-3</v>
      </c>
      <c r="J330" s="3">
        <v>3.6999999999999998E-2</v>
      </c>
      <c r="K330" s="3">
        <v>0</v>
      </c>
      <c r="L330" s="3">
        <v>5.8099999999999999E-2</v>
      </c>
      <c r="M330" s="3">
        <v>0.34439999999999998</v>
      </c>
      <c r="N330" s="3">
        <v>2.5999999999999999E-2</v>
      </c>
      <c r="P330" s="3">
        <v>0.14580000000000001</v>
      </c>
      <c r="Q330" s="3">
        <v>3.1300000000000001E-2</v>
      </c>
      <c r="R330" s="3">
        <v>8.8000000000000005E-3</v>
      </c>
      <c r="S330" s="3">
        <v>6.5199999999999994E-2</v>
      </c>
      <c r="T330" s="3">
        <v>2.92E-2</v>
      </c>
      <c r="U330" s="3">
        <v>7.5700000000000003E-2</v>
      </c>
      <c r="V330" s="3">
        <v>8.0299999999999996E-2</v>
      </c>
    </row>
    <row r="331" spans="1:23">
      <c r="A331" t="s">
        <v>199</v>
      </c>
      <c r="B331" t="s">
        <v>198</v>
      </c>
      <c r="C331">
        <v>2043</v>
      </c>
      <c r="D331" t="s">
        <v>194</v>
      </c>
      <c r="E331">
        <v>5910</v>
      </c>
      <c r="F331" s="3">
        <v>1.12E-2</v>
      </c>
      <c r="G331" s="3">
        <v>4.0000000000000002E-4</v>
      </c>
      <c r="H331" s="3">
        <v>4.2599999999999999E-2</v>
      </c>
      <c r="I331" s="3">
        <v>2.01E-2</v>
      </c>
      <c r="J331" s="3">
        <v>2.1999999999999999E-2</v>
      </c>
      <c r="K331" s="3">
        <v>1E-4</v>
      </c>
      <c r="L331" s="3">
        <v>5.9400000000000001E-2</v>
      </c>
      <c r="M331" s="3">
        <v>0.44440000000000002</v>
      </c>
      <c r="N331" s="3">
        <v>6.4999999999999997E-3</v>
      </c>
      <c r="O331" s="3">
        <v>1.4E-3</v>
      </c>
      <c r="P331" s="3">
        <v>0.1368</v>
      </c>
      <c r="Q331" s="3">
        <v>3.3500000000000002E-2</v>
      </c>
      <c r="R331" s="3">
        <v>2.4299999999999999E-2</v>
      </c>
      <c r="S331" s="3">
        <v>5.3400000000000003E-2</v>
      </c>
      <c r="T331" s="3">
        <v>1.8200000000000001E-2</v>
      </c>
      <c r="U331" s="3">
        <v>3.95E-2</v>
      </c>
      <c r="V331" s="3">
        <v>8.6199999999999999E-2</v>
      </c>
    </row>
    <row r="332" spans="1:23">
      <c r="A332" t="s">
        <v>200</v>
      </c>
      <c r="B332" t="s">
        <v>200</v>
      </c>
      <c r="C332">
        <v>5910</v>
      </c>
      <c r="D332" t="s">
        <v>200</v>
      </c>
      <c r="E332">
        <v>5910</v>
      </c>
      <c r="F332" s="3">
        <v>1.55E-2</v>
      </c>
      <c r="G332" s="3">
        <v>2.0000000000000001E-4</v>
      </c>
      <c r="H332" s="3">
        <v>4.6600000000000003E-2</v>
      </c>
      <c r="I332" s="3">
        <v>1.1900000000000001E-2</v>
      </c>
      <c r="J332" s="3">
        <v>2.0500000000000001E-2</v>
      </c>
      <c r="K332" s="3">
        <v>0</v>
      </c>
      <c r="L332" s="3">
        <v>3.6600000000000001E-2</v>
      </c>
      <c r="M332" s="3">
        <v>0.37240000000000001</v>
      </c>
      <c r="N332" s="3">
        <v>2.58E-2</v>
      </c>
      <c r="O332" s="3">
        <v>6.9999999999999999E-4</v>
      </c>
      <c r="P332" s="3">
        <v>0.1706</v>
      </c>
      <c r="Q332" s="3">
        <v>3.15E-2</v>
      </c>
      <c r="R332" s="3">
        <v>2.24E-2</v>
      </c>
      <c r="S332" s="3">
        <v>6.3399999999999998E-2</v>
      </c>
      <c r="T332" s="3">
        <v>2.5999999999999999E-2</v>
      </c>
      <c r="U332" s="3">
        <v>6.2700000000000006E-2</v>
      </c>
      <c r="V332" s="3">
        <v>9.2899999999999996E-2</v>
      </c>
    </row>
    <row r="334" spans="1:23" ht="45">
      <c r="A334" s="22" t="s">
        <v>295</v>
      </c>
    </row>
    <row r="335" spans="1:23">
      <c r="A335" t="s">
        <v>185</v>
      </c>
      <c r="B335" t="s">
        <v>186</v>
      </c>
      <c r="C335" t="s">
        <v>192</v>
      </c>
      <c r="D335" t="s">
        <v>184</v>
      </c>
      <c r="E335" t="s">
        <v>193</v>
      </c>
      <c r="F335" t="s">
        <v>270</v>
      </c>
      <c r="G335" t="s">
        <v>257</v>
      </c>
      <c r="H335" t="s">
        <v>271</v>
      </c>
      <c r="I335" t="s">
        <v>272</v>
      </c>
      <c r="J335" t="s">
        <v>273</v>
      </c>
      <c r="K335" t="s">
        <v>274</v>
      </c>
      <c r="L335" t="s">
        <v>275</v>
      </c>
      <c r="M335" t="s">
        <v>276</v>
      </c>
      <c r="N335" t="s">
        <v>277</v>
      </c>
      <c r="O335" t="s">
        <v>247</v>
      </c>
      <c r="P335" t="s">
        <v>278</v>
      </c>
      <c r="Q335" t="s">
        <v>279</v>
      </c>
      <c r="R335" t="s">
        <v>280</v>
      </c>
      <c r="S335" t="s">
        <v>281</v>
      </c>
      <c r="T335" t="s">
        <v>282</v>
      </c>
      <c r="U335" t="s">
        <v>283</v>
      </c>
      <c r="V335" t="s">
        <v>284</v>
      </c>
    </row>
    <row r="336" spans="1:23">
      <c r="A336" t="s">
        <v>195</v>
      </c>
      <c r="B336" t="s">
        <v>202</v>
      </c>
      <c r="C336">
        <v>1151</v>
      </c>
      <c r="D336" t="s">
        <v>194</v>
      </c>
      <c r="E336">
        <v>5910</v>
      </c>
      <c r="F336" s="3">
        <v>1.18E-2</v>
      </c>
      <c r="H336" s="3">
        <v>3.9100000000000003E-2</v>
      </c>
      <c r="I336" s="3">
        <v>4.0000000000000001E-3</v>
      </c>
      <c r="J336" s="3">
        <v>1.9E-2</v>
      </c>
      <c r="L336" s="3">
        <v>8.6E-3</v>
      </c>
      <c r="M336" s="3">
        <v>0.32240000000000002</v>
      </c>
      <c r="N336" s="3">
        <v>3.95E-2</v>
      </c>
      <c r="P336" s="3">
        <v>0.23150000000000001</v>
      </c>
      <c r="Q336" s="3">
        <v>3.1099999999999999E-2</v>
      </c>
      <c r="R336" s="3">
        <v>1.7500000000000002E-2</v>
      </c>
      <c r="S336" s="3">
        <v>7.3999999999999996E-2</v>
      </c>
      <c r="T336" s="3">
        <v>2.52E-2</v>
      </c>
      <c r="U336" s="3">
        <v>8.1900000000000001E-2</v>
      </c>
      <c r="V336" s="3">
        <v>9.4299999999999995E-2</v>
      </c>
    </row>
    <row r="337" spans="1:22">
      <c r="A337" t="s">
        <v>195</v>
      </c>
      <c r="B337" t="s">
        <v>204</v>
      </c>
      <c r="C337">
        <v>656</v>
      </c>
      <c r="D337" t="s">
        <v>194</v>
      </c>
      <c r="E337">
        <v>5910</v>
      </c>
      <c r="F337" s="3">
        <v>3.2000000000000001E-2</v>
      </c>
      <c r="H337" s="3">
        <v>6.2100000000000002E-2</v>
      </c>
      <c r="I337" s="3">
        <v>9.4999999999999998E-3</v>
      </c>
      <c r="J337" s="3">
        <v>1.0200000000000001E-2</v>
      </c>
      <c r="L337" s="3">
        <v>7.0000000000000001E-3</v>
      </c>
      <c r="M337" s="3">
        <v>0.29430000000000001</v>
      </c>
      <c r="N337" s="3">
        <v>4.2299999999999997E-2</v>
      </c>
      <c r="O337" s="3">
        <v>1E-3</v>
      </c>
      <c r="P337" s="3">
        <v>0.18629999999999999</v>
      </c>
      <c r="Q337" s="3">
        <v>3.0700000000000002E-2</v>
      </c>
      <c r="R337" s="3">
        <v>3.4299999999999997E-2</v>
      </c>
      <c r="S337" s="3">
        <v>7.5300000000000006E-2</v>
      </c>
      <c r="T337" s="3">
        <v>3.9800000000000002E-2</v>
      </c>
      <c r="U337" s="3">
        <v>7.2999999999999995E-2</v>
      </c>
      <c r="V337" s="3">
        <v>0.1022</v>
      </c>
    </row>
    <row r="338" spans="1:22">
      <c r="A338" t="s">
        <v>195</v>
      </c>
      <c r="B338" t="s">
        <v>205</v>
      </c>
      <c r="C338">
        <v>709</v>
      </c>
      <c r="D338" t="s">
        <v>194</v>
      </c>
      <c r="E338">
        <v>5910</v>
      </c>
      <c r="F338" s="3">
        <v>3.5299999999999998E-2</v>
      </c>
      <c r="G338" s="3">
        <v>4.0000000000000002E-4</v>
      </c>
      <c r="H338" s="3">
        <v>3.1699999999999999E-2</v>
      </c>
      <c r="I338" s="3">
        <v>6.6E-3</v>
      </c>
      <c r="J338" s="3">
        <v>2.2000000000000001E-3</v>
      </c>
      <c r="L338" s="3">
        <v>3.5000000000000001E-3</v>
      </c>
      <c r="M338" s="3">
        <v>0.24440000000000001</v>
      </c>
      <c r="N338" s="3">
        <v>7.7100000000000002E-2</v>
      </c>
      <c r="P338" s="3">
        <v>0.16209999999999999</v>
      </c>
      <c r="Q338" s="3">
        <v>2.0799999999999999E-2</v>
      </c>
      <c r="R338" s="3">
        <v>4.0099999999999997E-2</v>
      </c>
      <c r="S338" s="3">
        <v>6.5500000000000003E-2</v>
      </c>
      <c r="T338" s="3">
        <v>0.06</v>
      </c>
      <c r="U338" s="3">
        <v>0.1018</v>
      </c>
      <c r="V338" s="3">
        <v>0.14829999999999999</v>
      </c>
    </row>
    <row r="339" spans="1:22">
      <c r="A339" t="s">
        <v>199</v>
      </c>
      <c r="B339" t="s">
        <v>202</v>
      </c>
      <c r="C339">
        <v>1201</v>
      </c>
      <c r="D339" t="s">
        <v>194</v>
      </c>
      <c r="E339">
        <v>5910</v>
      </c>
      <c r="F339" s="3">
        <v>0.01</v>
      </c>
      <c r="H339" s="3">
        <v>5.3600000000000002E-2</v>
      </c>
      <c r="I339" s="3">
        <v>1.5100000000000001E-2</v>
      </c>
      <c r="J339" s="3">
        <v>2.7E-2</v>
      </c>
      <c r="L339" s="3">
        <v>6.6500000000000004E-2</v>
      </c>
      <c r="M339" s="3">
        <v>0.45</v>
      </c>
      <c r="N339" s="3">
        <v>9.1000000000000004E-3</v>
      </c>
      <c r="P339" s="3">
        <v>0.1363</v>
      </c>
      <c r="Q339" s="3">
        <v>2.93E-2</v>
      </c>
      <c r="R339" s="3">
        <v>2.18E-2</v>
      </c>
      <c r="S339" s="3">
        <v>5.2299999999999999E-2</v>
      </c>
      <c r="T339" s="3">
        <v>1.5900000000000001E-2</v>
      </c>
      <c r="U339" s="3">
        <v>3.7499999999999999E-2</v>
      </c>
      <c r="V339" s="3">
        <v>7.5499999999999998E-2</v>
      </c>
    </row>
    <row r="340" spans="1:22">
      <c r="A340" t="s">
        <v>199</v>
      </c>
      <c r="B340" t="s">
        <v>204</v>
      </c>
      <c r="C340">
        <v>944</v>
      </c>
      <c r="D340" t="s">
        <v>194</v>
      </c>
      <c r="E340">
        <v>5910</v>
      </c>
      <c r="F340" s="3">
        <v>0.01</v>
      </c>
      <c r="G340" s="3">
        <v>1.6000000000000001E-3</v>
      </c>
      <c r="H340" s="3">
        <v>4.07E-2</v>
      </c>
      <c r="I340" s="3">
        <v>3.6400000000000002E-2</v>
      </c>
      <c r="J340" s="3">
        <v>1.84E-2</v>
      </c>
      <c r="L340" s="3">
        <v>4.0800000000000003E-2</v>
      </c>
      <c r="M340" s="3">
        <v>0.379</v>
      </c>
      <c r="N340" s="3">
        <v>1.23E-2</v>
      </c>
      <c r="O340" s="3">
        <v>4.0000000000000002E-4</v>
      </c>
      <c r="P340" s="3">
        <v>0.12479999999999999</v>
      </c>
      <c r="Q340" s="3">
        <v>4.3400000000000001E-2</v>
      </c>
      <c r="R340" s="3">
        <v>2.0400000000000001E-2</v>
      </c>
      <c r="S340" s="3">
        <v>5.3699999999999998E-2</v>
      </c>
      <c r="T340" s="3">
        <v>2.5100000000000001E-2</v>
      </c>
      <c r="U340" s="3">
        <v>6.6699999999999995E-2</v>
      </c>
      <c r="V340" s="3">
        <v>0.12609999999999999</v>
      </c>
    </row>
    <row r="341" spans="1:22">
      <c r="A341" t="s">
        <v>199</v>
      </c>
      <c r="B341" t="s">
        <v>205</v>
      </c>
      <c r="C341">
        <v>1166</v>
      </c>
      <c r="D341" t="s">
        <v>194</v>
      </c>
      <c r="E341">
        <v>5910</v>
      </c>
      <c r="F341" s="3">
        <v>2.4799999999999999E-2</v>
      </c>
      <c r="H341" s="3">
        <v>4.4499999999999998E-2</v>
      </c>
      <c r="I341" s="3">
        <v>1.2999999999999999E-3</v>
      </c>
      <c r="J341" s="3">
        <v>2.58E-2</v>
      </c>
      <c r="K341" s="3">
        <v>4.0000000000000002E-4</v>
      </c>
      <c r="L341" s="3">
        <v>5.28E-2</v>
      </c>
      <c r="M341" s="3">
        <v>0.37659999999999999</v>
      </c>
      <c r="N341" s="3">
        <v>1.4200000000000001E-2</v>
      </c>
      <c r="O341" s="3">
        <v>6.0000000000000001E-3</v>
      </c>
      <c r="P341" s="3">
        <v>0.16320000000000001</v>
      </c>
      <c r="Q341" s="3">
        <v>3.5000000000000003E-2</v>
      </c>
      <c r="R341" s="3">
        <v>1.89E-2</v>
      </c>
      <c r="S341" s="3">
        <v>7.1400000000000005E-2</v>
      </c>
      <c r="T341" s="3">
        <v>3.2199999999999999E-2</v>
      </c>
      <c r="U341" s="3">
        <v>0.06</v>
      </c>
      <c r="V341" s="3">
        <v>7.2999999999999995E-2</v>
      </c>
    </row>
    <row r="342" spans="1:22">
      <c r="A342" t="s">
        <v>200</v>
      </c>
      <c r="B342" t="s">
        <v>200</v>
      </c>
      <c r="C342">
        <v>5910</v>
      </c>
      <c r="D342" t="s">
        <v>200</v>
      </c>
      <c r="E342">
        <v>5910</v>
      </c>
      <c r="F342" s="3">
        <v>1.55E-2</v>
      </c>
      <c r="G342" s="3">
        <v>2.0000000000000001E-4</v>
      </c>
      <c r="H342" s="3">
        <v>4.6600000000000003E-2</v>
      </c>
      <c r="I342" s="3">
        <v>1.1900000000000001E-2</v>
      </c>
      <c r="J342" s="3">
        <v>2.0500000000000001E-2</v>
      </c>
      <c r="K342" s="3">
        <v>0</v>
      </c>
      <c r="L342" s="3">
        <v>3.6600000000000001E-2</v>
      </c>
      <c r="M342" s="3">
        <v>0.37240000000000001</v>
      </c>
      <c r="N342" s="3">
        <v>2.58E-2</v>
      </c>
      <c r="O342" s="3">
        <v>6.9999999999999999E-4</v>
      </c>
      <c r="P342" s="3">
        <v>0.1706</v>
      </c>
      <c r="Q342" s="3">
        <v>3.15E-2</v>
      </c>
      <c r="R342" s="3">
        <v>2.24E-2</v>
      </c>
      <c r="S342" s="3">
        <v>6.3399999999999998E-2</v>
      </c>
      <c r="T342" s="3">
        <v>2.5999999999999999E-2</v>
      </c>
      <c r="U342" s="3">
        <v>6.2700000000000006E-2</v>
      </c>
      <c r="V342" s="3">
        <v>9.2899999999999996E-2</v>
      </c>
    </row>
    <row r="344" spans="1:22" ht="45">
      <c r="A344" s="22" t="s">
        <v>296</v>
      </c>
    </row>
    <row r="345" spans="1:22">
      <c r="A345" t="s">
        <v>185</v>
      </c>
      <c r="B345" t="s">
        <v>186</v>
      </c>
      <c r="C345" t="s">
        <v>192</v>
      </c>
      <c r="D345" t="s">
        <v>184</v>
      </c>
      <c r="E345" t="s">
        <v>193</v>
      </c>
      <c r="F345" t="s">
        <v>270</v>
      </c>
      <c r="G345" t="s">
        <v>257</v>
      </c>
      <c r="H345" t="s">
        <v>271</v>
      </c>
      <c r="I345" t="s">
        <v>272</v>
      </c>
      <c r="J345" t="s">
        <v>273</v>
      </c>
      <c r="K345" t="s">
        <v>274</v>
      </c>
      <c r="L345" t="s">
        <v>275</v>
      </c>
      <c r="M345" t="s">
        <v>276</v>
      </c>
      <c r="N345" t="s">
        <v>277</v>
      </c>
      <c r="O345" t="s">
        <v>247</v>
      </c>
      <c r="P345" t="s">
        <v>278</v>
      </c>
      <c r="Q345" t="s">
        <v>279</v>
      </c>
      <c r="R345" t="s">
        <v>280</v>
      </c>
      <c r="S345" t="s">
        <v>281</v>
      </c>
      <c r="T345" t="s">
        <v>282</v>
      </c>
      <c r="U345" t="s">
        <v>283</v>
      </c>
      <c r="V345" t="s">
        <v>284</v>
      </c>
    </row>
    <row r="346" spans="1:22">
      <c r="A346" t="s">
        <v>195</v>
      </c>
      <c r="B346" t="s">
        <v>207</v>
      </c>
      <c r="C346">
        <v>767</v>
      </c>
      <c r="D346" t="s">
        <v>194</v>
      </c>
      <c r="E346">
        <v>5910</v>
      </c>
      <c r="F346" s="3">
        <v>1.72E-2</v>
      </c>
      <c r="H346" s="3">
        <v>2.1999999999999999E-2</v>
      </c>
      <c r="I346" s="3">
        <v>3.0999999999999999E-3</v>
      </c>
      <c r="J346" s="3">
        <v>1.14E-2</v>
      </c>
      <c r="L346" s="3">
        <v>3.3999999999999998E-3</v>
      </c>
      <c r="M346" s="3">
        <v>0.23400000000000001</v>
      </c>
      <c r="N346" s="3">
        <v>9.7500000000000003E-2</v>
      </c>
      <c r="P346" s="3">
        <v>0.36170000000000002</v>
      </c>
      <c r="Q346" s="3">
        <v>1.6199999999999999E-2</v>
      </c>
      <c r="R346" s="3">
        <v>7.7000000000000002E-3</v>
      </c>
      <c r="S346" s="3">
        <v>7.8200000000000006E-2</v>
      </c>
      <c r="T346" s="3">
        <v>1.4999999999999999E-2</v>
      </c>
      <c r="U346" s="3">
        <v>5.9400000000000001E-2</v>
      </c>
      <c r="V346" s="3">
        <v>7.2999999999999995E-2</v>
      </c>
    </row>
    <row r="347" spans="1:22">
      <c r="A347" t="s">
        <v>195</v>
      </c>
      <c r="B347" t="s">
        <v>209</v>
      </c>
      <c r="C347">
        <v>1791</v>
      </c>
      <c r="D347" t="s">
        <v>194</v>
      </c>
      <c r="E347">
        <v>5910</v>
      </c>
      <c r="F347" s="3">
        <v>2.0299999999999999E-2</v>
      </c>
      <c r="G347" s="3">
        <v>1E-4</v>
      </c>
      <c r="H347" s="3">
        <v>5.1400000000000001E-2</v>
      </c>
      <c r="I347" s="3">
        <v>6.6E-3</v>
      </c>
      <c r="J347" s="3">
        <v>1.61E-2</v>
      </c>
      <c r="L347" s="3">
        <v>9.1999999999999998E-3</v>
      </c>
      <c r="M347" s="3">
        <v>0.33600000000000002</v>
      </c>
      <c r="N347" s="3">
        <v>2.4299999999999999E-2</v>
      </c>
      <c r="O347" s="3">
        <v>2.9999999999999997E-4</v>
      </c>
      <c r="P347" s="3">
        <v>0.151</v>
      </c>
      <c r="Q347" s="3">
        <v>3.4799999999999998E-2</v>
      </c>
      <c r="R347" s="3">
        <v>3.09E-2</v>
      </c>
      <c r="S347" s="3">
        <v>7.0999999999999994E-2</v>
      </c>
      <c r="T347" s="3">
        <v>4.0399999999999998E-2</v>
      </c>
      <c r="U347" s="3">
        <v>9.2299999999999993E-2</v>
      </c>
      <c r="V347" s="3">
        <v>0.1153</v>
      </c>
    </row>
    <row r="348" spans="1:22">
      <c r="A348" t="s">
        <v>199</v>
      </c>
      <c r="B348" t="s">
        <v>207</v>
      </c>
      <c r="C348">
        <v>731</v>
      </c>
      <c r="D348" t="s">
        <v>194</v>
      </c>
      <c r="E348">
        <v>5910</v>
      </c>
      <c r="F348" s="3">
        <v>1.6400000000000001E-2</v>
      </c>
      <c r="H348" s="3">
        <v>6.6600000000000006E-2</v>
      </c>
      <c r="I348" s="3">
        <v>1.0699999999999999E-2</v>
      </c>
      <c r="J348" s="3">
        <v>3.6900000000000002E-2</v>
      </c>
      <c r="K348" s="3">
        <v>5.0000000000000001E-4</v>
      </c>
      <c r="L348" s="3">
        <v>4.2200000000000001E-2</v>
      </c>
      <c r="M348" s="3">
        <v>0.33810000000000001</v>
      </c>
      <c r="N348" s="3">
        <v>3.6600000000000001E-2</v>
      </c>
      <c r="O348" s="3">
        <v>6.1999999999999998E-3</v>
      </c>
      <c r="P348" s="3">
        <v>0.2475</v>
      </c>
      <c r="Q348" s="3">
        <v>2E-3</v>
      </c>
      <c r="R348" s="3">
        <v>2.58E-2</v>
      </c>
      <c r="S348" s="3">
        <v>5.4800000000000001E-2</v>
      </c>
      <c r="T348" s="3">
        <v>2.2800000000000001E-2</v>
      </c>
      <c r="U348" s="3">
        <v>5.8900000000000001E-2</v>
      </c>
      <c r="V348" s="3">
        <v>3.4000000000000002E-2</v>
      </c>
    </row>
    <row r="349" spans="1:22">
      <c r="A349" t="s">
        <v>199</v>
      </c>
      <c r="B349" t="s">
        <v>209</v>
      </c>
      <c r="C349">
        <v>2621</v>
      </c>
      <c r="D349" t="s">
        <v>194</v>
      </c>
      <c r="E349">
        <v>5910</v>
      </c>
      <c r="F349" s="3">
        <v>1.1900000000000001E-2</v>
      </c>
      <c r="G349" s="3">
        <v>4.0000000000000002E-4</v>
      </c>
      <c r="H349" s="3">
        <v>4.65E-2</v>
      </c>
      <c r="I349" s="3">
        <v>1.7899999999999999E-2</v>
      </c>
      <c r="J349" s="3">
        <v>2.3099999999999999E-2</v>
      </c>
      <c r="L349" s="3">
        <v>6.2E-2</v>
      </c>
      <c r="M349" s="3">
        <v>0.43790000000000001</v>
      </c>
      <c r="N349" s="3">
        <v>6.1999999999999998E-3</v>
      </c>
      <c r="O349" s="3">
        <v>2.0000000000000001E-4</v>
      </c>
      <c r="P349" s="3">
        <v>0.1203</v>
      </c>
      <c r="Q349" s="3">
        <v>3.8300000000000001E-2</v>
      </c>
      <c r="R349" s="3">
        <v>2.0299999999999999E-2</v>
      </c>
      <c r="S349" s="3">
        <v>5.6099999999999997E-2</v>
      </c>
      <c r="T349" s="3">
        <v>2.0199999999999999E-2</v>
      </c>
      <c r="U349" s="3">
        <v>4.4999999999999998E-2</v>
      </c>
      <c r="V349" s="3">
        <v>9.3600000000000003E-2</v>
      </c>
    </row>
    <row r="350" spans="1:22">
      <c r="A350" t="s">
        <v>200</v>
      </c>
      <c r="B350" t="s">
        <v>200</v>
      </c>
      <c r="C350">
        <v>5910</v>
      </c>
      <c r="D350" t="s">
        <v>200</v>
      </c>
      <c r="E350">
        <v>5910</v>
      </c>
      <c r="F350" s="3">
        <v>1.55E-2</v>
      </c>
      <c r="G350" s="3">
        <v>2.0000000000000001E-4</v>
      </c>
      <c r="H350" s="3">
        <v>4.6600000000000003E-2</v>
      </c>
      <c r="I350" s="3">
        <v>1.1900000000000001E-2</v>
      </c>
      <c r="J350" s="3">
        <v>2.0500000000000001E-2</v>
      </c>
      <c r="K350" s="3">
        <v>0</v>
      </c>
      <c r="L350" s="3">
        <v>3.6600000000000001E-2</v>
      </c>
      <c r="M350" s="3">
        <v>0.37240000000000001</v>
      </c>
      <c r="N350" s="3">
        <v>2.58E-2</v>
      </c>
      <c r="O350" s="3">
        <v>6.9999999999999999E-4</v>
      </c>
      <c r="P350" s="3">
        <v>0.1706</v>
      </c>
      <c r="Q350" s="3">
        <v>3.15E-2</v>
      </c>
      <c r="R350" s="3">
        <v>2.24E-2</v>
      </c>
      <c r="S350" s="3">
        <v>6.3399999999999998E-2</v>
      </c>
      <c r="T350" s="3">
        <v>2.5999999999999999E-2</v>
      </c>
      <c r="U350" s="3">
        <v>6.2700000000000006E-2</v>
      </c>
      <c r="V350" s="3">
        <v>9.2899999999999996E-2</v>
      </c>
    </row>
    <row r="352" spans="1:22" ht="45">
      <c r="A352" s="22" t="s">
        <v>297</v>
      </c>
    </row>
    <row r="353" spans="1:22">
      <c r="A353" t="s">
        <v>185</v>
      </c>
      <c r="B353" t="s">
        <v>192</v>
      </c>
      <c r="C353" t="s">
        <v>184</v>
      </c>
      <c r="D353" t="s">
        <v>193</v>
      </c>
      <c r="E353" t="s">
        <v>270</v>
      </c>
      <c r="F353" t="s">
        <v>257</v>
      </c>
      <c r="G353" t="s">
        <v>271</v>
      </c>
      <c r="H353" t="s">
        <v>272</v>
      </c>
      <c r="I353" t="s">
        <v>273</v>
      </c>
      <c r="J353" t="s">
        <v>274</v>
      </c>
      <c r="K353" t="s">
        <v>275</v>
      </c>
      <c r="L353" t="s">
        <v>276</v>
      </c>
      <c r="M353" t="s">
        <v>277</v>
      </c>
      <c r="N353" t="s">
        <v>247</v>
      </c>
      <c r="O353" t="s">
        <v>278</v>
      </c>
      <c r="P353" t="s">
        <v>279</v>
      </c>
      <c r="Q353" t="s">
        <v>280</v>
      </c>
      <c r="R353" t="s">
        <v>281</v>
      </c>
      <c r="S353" t="s">
        <v>282</v>
      </c>
      <c r="T353" t="s">
        <v>283</v>
      </c>
      <c r="U353" t="s">
        <v>284</v>
      </c>
    </row>
    <row r="354" spans="1:22">
      <c r="A354" t="s">
        <v>195</v>
      </c>
      <c r="B354">
        <v>2558</v>
      </c>
      <c r="C354" t="s">
        <v>194</v>
      </c>
      <c r="D354">
        <v>5910</v>
      </c>
      <c r="E354" s="3">
        <v>1.9400000000000001E-2</v>
      </c>
      <c r="F354" s="3">
        <v>1E-4</v>
      </c>
      <c r="G354" s="3">
        <v>4.2900000000000001E-2</v>
      </c>
      <c r="H354" s="3">
        <v>5.5999999999999999E-3</v>
      </c>
      <c r="I354" s="3">
        <v>1.47E-2</v>
      </c>
      <c r="K354" s="3">
        <v>7.6E-3</v>
      </c>
      <c r="L354" s="3">
        <v>0.30649999999999999</v>
      </c>
      <c r="M354" s="3">
        <v>4.5499999999999999E-2</v>
      </c>
      <c r="N354" s="3">
        <v>2.0000000000000001E-4</v>
      </c>
      <c r="O354" s="3">
        <v>0.21190000000000001</v>
      </c>
      <c r="P354" s="3">
        <v>2.9499999999999998E-2</v>
      </c>
      <c r="Q354" s="3">
        <v>2.4199999999999999E-2</v>
      </c>
      <c r="R354" s="3">
        <v>7.3099999999999998E-2</v>
      </c>
      <c r="S354" s="3">
        <v>3.3099999999999997E-2</v>
      </c>
      <c r="T354" s="3">
        <v>8.2799999999999999E-2</v>
      </c>
      <c r="U354" s="3">
        <v>0.1031</v>
      </c>
    </row>
    <row r="355" spans="1:22">
      <c r="A355" t="s">
        <v>199</v>
      </c>
      <c r="B355">
        <v>3352</v>
      </c>
      <c r="C355" t="s">
        <v>194</v>
      </c>
      <c r="D355">
        <v>5910</v>
      </c>
      <c r="E355" s="3">
        <v>1.26E-2</v>
      </c>
      <c r="F355" s="3">
        <v>2.9999999999999997E-4</v>
      </c>
      <c r="G355" s="3">
        <v>4.9399999999999999E-2</v>
      </c>
      <c r="H355" s="3">
        <v>1.6899999999999998E-2</v>
      </c>
      <c r="I355" s="3">
        <v>2.5100000000000001E-2</v>
      </c>
      <c r="J355" s="3">
        <v>1E-4</v>
      </c>
      <c r="K355" s="3">
        <v>5.91E-2</v>
      </c>
      <c r="L355" s="3">
        <v>0.42349999999999999</v>
      </c>
      <c r="M355" s="3">
        <v>1.06E-2</v>
      </c>
      <c r="N355" s="3">
        <v>1.1000000000000001E-3</v>
      </c>
      <c r="O355" s="3">
        <v>0.1386</v>
      </c>
      <c r="P355" s="3">
        <v>3.3099999999999997E-2</v>
      </c>
      <c r="Q355" s="3">
        <v>2.1100000000000001E-2</v>
      </c>
      <c r="R355" s="3">
        <v>5.5899999999999998E-2</v>
      </c>
      <c r="S355" s="3">
        <v>2.06E-2</v>
      </c>
      <c r="T355" s="3">
        <v>4.7E-2</v>
      </c>
      <c r="U355" s="3">
        <v>8.5099999999999995E-2</v>
      </c>
    </row>
    <row r="356" spans="1:22">
      <c r="A356" t="s">
        <v>200</v>
      </c>
      <c r="B356">
        <v>5910</v>
      </c>
      <c r="C356" t="s">
        <v>200</v>
      </c>
      <c r="D356">
        <v>5910</v>
      </c>
      <c r="E356" s="3">
        <v>1.55E-2</v>
      </c>
      <c r="F356" s="3">
        <v>2.0000000000000001E-4</v>
      </c>
      <c r="G356" s="3">
        <v>4.6600000000000003E-2</v>
      </c>
      <c r="H356" s="3">
        <v>1.1900000000000001E-2</v>
      </c>
      <c r="I356" s="3">
        <v>2.0500000000000001E-2</v>
      </c>
      <c r="J356" s="3">
        <v>0</v>
      </c>
      <c r="K356" s="3">
        <v>3.6600000000000001E-2</v>
      </c>
      <c r="L356" s="3">
        <v>0.37240000000000001</v>
      </c>
      <c r="M356" s="3">
        <v>2.58E-2</v>
      </c>
      <c r="N356" s="3">
        <v>6.9999999999999999E-4</v>
      </c>
      <c r="O356" s="3">
        <v>0.1706</v>
      </c>
      <c r="P356" s="3">
        <v>3.15E-2</v>
      </c>
      <c r="Q356" s="3">
        <v>2.24E-2</v>
      </c>
      <c r="R356" s="3">
        <v>6.3399999999999998E-2</v>
      </c>
      <c r="S356" s="3">
        <v>2.5999999999999999E-2</v>
      </c>
      <c r="T356" s="3">
        <v>6.2700000000000006E-2</v>
      </c>
      <c r="U356" s="3">
        <v>9.2899999999999996E-2</v>
      </c>
    </row>
    <row r="358" spans="1:22" ht="30">
      <c r="A358" s="22" t="s">
        <v>298</v>
      </c>
    </row>
    <row r="359" spans="1:22">
      <c r="A359" t="s">
        <v>185</v>
      </c>
      <c r="B359" t="s">
        <v>186</v>
      </c>
      <c r="C359" t="s">
        <v>192</v>
      </c>
      <c r="D359" t="s">
        <v>184</v>
      </c>
      <c r="E359" t="s">
        <v>193</v>
      </c>
      <c r="F359" t="s">
        <v>270</v>
      </c>
      <c r="G359" t="s">
        <v>257</v>
      </c>
      <c r="H359" t="s">
        <v>271</v>
      </c>
      <c r="I359" t="s">
        <v>272</v>
      </c>
      <c r="J359" t="s">
        <v>273</v>
      </c>
      <c r="K359" t="s">
        <v>274</v>
      </c>
      <c r="L359" t="s">
        <v>275</v>
      </c>
      <c r="M359" t="s">
        <v>276</v>
      </c>
      <c r="N359" t="s">
        <v>277</v>
      </c>
      <c r="O359" t="s">
        <v>247</v>
      </c>
      <c r="P359" t="s">
        <v>278</v>
      </c>
      <c r="Q359" t="s">
        <v>279</v>
      </c>
      <c r="R359" t="s">
        <v>280</v>
      </c>
      <c r="S359" t="s">
        <v>281</v>
      </c>
      <c r="T359" t="s">
        <v>282</v>
      </c>
      <c r="U359" t="s">
        <v>283</v>
      </c>
      <c r="V359" t="s">
        <v>284</v>
      </c>
    </row>
    <row r="360" spans="1:22">
      <c r="A360" t="s">
        <v>195</v>
      </c>
      <c r="B360" t="s">
        <v>212</v>
      </c>
      <c r="C360">
        <v>1891</v>
      </c>
      <c r="D360" t="s">
        <v>194</v>
      </c>
      <c r="E360">
        <v>5910</v>
      </c>
      <c r="F360" s="3">
        <v>2.0500000000000001E-2</v>
      </c>
      <c r="G360" s="3">
        <v>1E-4</v>
      </c>
      <c r="H360" s="3">
        <v>3.73E-2</v>
      </c>
      <c r="I360" s="3">
        <v>6.1000000000000004E-3</v>
      </c>
      <c r="J360" s="3">
        <v>1.66E-2</v>
      </c>
      <c r="L360" s="3">
        <v>8.0000000000000002E-3</v>
      </c>
      <c r="M360" s="3">
        <v>0.32619999999999999</v>
      </c>
      <c r="N360" s="3">
        <v>4.3099999999999999E-2</v>
      </c>
      <c r="O360" s="3">
        <v>2.9999999999999997E-4</v>
      </c>
      <c r="P360" s="3">
        <v>0.2021</v>
      </c>
      <c r="Q360" s="3">
        <v>3.3700000000000001E-2</v>
      </c>
      <c r="R360" s="3">
        <v>2.35E-2</v>
      </c>
      <c r="S360" s="3">
        <v>7.4800000000000005E-2</v>
      </c>
      <c r="T360" s="3">
        <v>2.9000000000000001E-2</v>
      </c>
      <c r="U360" s="3">
        <v>7.4499999999999997E-2</v>
      </c>
      <c r="V360" s="3">
        <v>0.104</v>
      </c>
    </row>
    <row r="361" spans="1:22">
      <c r="A361" t="s">
        <v>195</v>
      </c>
      <c r="B361" t="s">
        <v>214</v>
      </c>
      <c r="C361">
        <v>181</v>
      </c>
      <c r="D361" t="s">
        <v>194</v>
      </c>
      <c r="E361">
        <v>5910</v>
      </c>
      <c r="F361" s="3">
        <v>1.54E-2</v>
      </c>
      <c r="H361" s="3">
        <v>7.22E-2</v>
      </c>
      <c r="L361" s="3">
        <v>6.7999999999999996E-3</v>
      </c>
      <c r="M361" s="3">
        <v>0.2082</v>
      </c>
      <c r="N361" s="3">
        <v>3.9899999999999998E-2</v>
      </c>
      <c r="P361" s="3">
        <v>0.41889999999999999</v>
      </c>
      <c r="Q361" s="3">
        <v>2.6700000000000002E-2</v>
      </c>
      <c r="R361" s="3">
        <v>3.95E-2</v>
      </c>
      <c r="T361" s="3">
        <v>8.0399999999999999E-2</v>
      </c>
      <c r="U361" s="3">
        <v>8.9300000000000004E-2</v>
      </c>
      <c r="V361" s="3">
        <v>2.8999999999999998E-3</v>
      </c>
    </row>
    <row r="362" spans="1:22">
      <c r="A362" t="s">
        <v>195</v>
      </c>
      <c r="B362" t="s">
        <v>215</v>
      </c>
      <c r="C362">
        <v>486</v>
      </c>
      <c r="D362" t="s">
        <v>194</v>
      </c>
      <c r="E362">
        <v>5910</v>
      </c>
      <c r="F362" s="3">
        <v>1.52E-2</v>
      </c>
      <c r="H362" s="3">
        <v>5.79E-2</v>
      </c>
      <c r="I362" s="3">
        <v>5.7000000000000002E-3</v>
      </c>
      <c r="J362" s="3">
        <v>1.29E-2</v>
      </c>
      <c r="L362" s="3">
        <v>5.3E-3</v>
      </c>
      <c r="M362" s="3">
        <v>0.25159999999999999</v>
      </c>
      <c r="N362" s="3">
        <v>6.1899999999999997E-2</v>
      </c>
      <c r="P362" s="3">
        <v>0.14960000000000001</v>
      </c>
      <c r="Q362" s="3">
        <v>7.1000000000000004E-3</v>
      </c>
      <c r="R362" s="3">
        <v>1.9099999999999999E-2</v>
      </c>
      <c r="S362" s="3">
        <v>0.1046</v>
      </c>
      <c r="T362" s="3">
        <v>2.9000000000000001E-2</v>
      </c>
      <c r="U362" s="3">
        <v>0.12540000000000001</v>
      </c>
      <c r="V362" s="3">
        <v>0.1547</v>
      </c>
    </row>
    <row r="363" spans="1:22">
      <c r="A363" t="s">
        <v>199</v>
      </c>
      <c r="B363" t="s">
        <v>212</v>
      </c>
      <c r="C363">
        <v>2520</v>
      </c>
      <c r="D363" t="s">
        <v>194</v>
      </c>
      <c r="E363">
        <v>5910</v>
      </c>
      <c r="F363" s="3">
        <v>1.29E-2</v>
      </c>
      <c r="G363" s="3">
        <v>4.0000000000000002E-4</v>
      </c>
      <c r="H363" s="3">
        <v>5.0999999999999997E-2</v>
      </c>
      <c r="I363" s="3">
        <v>2.0799999999999999E-2</v>
      </c>
      <c r="J363" s="3">
        <v>2.63E-2</v>
      </c>
      <c r="K363" s="3">
        <v>1E-4</v>
      </c>
      <c r="L363" s="3">
        <v>6.2899999999999998E-2</v>
      </c>
      <c r="M363" s="3">
        <v>0.43080000000000002</v>
      </c>
      <c r="N363" s="3">
        <v>8.6E-3</v>
      </c>
      <c r="O363" s="3">
        <v>1.1999999999999999E-3</v>
      </c>
      <c r="P363" s="3">
        <v>0.1197</v>
      </c>
      <c r="Q363" s="3">
        <v>3.4000000000000002E-2</v>
      </c>
      <c r="R363" s="3">
        <v>2.01E-2</v>
      </c>
      <c r="S363" s="3">
        <v>5.4199999999999998E-2</v>
      </c>
      <c r="T363" s="3">
        <v>1.67E-2</v>
      </c>
      <c r="U363" s="3">
        <v>4.8800000000000003E-2</v>
      </c>
      <c r="V363" s="3">
        <v>9.1600000000000001E-2</v>
      </c>
    </row>
    <row r="364" spans="1:22">
      <c r="A364" t="s">
        <v>199</v>
      </c>
      <c r="B364" t="s">
        <v>214</v>
      </c>
      <c r="C364">
        <v>197</v>
      </c>
      <c r="D364" t="s">
        <v>194</v>
      </c>
      <c r="E364">
        <v>5910</v>
      </c>
      <c r="F364" s="3">
        <v>1.01E-2</v>
      </c>
      <c r="H364" s="3">
        <v>7.0000000000000001E-3</v>
      </c>
      <c r="L364" s="3">
        <v>4.7699999999999999E-2</v>
      </c>
      <c r="M364" s="3">
        <v>0.42449999999999999</v>
      </c>
      <c r="N364" s="3">
        <v>1.2999999999999999E-3</v>
      </c>
      <c r="O364" s="3">
        <v>1.8E-3</v>
      </c>
      <c r="P364" s="3">
        <v>0.29389999999999999</v>
      </c>
      <c r="Q364" s="3">
        <v>7.9200000000000007E-2</v>
      </c>
      <c r="R364" s="3">
        <v>6.2199999999999998E-2</v>
      </c>
      <c r="T364" s="3">
        <v>5.2200000000000003E-2</v>
      </c>
      <c r="U364" s="3">
        <v>1.6E-2</v>
      </c>
      <c r="V364" s="3">
        <v>4.0000000000000001E-3</v>
      </c>
    </row>
    <row r="365" spans="1:22">
      <c r="A365" t="s">
        <v>199</v>
      </c>
      <c r="B365" t="s">
        <v>215</v>
      </c>
      <c r="C365">
        <v>635</v>
      </c>
      <c r="D365" t="s">
        <v>194</v>
      </c>
      <c r="E365">
        <v>5910</v>
      </c>
      <c r="F365" s="3">
        <v>1.17E-2</v>
      </c>
      <c r="H365" s="3">
        <v>6.1499999999999999E-2</v>
      </c>
      <c r="I365" s="3">
        <v>3.3E-3</v>
      </c>
      <c r="J365" s="3">
        <v>3.0599999999999999E-2</v>
      </c>
      <c r="K365" s="3">
        <v>1E-4</v>
      </c>
      <c r="L365" s="3">
        <v>4.4200000000000003E-2</v>
      </c>
      <c r="M365" s="3">
        <v>0.38290000000000002</v>
      </c>
      <c r="N365" s="3">
        <v>2.5999999999999999E-2</v>
      </c>
      <c r="P365" s="3">
        <v>0.16669999999999999</v>
      </c>
      <c r="Q365" s="3">
        <v>5.1999999999999998E-3</v>
      </c>
      <c r="R365" s="3">
        <v>6.3E-3</v>
      </c>
      <c r="S365" s="3">
        <v>9.3100000000000002E-2</v>
      </c>
      <c r="T365" s="3">
        <v>2.6599999999999999E-2</v>
      </c>
      <c r="U365" s="3">
        <v>5.2699999999999997E-2</v>
      </c>
      <c r="V365" s="3">
        <v>8.8999999999999996E-2</v>
      </c>
    </row>
    <row r="366" spans="1:22">
      <c r="A366" t="s">
        <v>200</v>
      </c>
      <c r="B366" t="s">
        <v>200</v>
      </c>
      <c r="C366">
        <v>5910</v>
      </c>
      <c r="D366" t="s">
        <v>200</v>
      </c>
      <c r="E366">
        <v>5910</v>
      </c>
      <c r="F366" s="3">
        <v>1.55E-2</v>
      </c>
      <c r="G366" s="3">
        <v>2.0000000000000001E-4</v>
      </c>
      <c r="H366" s="3">
        <v>4.6600000000000003E-2</v>
      </c>
      <c r="I366" s="3">
        <v>1.1900000000000001E-2</v>
      </c>
      <c r="J366" s="3">
        <v>2.0500000000000001E-2</v>
      </c>
      <c r="K366" s="3">
        <v>0</v>
      </c>
      <c r="L366" s="3">
        <v>3.6600000000000001E-2</v>
      </c>
      <c r="M366" s="3">
        <v>0.37240000000000001</v>
      </c>
      <c r="N366" s="3">
        <v>2.58E-2</v>
      </c>
      <c r="O366" s="3">
        <v>6.9999999999999999E-4</v>
      </c>
      <c r="P366" s="3">
        <v>0.1706</v>
      </c>
      <c r="Q366" s="3">
        <v>3.15E-2</v>
      </c>
      <c r="R366" s="3">
        <v>2.24E-2</v>
      </c>
      <c r="S366" s="3">
        <v>6.3399999999999998E-2</v>
      </c>
      <c r="T366" s="3">
        <v>2.5999999999999999E-2</v>
      </c>
      <c r="U366" s="3">
        <v>6.2700000000000006E-2</v>
      </c>
      <c r="V366" s="3">
        <v>9.2899999999999996E-2</v>
      </c>
    </row>
    <row r="368" spans="1:22" ht="30">
      <c r="A368" s="22" t="s">
        <v>299</v>
      </c>
    </row>
    <row r="369" spans="1:22">
      <c r="A369" t="s">
        <v>185</v>
      </c>
      <c r="B369" t="s">
        <v>186</v>
      </c>
      <c r="C369" t="s">
        <v>192</v>
      </c>
      <c r="D369" t="s">
        <v>184</v>
      </c>
      <c r="E369" t="s">
        <v>193</v>
      </c>
      <c r="F369" t="s">
        <v>270</v>
      </c>
      <c r="G369" t="s">
        <v>257</v>
      </c>
      <c r="H369" t="s">
        <v>271</v>
      </c>
      <c r="I369" t="s">
        <v>272</v>
      </c>
      <c r="J369" t="s">
        <v>273</v>
      </c>
      <c r="K369" t="s">
        <v>274</v>
      </c>
      <c r="L369" t="s">
        <v>275</v>
      </c>
      <c r="M369" t="s">
        <v>276</v>
      </c>
      <c r="N369" t="s">
        <v>277</v>
      </c>
      <c r="O369" t="s">
        <v>247</v>
      </c>
      <c r="P369" t="s">
        <v>278</v>
      </c>
      <c r="Q369" t="s">
        <v>279</v>
      </c>
      <c r="R369" t="s">
        <v>280</v>
      </c>
      <c r="S369" t="s">
        <v>281</v>
      </c>
      <c r="T369" t="s">
        <v>282</v>
      </c>
      <c r="U369" t="s">
        <v>283</v>
      </c>
      <c r="V369" t="s">
        <v>284</v>
      </c>
    </row>
    <row r="370" spans="1:22">
      <c r="A370" t="s">
        <v>195</v>
      </c>
      <c r="B370" t="s">
        <v>217</v>
      </c>
      <c r="C370">
        <v>1313</v>
      </c>
      <c r="D370" t="s">
        <v>194</v>
      </c>
      <c r="E370">
        <v>5910</v>
      </c>
      <c r="F370" s="3">
        <v>2.41E-2</v>
      </c>
      <c r="H370" s="3">
        <v>4.0300000000000002E-2</v>
      </c>
      <c r="I370" s="3">
        <v>7.4999999999999997E-3</v>
      </c>
      <c r="J370" s="3">
        <v>1.8200000000000001E-2</v>
      </c>
      <c r="L370" s="3">
        <v>6.1999999999999998E-3</v>
      </c>
      <c r="M370" s="3">
        <v>0.34</v>
      </c>
      <c r="N370" s="3">
        <v>3.9300000000000002E-2</v>
      </c>
      <c r="P370" s="3">
        <v>0.19350000000000001</v>
      </c>
      <c r="Q370" s="3">
        <v>2.9600000000000001E-2</v>
      </c>
      <c r="R370" s="3">
        <v>2.2100000000000002E-2</v>
      </c>
      <c r="S370" s="3">
        <v>7.1800000000000003E-2</v>
      </c>
      <c r="T370" s="3">
        <v>3.6700000000000003E-2</v>
      </c>
      <c r="U370" s="3">
        <v>6.88E-2</v>
      </c>
      <c r="V370" s="3">
        <v>0.1019</v>
      </c>
    </row>
    <row r="371" spans="1:22">
      <c r="A371" t="s">
        <v>195</v>
      </c>
      <c r="B371" t="s">
        <v>219</v>
      </c>
      <c r="C371">
        <v>864</v>
      </c>
      <c r="D371" t="s">
        <v>194</v>
      </c>
      <c r="E371">
        <v>5910</v>
      </c>
      <c r="F371" s="3">
        <v>1.52E-2</v>
      </c>
      <c r="G371" s="3">
        <v>2.0000000000000001E-4</v>
      </c>
      <c r="H371" s="3">
        <v>1.9800000000000002E-2</v>
      </c>
      <c r="I371" s="3">
        <v>2.3E-3</v>
      </c>
      <c r="J371" s="3">
        <v>1.0999999999999999E-2</v>
      </c>
      <c r="L371" s="3">
        <v>1.6999999999999999E-3</v>
      </c>
      <c r="M371" s="3">
        <v>0.26629999999999998</v>
      </c>
      <c r="N371" s="3">
        <v>6.4699999999999994E-2</v>
      </c>
      <c r="O371" s="3">
        <v>6.9999999999999999E-4</v>
      </c>
      <c r="P371" s="3">
        <v>0.26400000000000001</v>
      </c>
      <c r="Q371" s="3">
        <v>4.4000000000000003E-3</v>
      </c>
      <c r="R371" s="3">
        <v>1.6899999999999998E-2</v>
      </c>
      <c r="S371" s="3">
        <v>9.0200000000000002E-2</v>
      </c>
      <c r="T371" s="3">
        <v>1.7999999999999999E-2</v>
      </c>
      <c r="U371" s="3">
        <v>0.1115</v>
      </c>
      <c r="V371" s="3">
        <v>0.113</v>
      </c>
    </row>
    <row r="372" spans="1:22">
      <c r="A372" t="s">
        <v>195</v>
      </c>
      <c r="B372" t="s">
        <v>220</v>
      </c>
      <c r="C372">
        <v>377</v>
      </c>
      <c r="D372" t="s">
        <v>194</v>
      </c>
      <c r="E372">
        <v>5910</v>
      </c>
      <c r="F372" s="3">
        <v>1.3100000000000001E-2</v>
      </c>
      <c r="H372" s="3">
        <v>9.2899999999999996E-2</v>
      </c>
      <c r="I372" s="3">
        <v>5.7999999999999996E-3</v>
      </c>
      <c r="J372" s="3">
        <v>1.1299999999999999E-2</v>
      </c>
      <c r="L372" s="3">
        <v>2.1999999999999999E-2</v>
      </c>
      <c r="M372" s="3">
        <v>0.28170000000000001</v>
      </c>
      <c r="N372" s="3">
        <v>2.86E-2</v>
      </c>
      <c r="P372" s="3">
        <v>0.17100000000000001</v>
      </c>
      <c r="Q372" s="3">
        <v>7.4899999999999994E-2</v>
      </c>
      <c r="R372" s="3">
        <v>4.3400000000000001E-2</v>
      </c>
      <c r="S372" s="3">
        <v>4.5499999999999999E-2</v>
      </c>
      <c r="T372" s="3">
        <v>4.99E-2</v>
      </c>
      <c r="U372" s="3">
        <v>7.1199999999999999E-2</v>
      </c>
      <c r="V372" s="3">
        <v>8.8499999999999995E-2</v>
      </c>
    </row>
    <row r="373" spans="1:22">
      <c r="A373" t="s">
        <v>199</v>
      </c>
      <c r="B373" t="s">
        <v>217</v>
      </c>
      <c r="C373">
        <v>2073</v>
      </c>
      <c r="D373" t="s">
        <v>194</v>
      </c>
      <c r="E373">
        <v>5910</v>
      </c>
      <c r="F373" s="3">
        <v>1.4800000000000001E-2</v>
      </c>
      <c r="H373" s="3">
        <v>4.6399999999999997E-2</v>
      </c>
      <c r="I373" s="3">
        <v>2.4500000000000001E-2</v>
      </c>
      <c r="J373" s="3">
        <v>3.2300000000000002E-2</v>
      </c>
      <c r="K373" s="3">
        <v>1E-4</v>
      </c>
      <c r="L373" s="3">
        <v>6.1899999999999997E-2</v>
      </c>
      <c r="M373" s="3">
        <v>0.43569999999999998</v>
      </c>
      <c r="N373" s="3">
        <v>1.04E-2</v>
      </c>
      <c r="O373" s="3">
        <v>1.5E-3</v>
      </c>
      <c r="P373" s="3">
        <v>0.12280000000000001</v>
      </c>
      <c r="Q373" s="3">
        <v>3.5099999999999999E-2</v>
      </c>
      <c r="R373" s="3">
        <v>1.2200000000000001E-2</v>
      </c>
      <c r="S373" s="3">
        <v>5.5500000000000001E-2</v>
      </c>
      <c r="T373" s="3">
        <v>1.5800000000000002E-2</v>
      </c>
      <c r="U373" s="3">
        <v>0.04</v>
      </c>
      <c r="V373" s="3">
        <v>9.0999999999999998E-2</v>
      </c>
    </row>
    <row r="374" spans="1:22">
      <c r="A374" t="s">
        <v>199</v>
      </c>
      <c r="B374" t="s">
        <v>219</v>
      </c>
      <c r="C374">
        <v>807</v>
      </c>
      <c r="D374" t="s">
        <v>194</v>
      </c>
      <c r="E374">
        <v>5910</v>
      </c>
      <c r="F374" s="3">
        <v>1.1599999999999999E-2</v>
      </c>
      <c r="G374" s="3">
        <v>1.6000000000000001E-3</v>
      </c>
      <c r="H374" s="3">
        <v>4.6300000000000001E-2</v>
      </c>
      <c r="I374" s="3">
        <v>1.4E-3</v>
      </c>
      <c r="J374" s="3">
        <v>1.41E-2</v>
      </c>
      <c r="L374" s="3">
        <v>2.53E-2</v>
      </c>
      <c r="M374" s="3">
        <v>0.37040000000000001</v>
      </c>
      <c r="N374" s="3">
        <v>1.72E-2</v>
      </c>
      <c r="O374" s="3">
        <v>6.9999999999999999E-4</v>
      </c>
      <c r="P374" s="3">
        <v>0.22770000000000001</v>
      </c>
      <c r="Q374" s="3">
        <v>2.07E-2</v>
      </c>
      <c r="R374" s="3">
        <v>2.7900000000000001E-2</v>
      </c>
      <c r="S374" s="3">
        <v>8.2199999999999995E-2</v>
      </c>
      <c r="T374" s="3">
        <v>4.2500000000000003E-2</v>
      </c>
      <c r="U374" s="3">
        <v>6.4500000000000002E-2</v>
      </c>
      <c r="V374" s="3">
        <v>4.5900000000000003E-2</v>
      </c>
    </row>
    <row r="375" spans="1:22">
      <c r="A375" t="s">
        <v>199</v>
      </c>
      <c r="B375" t="s">
        <v>220</v>
      </c>
      <c r="C375">
        <v>472</v>
      </c>
      <c r="D375" t="s">
        <v>194</v>
      </c>
      <c r="E375">
        <v>5910</v>
      </c>
      <c r="F375" s="3">
        <v>3.5999999999999999E-3</v>
      </c>
      <c r="H375" s="3">
        <v>6.6699999999999995E-2</v>
      </c>
      <c r="I375" s="3">
        <v>2E-3</v>
      </c>
      <c r="J375" s="3">
        <v>6.3E-3</v>
      </c>
      <c r="L375" s="3">
        <v>8.8800000000000004E-2</v>
      </c>
      <c r="M375" s="3">
        <v>0.43509999999999999</v>
      </c>
      <c r="N375" s="3">
        <v>3.0999999999999999E-3</v>
      </c>
      <c r="P375" s="3">
        <v>9.8500000000000004E-2</v>
      </c>
      <c r="Q375" s="3">
        <v>3.9399999999999998E-2</v>
      </c>
      <c r="R375" s="3">
        <v>5.2400000000000002E-2</v>
      </c>
      <c r="S375" s="3">
        <v>2.52E-2</v>
      </c>
      <c r="T375" s="3">
        <v>1.49E-2</v>
      </c>
      <c r="U375" s="3">
        <v>5.6800000000000003E-2</v>
      </c>
      <c r="V375" s="3">
        <v>0.10730000000000001</v>
      </c>
    </row>
    <row r="376" spans="1:22">
      <c r="A376" t="s">
        <v>200</v>
      </c>
      <c r="B376" t="s">
        <v>200</v>
      </c>
      <c r="C376">
        <v>5910</v>
      </c>
      <c r="D376" t="s">
        <v>200</v>
      </c>
      <c r="E376">
        <v>5910</v>
      </c>
      <c r="F376" s="3">
        <v>1.55E-2</v>
      </c>
      <c r="G376" s="3">
        <v>2.0000000000000001E-4</v>
      </c>
      <c r="H376" s="3">
        <v>4.6600000000000003E-2</v>
      </c>
      <c r="I376" s="3">
        <v>1.1900000000000001E-2</v>
      </c>
      <c r="J376" s="3">
        <v>2.0500000000000001E-2</v>
      </c>
      <c r="K376" s="3">
        <v>0</v>
      </c>
      <c r="L376" s="3">
        <v>3.6600000000000001E-2</v>
      </c>
      <c r="M376" s="3">
        <v>0.37240000000000001</v>
      </c>
      <c r="N376" s="3">
        <v>2.58E-2</v>
      </c>
      <c r="O376" s="3">
        <v>6.9999999999999999E-4</v>
      </c>
      <c r="P376" s="3">
        <v>0.1706</v>
      </c>
      <c r="Q376" s="3">
        <v>3.15E-2</v>
      </c>
      <c r="R376" s="3">
        <v>2.24E-2</v>
      </c>
      <c r="S376" s="3">
        <v>6.3399999999999998E-2</v>
      </c>
      <c r="T376" s="3">
        <v>2.5999999999999999E-2</v>
      </c>
      <c r="U376" s="3">
        <v>6.2700000000000006E-2</v>
      </c>
      <c r="V376" s="3">
        <v>9.2899999999999996E-2</v>
      </c>
    </row>
    <row r="378" spans="1:22" ht="30">
      <c r="A378" s="22" t="s">
        <v>300</v>
      </c>
    </row>
    <row r="379" spans="1:22">
      <c r="A379" t="s">
        <v>185</v>
      </c>
      <c r="B379" t="s">
        <v>186</v>
      </c>
      <c r="C379" t="s">
        <v>192</v>
      </c>
      <c r="D379" t="s">
        <v>184</v>
      </c>
      <c r="E379" t="s">
        <v>193</v>
      </c>
      <c r="F379" t="s">
        <v>270</v>
      </c>
      <c r="G379" t="s">
        <v>257</v>
      </c>
      <c r="H379" t="s">
        <v>271</v>
      </c>
      <c r="I379" t="s">
        <v>272</v>
      </c>
      <c r="J379" t="s">
        <v>273</v>
      </c>
      <c r="K379" t="s">
        <v>274</v>
      </c>
      <c r="L379" t="s">
        <v>275</v>
      </c>
      <c r="M379" t="s">
        <v>276</v>
      </c>
      <c r="N379" t="s">
        <v>277</v>
      </c>
      <c r="O379" t="s">
        <v>247</v>
      </c>
      <c r="P379" t="s">
        <v>278</v>
      </c>
      <c r="Q379" t="s">
        <v>279</v>
      </c>
      <c r="R379" t="s">
        <v>280</v>
      </c>
      <c r="S379" t="s">
        <v>281</v>
      </c>
      <c r="T379" t="s">
        <v>282</v>
      </c>
      <c r="U379" t="s">
        <v>283</v>
      </c>
      <c r="V379" t="s">
        <v>284</v>
      </c>
    </row>
    <row r="380" spans="1:22">
      <c r="A380" t="s">
        <v>195</v>
      </c>
      <c r="B380" t="s">
        <v>301</v>
      </c>
      <c r="C380">
        <v>1472</v>
      </c>
      <c r="D380" t="s">
        <v>194</v>
      </c>
      <c r="E380">
        <v>5910</v>
      </c>
      <c r="F380" s="3">
        <v>2.23E-2</v>
      </c>
      <c r="G380" s="3">
        <v>1E-4</v>
      </c>
      <c r="H380" s="3">
        <v>3.56E-2</v>
      </c>
      <c r="I380" s="3">
        <v>9.4000000000000004E-3</v>
      </c>
      <c r="J380" s="3">
        <v>1.7299999999999999E-2</v>
      </c>
      <c r="L380" s="3">
        <v>3.8999999999999998E-3</v>
      </c>
      <c r="M380" s="3">
        <v>0.35899999999999999</v>
      </c>
      <c r="N380" s="3">
        <v>3.6999999999999998E-2</v>
      </c>
      <c r="P380" s="3">
        <v>8.9399999999999993E-2</v>
      </c>
      <c r="Q380" s="3">
        <v>1.6400000000000001E-2</v>
      </c>
      <c r="R380" s="3">
        <v>2.2800000000000001E-2</v>
      </c>
      <c r="S380" s="3">
        <v>0.10630000000000001</v>
      </c>
      <c r="T380" s="3">
        <v>2.0199999999999999E-2</v>
      </c>
      <c r="U380" s="3">
        <v>9.1800000000000007E-2</v>
      </c>
      <c r="V380" s="3">
        <v>0.1686</v>
      </c>
    </row>
    <row r="381" spans="1:22">
      <c r="A381" t="s">
        <v>195</v>
      </c>
      <c r="B381" t="s">
        <v>302</v>
      </c>
      <c r="C381">
        <v>1086</v>
      </c>
      <c r="D381" t="s">
        <v>194</v>
      </c>
      <c r="E381">
        <v>5910</v>
      </c>
      <c r="F381" s="3">
        <v>1.6199999999999999E-2</v>
      </c>
      <c r="H381" s="3">
        <v>5.0999999999999997E-2</v>
      </c>
      <c r="I381" s="3">
        <v>1.2999999999999999E-3</v>
      </c>
      <c r="J381" s="3">
        <v>1.1900000000000001E-2</v>
      </c>
      <c r="L381" s="3">
        <v>1.1599999999999999E-2</v>
      </c>
      <c r="M381" s="3">
        <v>0.2485</v>
      </c>
      <c r="N381" s="3">
        <v>5.4800000000000001E-2</v>
      </c>
      <c r="O381" s="3">
        <v>4.0000000000000002E-4</v>
      </c>
      <c r="P381" s="3">
        <v>0.34739999999999999</v>
      </c>
      <c r="Q381" s="3">
        <v>4.3900000000000002E-2</v>
      </c>
      <c r="R381" s="3">
        <v>2.5700000000000001E-2</v>
      </c>
      <c r="S381" s="3">
        <v>3.6400000000000002E-2</v>
      </c>
      <c r="T381" s="3">
        <v>4.7300000000000002E-2</v>
      </c>
      <c r="U381" s="3">
        <v>7.2900000000000006E-2</v>
      </c>
      <c r="V381" s="3">
        <v>3.0599999999999999E-2</v>
      </c>
    </row>
    <row r="382" spans="1:22">
      <c r="A382" t="s">
        <v>199</v>
      </c>
      <c r="B382" t="s">
        <v>301</v>
      </c>
      <c r="C382">
        <v>1931</v>
      </c>
      <c r="D382" t="s">
        <v>194</v>
      </c>
      <c r="E382">
        <v>5910</v>
      </c>
      <c r="F382" s="3">
        <v>1.11E-2</v>
      </c>
      <c r="H382" s="3">
        <v>5.4800000000000001E-2</v>
      </c>
      <c r="I382" s="3">
        <v>2.5000000000000001E-2</v>
      </c>
      <c r="J382" s="3">
        <v>3.5999999999999997E-2</v>
      </c>
      <c r="K382" s="3">
        <v>0</v>
      </c>
      <c r="L382" s="3">
        <v>5.8000000000000003E-2</v>
      </c>
      <c r="M382" s="3">
        <v>0.42799999999999999</v>
      </c>
      <c r="N382" s="3">
        <v>8.8999999999999999E-3</v>
      </c>
      <c r="P382" s="3">
        <v>5.9700000000000003E-2</v>
      </c>
      <c r="Q382" s="3">
        <v>2.5999999999999999E-2</v>
      </c>
      <c r="R382" s="3">
        <v>1.52E-2</v>
      </c>
      <c r="S382" s="3">
        <v>8.2100000000000006E-2</v>
      </c>
      <c r="T382" s="3">
        <v>1.35E-2</v>
      </c>
      <c r="U382" s="3">
        <v>5.2200000000000003E-2</v>
      </c>
      <c r="V382" s="3">
        <v>0.1295</v>
      </c>
    </row>
    <row r="383" spans="1:22">
      <c r="A383" t="s">
        <v>199</v>
      </c>
      <c r="B383" t="s">
        <v>302</v>
      </c>
      <c r="C383">
        <v>1421</v>
      </c>
      <c r="D383" t="s">
        <v>194</v>
      </c>
      <c r="E383">
        <v>5910</v>
      </c>
      <c r="F383" s="3">
        <v>1.4500000000000001E-2</v>
      </c>
      <c r="G383" s="3">
        <v>6.9999999999999999E-4</v>
      </c>
      <c r="H383" s="3">
        <v>4.24E-2</v>
      </c>
      <c r="I383" s="3">
        <v>6.3E-3</v>
      </c>
      <c r="J383" s="3">
        <v>1.0800000000000001E-2</v>
      </c>
      <c r="K383" s="3">
        <v>1E-4</v>
      </c>
      <c r="L383" s="3">
        <v>6.0699999999999997E-2</v>
      </c>
      <c r="M383" s="3">
        <v>0.41760000000000003</v>
      </c>
      <c r="N383" s="3">
        <v>1.2800000000000001E-2</v>
      </c>
      <c r="O383" s="3">
        <v>2.5999999999999999E-3</v>
      </c>
      <c r="P383" s="3">
        <v>0.24160000000000001</v>
      </c>
      <c r="Q383" s="3">
        <v>4.2299999999999997E-2</v>
      </c>
      <c r="R383" s="3">
        <v>2.8799999999999999E-2</v>
      </c>
      <c r="S383" s="3">
        <v>2.1700000000000001E-2</v>
      </c>
      <c r="T383" s="3">
        <v>2.98E-2</v>
      </c>
      <c r="U383" s="3">
        <v>4.0300000000000002E-2</v>
      </c>
      <c r="V383" s="3">
        <v>2.7099999999999999E-2</v>
      </c>
    </row>
    <row r="384" spans="1:22">
      <c r="A384" t="s">
        <v>200</v>
      </c>
      <c r="B384" t="s">
        <v>200</v>
      </c>
      <c r="C384">
        <v>5910</v>
      </c>
      <c r="D384" t="s">
        <v>200</v>
      </c>
      <c r="E384">
        <v>5910</v>
      </c>
      <c r="F384" s="3">
        <v>1.55E-2</v>
      </c>
      <c r="G384" s="3">
        <v>2.0000000000000001E-4</v>
      </c>
      <c r="H384" s="3">
        <v>4.6600000000000003E-2</v>
      </c>
      <c r="I384" s="3">
        <v>1.1900000000000001E-2</v>
      </c>
      <c r="J384" s="3">
        <v>2.0500000000000001E-2</v>
      </c>
      <c r="K384" s="3">
        <v>0</v>
      </c>
      <c r="L384" s="3">
        <v>3.6600000000000001E-2</v>
      </c>
      <c r="M384" s="3">
        <v>0.37240000000000001</v>
      </c>
      <c r="N384" s="3">
        <v>2.58E-2</v>
      </c>
      <c r="O384" s="3">
        <v>6.9999999999999999E-4</v>
      </c>
      <c r="P384" s="3">
        <v>0.1706</v>
      </c>
      <c r="Q384" s="3">
        <v>3.15E-2</v>
      </c>
      <c r="R384" s="3">
        <v>2.24E-2</v>
      </c>
      <c r="S384" s="3">
        <v>6.3399999999999998E-2</v>
      </c>
      <c r="T384" s="3">
        <v>2.5999999999999999E-2</v>
      </c>
      <c r="U384" s="3">
        <v>6.2700000000000006E-2</v>
      </c>
      <c r="V384" s="3">
        <v>9.2899999999999996E-2</v>
      </c>
    </row>
    <row r="386" spans="1:22" ht="30">
      <c r="A386" s="22" t="s">
        <v>303</v>
      </c>
    </row>
    <row r="387" spans="1:22">
      <c r="A387" t="s">
        <v>185</v>
      </c>
      <c r="B387" t="s">
        <v>186</v>
      </c>
      <c r="C387" t="s">
        <v>192</v>
      </c>
      <c r="D387" t="s">
        <v>184</v>
      </c>
      <c r="E387" t="s">
        <v>193</v>
      </c>
      <c r="F387" t="s">
        <v>270</v>
      </c>
      <c r="G387" t="s">
        <v>257</v>
      </c>
      <c r="H387" t="s">
        <v>271</v>
      </c>
      <c r="I387" t="s">
        <v>272</v>
      </c>
      <c r="J387" t="s">
        <v>273</v>
      </c>
      <c r="K387" t="s">
        <v>274</v>
      </c>
      <c r="L387" t="s">
        <v>275</v>
      </c>
      <c r="M387" t="s">
        <v>276</v>
      </c>
      <c r="N387" t="s">
        <v>277</v>
      </c>
      <c r="O387" t="s">
        <v>247</v>
      </c>
      <c r="P387" t="s">
        <v>278</v>
      </c>
      <c r="Q387" t="s">
        <v>279</v>
      </c>
      <c r="R387" t="s">
        <v>280</v>
      </c>
      <c r="S387" t="s">
        <v>281</v>
      </c>
      <c r="T387" t="s">
        <v>282</v>
      </c>
      <c r="U387" t="s">
        <v>283</v>
      </c>
      <c r="V387" t="s">
        <v>284</v>
      </c>
    </row>
    <row r="388" spans="1:22">
      <c r="A388" t="s">
        <v>195</v>
      </c>
      <c r="B388" t="s">
        <v>304</v>
      </c>
      <c r="C388">
        <v>214</v>
      </c>
      <c r="D388" t="s">
        <v>194</v>
      </c>
      <c r="E388">
        <v>5910</v>
      </c>
      <c r="F388" s="3">
        <v>3.49E-2</v>
      </c>
      <c r="G388" s="3">
        <v>8.0000000000000004E-4</v>
      </c>
      <c r="H388" s="3">
        <v>4.4999999999999997E-3</v>
      </c>
      <c r="M388" s="3">
        <v>0.29380000000000001</v>
      </c>
      <c r="N388" s="3">
        <v>2.1899999999999999E-2</v>
      </c>
      <c r="P388" s="3">
        <v>3.5999999999999999E-3</v>
      </c>
      <c r="Q388" s="3">
        <v>1.03E-2</v>
      </c>
      <c r="R388" s="3">
        <v>3.8699999999999998E-2</v>
      </c>
      <c r="S388" s="3">
        <v>0.13469999999999999</v>
      </c>
      <c r="T388" s="3">
        <v>1.77E-2</v>
      </c>
      <c r="U388" s="3">
        <v>0.20019999999999999</v>
      </c>
      <c r="V388" s="3">
        <v>0.2389</v>
      </c>
    </row>
    <row r="389" spans="1:22">
      <c r="A389" t="s">
        <v>195</v>
      </c>
      <c r="B389" t="s">
        <v>305</v>
      </c>
      <c r="C389">
        <v>1252</v>
      </c>
      <c r="D389" t="s">
        <v>194</v>
      </c>
      <c r="E389">
        <v>5910</v>
      </c>
      <c r="F389" s="3">
        <v>2.0299999999999999E-2</v>
      </c>
      <c r="H389" s="3">
        <v>4.0599999999999997E-2</v>
      </c>
      <c r="I389" s="3">
        <v>1.09E-2</v>
      </c>
      <c r="J389" s="3">
        <v>2.01E-2</v>
      </c>
      <c r="L389" s="3">
        <v>4.4999999999999997E-3</v>
      </c>
      <c r="M389" s="3">
        <v>0.36919999999999997</v>
      </c>
      <c r="N389" s="3">
        <v>3.95E-2</v>
      </c>
      <c r="P389" s="3">
        <v>0.10299999999999999</v>
      </c>
      <c r="Q389" s="3">
        <v>1.7399999999999999E-2</v>
      </c>
      <c r="R389" s="3">
        <v>2.0299999999999999E-2</v>
      </c>
      <c r="S389" s="3">
        <v>0.10199999999999999</v>
      </c>
      <c r="T389" s="3">
        <v>2.06E-2</v>
      </c>
      <c r="U389" s="3">
        <v>7.4899999999999994E-2</v>
      </c>
      <c r="V389" s="3">
        <v>0.15670000000000001</v>
      </c>
    </row>
    <row r="390" spans="1:22" s="23" customFormat="1">
      <c r="A390" s="23" t="s">
        <v>195</v>
      </c>
      <c r="B390" s="23" t="s">
        <v>306</v>
      </c>
      <c r="C390" s="23">
        <v>6</v>
      </c>
      <c r="D390" s="23" t="s">
        <v>194</v>
      </c>
      <c r="E390" s="23">
        <v>5910</v>
      </c>
      <c r="M390" s="24">
        <v>0.3463</v>
      </c>
      <c r="P390" s="24">
        <v>1.44E-2</v>
      </c>
      <c r="R390" s="24">
        <v>1.44E-2</v>
      </c>
      <c r="V390" s="24">
        <v>0.62490000000000001</v>
      </c>
    </row>
    <row r="391" spans="1:22">
      <c r="A391" t="s">
        <v>195</v>
      </c>
      <c r="B391" t="s">
        <v>307</v>
      </c>
      <c r="C391">
        <v>1086</v>
      </c>
      <c r="D391" t="s">
        <v>194</v>
      </c>
      <c r="E391">
        <v>5910</v>
      </c>
      <c r="F391" s="3">
        <v>1.6199999999999999E-2</v>
      </c>
      <c r="H391" s="3">
        <v>5.0999999999999997E-2</v>
      </c>
      <c r="I391" s="3">
        <v>1.2999999999999999E-3</v>
      </c>
      <c r="J391" s="3">
        <v>1.1900000000000001E-2</v>
      </c>
      <c r="L391" s="3">
        <v>1.1599999999999999E-2</v>
      </c>
      <c r="M391" s="3">
        <v>0.2485</v>
      </c>
      <c r="N391" s="3">
        <v>5.4800000000000001E-2</v>
      </c>
      <c r="O391" s="3">
        <v>4.0000000000000002E-4</v>
      </c>
      <c r="P391" s="3">
        <v>0.34739999999999999</v>
      </c>
      <c r="Q391" s="3">
        <v>4.3900000000000002E-2</v>
      </c>
      <c r="R391" s="3">
        <v>2.5700000000000001E-2</v>
      </c>
      <c r="S391" s="3">
        <v>3.6400000000000002E-2</v>
      </c>
      <c r="T391" s="3">
        <v>4.7300000000000002E-2</v>
      </c>
      <c r="U391" s="3">
        <v>7.2900000000000006E-2</v>
      </c>
      <c r="V391" s="3">
        <v>3.0599999999999999E-2</v>
      </c>
    </row>
    <row r="392" spans="1:22">
      <c r="A392" t="s">
        <v>199</v>
      </c>
      <c r="B392" t="s">
        <v>304</v>
      </c>
      <c r="C392">
        <v>123</v>
      </c>
      <c r="D392" t="s">
        <v>194</v>
      </c>
      <c r="E392">
        <v>5910</v>
      </c>
      <c r="F392" s="3">
        <v>5.4000000000000003E-3</v>
      </c>
      <c r="H392" s="3">
        <v>3.7600000000000001E-2</v>
      </c>
      <c r="L392" s="3">
        <v>2.01E-2</v>
      </c>
      <c r="M392" s="3">
        <v>0.43780000000000002</v>
      </c>
      <c r="N392" s="3">
        <v>1.09E-2</v>
      </c>
      <c r="P392" s="3">
        <v>4.7300000000000002E-2</v>
      </c>
      <c r="Q392" s="3">
        <v>6.6199999999999995E-2</v>
      </c>
      <c r="R392" s="3">
        <v>4.0000000000000001E-3</v>
      </c>
      <c r="S392" s="3">
        <v>0.14399999999999999</v>
      </c>
      <c r="T392" s="3">
        <v>6.1699999999999998E-2</v>
      </c>
      <c r="U392" s="3">
        <v>5.6099999999999997E-2</v>
      </c>
      <c r="V392" s="3">
        <v>0.109</v>
      </c>
    </row>
    <row r="393" spans="1:22">
      <c r="A393" t="s">
        <v>199</v>
      </c>
      <c r="B393" t="s">
        <v>305</v>
      </c>
      <c r="C393">
        <v>1800</v>
      </c>
      <c r="D393" t="s">
        <v>194</v>
      </c>
      <c r="E393">
        <v>5910</v>
      </c>
      <c r="F393" s="3">
        <v>1.1299999999999999E-2</v>
      </c>
      <c r="H393" s="3">
        <v>5.5599999999999997E-2</v>
      </c>
      <c r="I393" s="3">
        <v>2.5999999999999999E-2</v>
      </c>
      <c r="J393" s="3">
        <v>3.7400000000000003E-2</v>
      </c>
      <c r="K393" s="3">
        <v>0</v>
      </c>
      <c r="L393" s="3">
        <v>5.9499999999999997E-2</v>
      </c>
      <c r="M393" s="3">
        <v>0.42799999999999999</v>
      </c>
      <c r="N393" s="3">
        <v>8.8000000000000005E-3</v>
      </c>
      <c r="P393" s="3">
        <v>6.0299999999999999E-2</v>
      </c>
      <c r="Q393" s="3">
        <v>2.4500000000000001E-2</v>
      </c>
      <c r="R393" s="3">
        <v>1.5699999999999999E-2</v>
      </c>
      <c r="S393" s="3">
        <v>7.9500000000000001E-2</v>
      </c>
      <c r="T393" s="3">
        <v>1.14E-2</v>
      </c>
      <c r="U393" s="3">
        <v>5.1700000000000003E-2</v>
      </c>
      <c r="V393" s="3">
        <v>0.13020000000000001</v>
      </c>
    </row>
    <row r="394" spans="1:22" s="23" customFormat="1">
      <c r="A394" s="23" t="s">
        <v>199</v>
      </c>
      <c r="B394" s="23" t="s">
        <v>306</v>
      </c>
      <c r="C394" s="23">
        <v>8</v>
      </c>
      <c r="D394" s="23" t="s">
        <v>194</v>
      </c>
      <c r="E394" s="23">
        <v>5910</v>
      </c>
      <c r="M394" s="24">
        <v>0.16550000000000001</v>
      </c>
      <c r="S394" s="24">
        <v>0.2177</v>
      </c>
      <c r="T394" s="24">
        <v>0.17580000000000001</v>
      </c>
      <c r="U394" s="24">
        <v>0.26519999999999999</v>
      </c>
      <c r="V394" s="24">
        <v>0.17580000000000001</v>
      </c>
    </row>
    <row r="395" spans="1:22">
      <c r="A395" t="s">
        <v>199</v>
      </c>
      <c r="B395" t="s">
        <v>307</v>
      </c>
      <c r="C395">
        <v>1421</v>
      </c>
      <c r="D395" t="s">
        <v>194</v>
      </c>
      <c r="E395">
        <v>5910</v>
      </c>
      <c r="F395" s="3">
        <v>1.4500000000000001E-2</v>
      </c>
      <c r="G395" s="3">
        <v>6.9999999999999999E-4</v>
      </c>
      <c r="H395" s="3">
        <v>4.24E-2</v>
      </c>
      <c r="I395" s="3">
        <v>6.3E-3</v>
      </c>
      <c r="J395" s="3">
        <v>1.0800000000000001E-2</v>
      </c>
      <c r="K395" s="3">
        <v>1E-4</v>
      </c>
      <c r="L395" s="3">
        <v>6.0699999999999997E-2</v>
      </c>
      <c r="M395" s="3">
        <v>0.41760000000000003</v>
      </c>
      <c r="N395" s="3">
        <v>1.2800000000000001E-2</v>
      </c>
      <c r="O395" s="3">
        <v>2.5999999999999999E-3</v>
      </c>
      <c r="P395" s="3">
        <v>0.24160000000000001</v>
      </c>
      <c r="Q395" s="3">
        <v>4.2299999999999997E-2</v>
      </c>
      <c r="R395" s="3">
        <v>2.8799999999999999E-2</v>
      </c>
      <c r="S395" s="3">
        <v>2.1700000000000001E-2</v>
      </c>
      <c r="T395" s="3">
        <v>2.98E-2</v>
      </c>
      <c r="U395" s="3">
        <v>4.0300000000000002E-2</v>
      </c>
      <c r="V395" s="3">
        <v>2.7099999999999999E-2</v>
      </c>
    </row>
    <row r="396" spans="1:22">
      <c r="A396" t="s">
        <v>200</v>
      </c>
      <c r="B396" t="s">
        <v>200</v>
      </c>
      <c r="C396">
        <v>5910</v>
      </c>
      <c r="D396" t="s">
        <v>200</v>
      </c>
      <c r="E396">
        <v>5910</v>
      </c>
      <c r="F396" s="3">
        <v>1.55E-2</v>
      </c>
      <c r="G396" s="3">
        <v>2.0000000000000001E-4</v>
      </c>
      <c r="H396" s="3">
        <v>4.6600000000000003E-2</v>
      </c>
      <c r="I396" s="3">
        <v>1.1900000000000001E-2</v>
      </c>
      <c r="J396" s="3">
        <v>2.0500000000000001E-2</v>
      </c>
      <c r="K396" s="3">
        <v>0</v>
      </c>
      <c r="L396" s="3">
        <v>3.6600000000000001E-2</v>
      </c>
      <c r="M396" s="3">
        <v>0.37240000000000001</v>
      </c>
      <c r="N396" s="3">
        <v>2.58E-2</v>
      </c>
      <c r="O396" s="3">
        <v>6.9999999999999999E-4</v>
      </c>
      <c r="P396" s="3">
        <v>0.1706</v>
      </c>
      <c r="Q396" s="3">
        <v>3.15E-2</v>
      </c>
      <c r="R396" s="3">
        <v>2.24E-2</v>
      </c>
      <c r="S396" s="3">
        <v>6.3399999999999998E-2</v>
      </c>
      <c r="T396" s="3">
        <v>2.5999999999999999E-2</v>
      </c>
      <c r="U396" s="3">
        <v>6.2700000000000006E-2</v>
      </c>
      <c r="V396" s="3">
        <v>9.2899999999999996E-2</v>
      </c>
    </row>
    <row r="398" spans="1:22" ht="45">
      <c r="A398" s="22" t="s">
        <v>308</v>
      </c>
    </row>
    <row r="399" spans="1:22">
      <c r="A399" t="s">
        <v>185</v>
      </c>
      <c r="B399" t="s">
        <v>186</v>
      </c>
      <c r="C399" t="s">
        <v>192</v>
      </c>
      <c r="D399" t="s">
        <v>184</v>
      </c>
      <c r="E399" t="s">
        <v>193</v>
      </c>
      <c r="F399" t="s">
        <v>257</v>
      </c>
      <c r="G399" t="s">
        <v>309</v>
      </c>
      <c r="H399" t="s">
        <v>247</v>
      </c>
      <c r="I399" t="s">
        <v>310</v>
      </c>
      <c r="J399" t="s">
        <v>311</v>
      </c>
    </row>
    <row r="400" spans="1:22">
      <c r="A400" t="s">
        <v>195</v>
      </c>
      <c r="B400" t="s">
        <v>286</v>
      </c>
      <c r="C400">
        <v>352</v>
      </c>
      <c r="D400" t="s">
        <v>194</v>
      </c>
      <c r="E400">
        <v>5148</v>
      </c>
      <c r="F400" s="3">
        <v>1.3899999999999999E-2</v>
      </c>
      <c r="G400" s="3">
        <v>0.7903</v>
      </c>
      <c r="H400" s="3">
        <v>1.2999999999999999E-3</v>
      </c>
      <c r="I400" s="3">
        <v>0.11260000000000001</v>
      </c>
      <c r="J400" s="3">
        <v>8.1900000000000001E-2</v>
      </c>
    </row>
    <row r="401" spans="1:11">
      <c r="A401" t="s">
        <v>195</v>
      </c>
      <c r="B401" t="s">
        <v>287</v>
      </c>
      <c r="C401">
        <v>809</v>
      </c>
      <c r="D401" t="s">
        <v>194</v>
      </c>
      <c r="E401">
        <v>5148</v>
      </c>
      <c r="F401" s="3">
        <v>8.9999999999999998E-4</v>
      </c>
      <c r="G401" s="3">
        <v>0.83020000000000005</v>
      </c>
      <c r="H401" s="3">
        <v>2.8999999999999998E-3</v>
      </c>
      <c r="I401" s="3">
        <v>0.12540000000000001</v>
      </c>
      <c r="J401" s="3">
        <v>4.0599999999999997E-2</v>
      </c>
    </row>
    <row r="402" spans="1:11">
      <c r="A402" t="s">
        <v>195</v>
      </c>
      <c r="B402" t="s">
        <v>288</v>
      </c>
      <c r="C402">
        <v>567</v>
      </c>
      <c r="D402" t="s">
        <v>194</v>
      </c>
      <c r="E402">
        <v>5148</v>
      </c>
      <c r="F402" s="3">
        <v>8.3999999999999995E-3</v>
      </c>
      <c r="G402" s="3">
        <v>0.80069999999999997</v>
      </c>
      <c r="I402" s="3">
        <v>0.15629999999999999</v>
      </c>
      <c r="J402" s="3">
        <v>3.4599999999999999E-2</v>
      </c>
    </row>
    <row r="403" spans="1:11">
      <c r="A403" t="s">
        <v>195</v>
      </c>
      <c r="B403" t="s">
        <v>289</v>
      </c>
      <c r="C403">
        <v>479</v>
      </c>
      <c r="D403" t="s">
        <v>194</v>
      </c>
      <c r="E403">
        <v>5148</v>
      </c>
      <c r="F403" s="3">
        <v>1.6E-2</v>
      </c>
      <c r="G403" s="3">
        <v>0.8982</v>
      </c>
      <c r="I403" s="3">
        <v>6.2199999999999998E-2</v>
      </c>
      <c r="J403" s="3">
        <v>2.3699999999999999E-2</v>
      </c>
    </row>
    <row r="404" spans="1:11">
      <c r="A404" t="s">
        <v>199</v>
      </c>
      <c r="B404" t="s">
        <v>286</v>
      </c>
      <c r="C404">
        <v>399</v>
      </c>
      <c r="D404" t="s">
        <v>194</v>
      </c>
      <c r="E404">
        <v>5148</v>
      </c>
      <c r="F404" s="3">
        <v>1.95E-2</v>
      </c>
      <c r="G404" s="3">
        <v>0.80489999999999995</v>
      </c>
      <c r="I404" s="3">
        <v>0.13159999999999999</v>
      </c>
      <c r="J404" s="3">
        <v>4.3999999999999997E-2</v>
      </c>
    </row>
    <row r="405" spans="1:11">
      <c r="A405" t="s">
        <v>199</v>
      </c>
      <c r="B405" t="s">
        <v>287</v>
      </c>
      <c r="C405">
        <v>1235</v>
      </c>
      <c r="D405" t="s">
        <v>194</v>
      </c>
      <c r="E405">
        <v>5148</v>
      </c>
      <c r="F405" s="3">
        <v>1.01E-2</v>
      </c>
      <c r="G405" s="3">
        <v>0.89639999999999997</v>
      </c>
      <c r="H405" s="3">
        <v>2.3E-3</v>
      </c>
      <c r="I405" s="3">
        <v>6.3E-2</v>
      </c>
      <c r="J405" s="3">
        <v>2.8199999999999999E-2</v>
      </c>
    </row>
    <row r="406" spans="1:11">
      <c r="A406" t="s">
        <v>199</v>
      </c>
      <c r="B406" t="s">
        <v>288</v>
      </c>
      <c r="C406">
        <v>804</v>
      </c>
      <c r="D406" t="s">
        <v>194</v>
      </c>
      <c r="E406">
        <v>5148</v>
      </c>
      <c r="F406" s="3">
        <v>3.5000000000000001E-3</v>
      </c>
      <c r="G406" s="3">
        <v>0.89319999999999999</v>
      </c>
      <c r="H406" s="3">
        <v>4.7999999999999996E-3</v>
      </c>
      <c r="I406" s="3">
        <v>7.4700000000000003E-2</v>
      </c>
      <c r="J406" s="3">
        <v>2.3800000000000002E-2</v>
      </c>
    </row>
    <row r="407" spans="1:11">
      <c r="A407" t="s">
        <v>199</v>
      </c>
      <c r="B407" t="s">
        <v>289</v>
      </c>
      <c r="C407">
        <v>503</v>
      </c>
      <c r="D407" t="s">
        <v>194</v>
      </c>
      <c r="E407">
        <v>5148</v>
      </c>
      <c r="F407" s="3">
        <v>1.8E-3</v>
      </c>
      <c r="G407" s="3">
        <v>0.97589999999999999</v>
      </c>
      <c r="I407" s="3">
        <v>1.9599999999999999E-2</v>
      </c>
      <c r="J407" s="3">
        <v>2.5999999999999999E-3</v>
      </c>
    </row>
    <row r="408" spans="1:11">
      <c r="A408" t="s">
        <v>200</v>
      </c>
      <c r="B408" t="s">
        <v>200</v>
      </c>
      <c r="C408">
        <v>5148</v>
      </c>
      <c r="D408" t="s">
        <v>200</v>
      </c>
      <c r="E408">
        <v>5148</v>
      </c>
      <c r="F408" s="3">
        <v>8.6E-3</v>
      </c>
      <c r="G408" s="3">
        <v>0.8639</v>
      </c>
      <c r="H408" s="3">
        <v>1.8E-3</v>
      </c>
      <c r="I408" s="3">
        <v>9.1700000000000004E-2</v>
      </c>
      <c r="J408" s="3">
        <v>3.4000000000000002E-2</v>
      </c>
    </row>
    <row r="410" spans="1:11" ht="60">
      <c r="A410" s="22" t="s">
        <v>312</v>
      </c>
    </row>
    <row r="411" spans="1:11">
      <c r="A411" t="s">
        <v>185</v>
      </c>
      <c r="B411" t="s">
        <v>291</v>
      </c>
      <c r="C411" t="s">
        <v>186</v>
      </c>
      <c r="D411" t="s">
        <v>192</v>
      </c>
      <c r="E411" t="s">
        <v>184</v>
      </c>
      <c r="F411" t="s">
        <v>193</v>
      </c>
      <c r="G411" t="s">
        <v>257</v>
      </c>
      <c r="H411" t="s">
        <v>309</v>
      </c>
      <c r="I411" t="s">
        <v>247</v>
      </c>
      <c r="J411" t="s">
        <v>310</v>
      </c>
      <c r="K411" t="s">
        <v>311</v>
      </c>
    </row>
    <row r="412" spans="1:11">
      <c r="A412" t="s">
        <v>195</v>
      </c>
      <c r="B412" t="s">
        <v>286</v>
      </c>
      <c r="C412" t="s">
        <v>292</v>
      </c>
      <c r="D412">
        <v>132</v>
      </c>
      <c r="E412" t="s">
        <v>194</v>
      </c>
      <c r="F412">
        <v>5148</v>
      </c>
      <c r="G412" s="3">
        <v>1.6000000000000001E-3</v>
      </c>
      <c r="H412" s="3">
        <v>0.81459999999999999</v>
      </c>
      <c r="I412" s="3">
        <v>3.3999999999999998E-3</v>
      </c>
      <c r="J412" s="3">
        <v>0.1396</v>
      </c>
      <c r="K412" s="3">
        <v>4.0800000000000003E-2</v>
      </c>
    </row>
    <row r="413" spans="1:11">
      <c r="A413" t="s">
        <v>199</v>
      </c>
      <c r="B413" t="s">
        <v>289</v>
      </c>
      <c r="C413" t="s">
        <v>292</v>
      </c>
      <c r="D413">
        <v>204</v>
      </c>
      <c r="E413" t="s">
        <v>194</v>
      </c>
      <c r="F413">
        <v>5148</v>
      </c>
      <c r="G413" s="3">
        <v>1.1999999999999999E-3</v>
      </c>
      <c r="H413" s="3">
        <v>0.98340000000000005</v>
      </c>
      <c r="J413" s="3">
        <v>1.49E-2</v>
      </c>
      <c r="K413" s="3">
        <v>5.0000000000000001E-4</v>
      </c>
    </row>
    <row r="414" spans="1:11">
      <c r="A414" t="s">
        <v>199</v>
      </c>
      <c r="B414" t="s">
        <v>288</v>
      </c>
      <c r="C414" t="s">
        <v>293</v>
      </c>
      <c r="D414">
        <v>441</v>
      </c>
      <c r="E414" t="s">
        <v>194</v>
      </c>
      <c r="F414">
        <v>5148</v>
      </c>
      <c r="G414" s="3">
        <v>2.7000000000000001E-3</v>
      </c>
      <c r="H414" s="3">
        <v>0.876</v>
      </c>
      <c r="J414" s="3">
        <v>9.8500000000000004E-2</v>
      </c>
      <c r="K414" s="3">
        <v>2.2800000000000001E-2</v>
      </c>
    </row>
    <row r="415" spans="1:11">
      <c r="A415" t="s">
        <v>199</v>
      </c>
      <c r="B415" t="s">
        <v>288</v>
      </c>
      <c r="C415" t="s">
        <v>292</v>
      </c>
      <c r="D415">
        <v>363</v>
      </c>
      <c r="E415" t="s">
        <v>194</v>
      </c>
      <c r="F415">
        <v>5148</v>
      </c>
      <c r="G415" s="3">
        <v>4.4999999999999997E-3</v>
      </c>
      <c r="H415" s="3">
        <v>0.91449999999999998</v>
      </c>
      <c r="I415" s="3">
        <v>1.0699999999999999E-2</v>
      </c>
      <c r="J415" s="3">
        <v>4.4999999999999998E-2</v>
      </c>
      <c r="K415" s="3">
        <v>2.52E-2</v>
      </c>
    </row>
    <row r="416" spans="1:11">
      <c r="A416" t="s">
        <v>199</v>
      </c>
      <c r="B416" t="s">
        <v>287</v>
      </c>
      <c r="C416" t="s">
        <v>293</v>
      </c>
      <c r="D416">
        <v>734</v>
      </c>
      <c r="E416" t="s">
        <v>194</v>
      </c>
      <c r="F416">
        <v>5148</v>
      </c>
      <c r="G416" s="3">
        <v>3.7000000000000002E-3</v>
      </c>
      <c r="H416" s="3">
        <v>0.8821</v>
      </c>
      <c r="I416" s="3">
        <v>3.8999999999999998E-3</v>
      </c>
      <c r="J416" s="3">
        <v>6.8699999999999997E-2</v>
      </c>
      <c r="K416" s="3">
        <v>4.1500000000000002E-2</v>
      </c>
    </row>
    <row r="417" spans="1:11">
      <c r="A417" t="s">
        <v>199</v>
      </c>
      <c r="B417" t="s">
        <v>287</v>
      </c>
      <c r="C417" t="s">
        <v>292</v>
      </c>
      <c r="D417">
        <v>501</v>
      </c>
      <c r="E417" t="s">
        <v>194</v>
      </c>
      <c r="F417">
        <v>5148</v>
      </c>
      <c r="G417" s="3">
        <v>1.8700000000000001E-2</v>
      </c>
      <c r="H417" s="3">
        <v>0.91590000000000005</v>
      </c>
      <c r="J417" s="3">
        <v>5.5199999999999999E-2</v>
      </c>
      <c r="K417" s="3">
        <v>1.01E-2</v>
      </c>
    </row>
    <row r="418" spans="1:11">
      <c r="A418" t="s">
        <v>199</v>
      </c>
      <c r="B418" t="s">
        <v>286</v>
      </c>
      <c r="C418" t="s">
        <v>293</v>
      </c>
      <c r="D418">
        <v>241</v>
      </c>
      <c r="E418" t="s">
        <v>194</v>
      </c>
      <c r="F418">
        <v>5148</v>
      </c>
      <c r="G418" s="3">
        <v>2.5000000000000001E-3</v>
      </c>
      <c r="H418" s="3">
        <v>0.81540000000000001</v>
      </c>
      <c r="J418" s="3">
        <v>0.1203</v>
      </c>
      <c r="K418" s="3">
        <v>6.1800000000000001E-2</v>
      </c>
    </row>
    <row r="419" spans="1:11">
      <c r="A419" t="s">
        <v>199</v>
      </c>
      <c r="B419" t="s">
        <v>286</v>
      </c>
      <c r="C419" t="s">
        <v>292</v>
      </c>
      <c r="D419">
        <v>158</v>
      </c>
      <c r="E419" t="s">
        <v>194</v>
      </c>
      <c r="F419">
        <v>5148</v>
      </c>
      <c r="G419" s="3">
        <v>4.9599999999999998E-2</v>
      </c>
      <c r="H419" s="3">
        <v>0.78620000000000001</v>
      </c>
      <c r="J419" s="3">
        <v>0.1517</v>
      </c>
      <c r="K419" s="3">
        <v>1.24E-2</v>
      </c>
    </row>
    <row r="420" spans="1:11">
      <c r="A420" t="s">
        <v>195</v>
      </c>
      <c r="B420" t="s">
        <v>289</v>
      </c>
      <c r="C420" t="s">
        <v>293</v>
      </c>
      <c r="D420">
        <v>304</v>
      </c>
      <c r="E420" t="s">
        <v>194</v>
      </c>
      <c r="F420">
        <v>5148</v>
      </c>
      <c r="G420" s="3">
        <v>1.7999999999999999E-2</v>
      </c>
      <c r="H420" s="3">
        <v>0.90539999999999998</v>
      </c>
      <c r="J420" s="3">
        <v>4.1700000000000001E-2</v>
      </c>
      <c r="K420" s="3">
        <v>3.4799999999999998E-2</v>
      </c>
    </row>
    <row r="421" spans="1:11">
      <c r="A421" t="s">
        <v>195</v>
      </c>
      <c r="B421" t="s">
        <v>289</v>
      </c>
      <c r="C421" t="s">
        <v>292</v>
      </c>
      <c r="D421">
        <v>175</v>
      </c>
      <c r="E421" t="s">
        <v>194</v>
      </c>
      <c r="F421">
        <v>5148</v>
      </c>
      <c r="G421" s="3">
        <v>1.23E-2</v>
      </c>
      <c r="H421" s="3">
        <v>0.88549999999999995</v>
      </c>
      <c r="J421" s="3">
        <v>9.8100000000000007E-2</v>
      </c>
      <c r="K421" s="3">
        <v>4.1999999999999997E-3</v>
      </c>
    </row>
    <row r="422" spans="1:11">
      <c r="A422" t="s">
        <v>195</v>
      </c>
      <c r="B422" t="s">
        <v>288</v>
      </c>
      <c r="C422" t="s">
        <v>293</v>
      </c>
      <c r="D422">
        <v>345</v>
      </c>
      <c r="E422" t="s">
        <v>194</v>
      </c>
      <c r="F422">
        <v>5148</v>
      </c>
      <c r="G422" s="3">
        <v>1.1900000000000001E-2</v>
      </c>
      <c r="H422" s="3">
        <v>0.79569999999999996</v>
      </c>
      <c r="J422" s="3">
        <v>0.15090000000000001</v>
      </c>
      <c r="K422" s="3">
        <v>4.1500000000000002E-2</v>
      </c>
    </row>
    <row r="423" spans="1:11" s="25" customFormat="1">
      <c r="A423" s="25" t="s">
        <v>195</v>
      </c>
      <c r="B423" s="25" t="s">
        <v>288</v>
      </c>
      <c r="C423" s="25" t="s">
        <v>247</v>
      </c>
      <c r="D423" s="25">
        <v>1</v>
      </c>
      <c r="E423" s="25" t="s">
        <v>194</v>
      </c>
      <c r="F423" s="25">
        <v>5148</v>
      </c>
      <c r="J423" s="26">
        <v>1</v>
      </c>
    </row>
    <row r="424" spans="1:11">
      <c r="A424" t="s">
        <v>195</v>
      </c>
      <c r="B424" t="s">
        <v>288</v>
      </c>
      <c r="C424" t="s">
        <v>292</v>
      </c>
      <c r="D424">
        <v>221</v>
      </c>
      <c r="E424" t="s">
        <v>194</v>
      </c>
      <c r="F424">
        <v>5148</v>
      </c>
      <c r="G424" s="3">
        <v>3.3E-3</v>
      </c>
      <c r="H424" s="3">
        <v>0.80810000000000004</v>
      </c>
      <c r="J424" s="3">
        <v>0.1638</v>
      </c>
      <c r="K424" s="3">
        <v>2.4799999999999999E-2</v>
      </c>
    </row>
    <row r="425" spans="1:11">
      <c r="A425" t="s">
        <v>195</v>
      </c>
      <c r="B425" t="s">
        <v>287</v>
      </c>
      <c r="C425" t="s">
        <v>293</v>
      </c>
      <c r="D425">
        <v>526</v>
      </c>
      <c r="E425" t="s">
        <v>194</v>
      </c>
      <c r="F425">
        <v>5148</v>
      </c>
      <c r="G425" s="3">
        <v>5.9999999999999995E-4</v>
      </c>
      <c r="H425" s="3">
        <v>0.78890000000000005</v>
      </c>
      <c r="I425" s="3">
        <v>4.7000000000000002E-3</v>
      </c>
      <c r="J425" s="3">
        <v>0.1575</v>
      </c>
      <c r="K425" s="3">
        <v>4.8300000000000003E-2</v>
      </c>
    </row>
    <row r="426" spans="1:11">
      <c r="A426" t="s">
        <v>195</v>
      </c>
      <c r="B426" t="s">
        <v>287</v>
      </c>
      <c r="C426" t="s">
        <v>292</v>
      </c>
      <c r="D426">
        <v>283</v>
      </c>
      <c r="E426" t="s">
        <v>194</v>
      </c>
      <c r="F426">
        <v>5148</v>
      </c>
      <c r="G426" s="3">
        <v>1.4E-3</v>
      </c>
      <c r="H426" s="3">
        <v>0.89990000000000003</v>
      </c>
      <c r="J426" s="3">
        <v>7.0999999999999994E-2</v>
      </c>
      <c r="K426" s="3">
        <v>2.76E-2</v>
      </c>
    </row>
    <row r="427" spans="1:11">
      <c r="A427" t="s">
        <v>195</v>
      </c>
      <c r="B427" t="s">
        <v>286</v>
      </c>
      <c r="C427" t="s">
        <v>293</v>
      </c>
      <c r="D427">
        <v>220</v>
      </c>
      <c r="E427" t="s">
        <v>194</v>
      </c>
      <c r="F427">
        <v>5148</v>
      </c>
      <c r="G427" s="3">
        <v>2.1899999999999999E-2</v>
      </c>
      <c r="H427" s="3">
        <v>0.77449999999999997</v>
      </c>
      <c r="J427" s="3">
        <v>9.5100000000000004E-2</v>
      </c>
      <c r="K427" s="3">
        <v>0.1086</v>
      </c>
    </row>
    <row r="428" spans="1:11">
      <c r="A428" t="s">
        <v>199</v>
      </c>
      <c r="B428" t="s">
        <v>289</v>
      </c>
      <c r="C428" t="s">
        <v>293</v>
      </c>
      <c r="D428">
        <v>299</v>
      </c>
      <c r="E428" t="s">
        <v>194</v>
      </c>
      <c r="F428">
        <v>5148</v>
      </c>
      <c r="G428" s="3">
        <v>2.3E-3</v>
      </c>
      <c r="H428" s="3">
        <v>0.97050000000000003</v>
      </c>
      <c r="J428" s="3">
        <v>2.3E-2</v>
      </c>
      <c r="K428" s="3">
        <v>4.1000000000000003E-3</v>
      </c>
    </row>
    <row r="429" spans="1:11">
      <c r="A429" t="s">
        <v>200</v>
      </c>
      <c r="B429" t="s">
        <v>200</v>
      </c>
      <c r="C429" t="s">
        <v>200</v>
      </c>
      <c r="D429">
        <v>5148</v>
      </c>
      <c r="E429" t="s">
        <v>200</v>
      </c>
      <c r="F429">
        <v>5148</v>
      </c>
      <c r="G429" s="3">
        <v>8.6E-3</v>
      </c>
      <c r="H429" s="3">
        <v>0.8639</v>
      </c>
      <c r="I429" s="3">
        <v>1.8E-3</v>
      </c>
      <c r="J429" s="3">
        <v>9.1700000000000004E-2</v>
      </c>
      <c r="K429" s="3">
        <v>3.4000000000000002E-2</v>
      </c>
    </row>
    <row r="431" spans="1:11" ht="45">
      <c r="A431" s="22" t="s">
        <v>313</v>
      </c>
    </row>
    <row r="432" spans="1:11">
      <c r="A432" t="s">
        <v>185</v>
      </c>
      <c r="B432" t="s">
        <v>186</v>
      </c>
      <c r="C432" t="s">
        <v>192</v>
      </c>
      <c r="D432" t="s">
        <v>184</v>
      </c>
      <c r="E432" t="s">
        <v>193</v>
      </c>
      <c r="F432" t="s">
        <v>257</v>
      </c>
      <c r="G432" t="s">
        <v>309</v>
      </c>
      <c r="H432" t="s">
        <v>247</v>
      </c>
      <c r="I432" t="s">
        <v>310</v>
      </c>
      <c r="J432" t="s">
        <v>311</v>
      </c>
    </row>
    <row r="433" spans="1:10">
      <c r="A433" t="s">
        <v>195</v>
      </c>
      <c r="B433" t="s">
        <v>196</v>
      </c>
      <c r="C433">
        <v>786</v>
      </c>
      <c r="D433" t="s">
        <v>194</v>
      </c>
      <c r="E433">
        <v>5148</v>
      </c>
      <c r="F433" s="3">
        <v>3.0000000000000001E-3</v>
      </c>
      <c r="G433" s="3">
        <v>0.80230000000000001</v>
      </c>
      <c r="I433" s="3">
        <v>0.1585</v>
      </c>
      <c r="J433" s="3">
        <v>3.6200000000000003E-2</v>
      </c>
    </row>
    <row r="434" spans="1:10">
      <c r="A434" t="s">
        <v>195</v>
      </c>
      <c r="B434" t="s">
        <v>198</v>
      </c>
      <c r="C434">
        <v>1380</v>
      </c>
      <c r="D434" t="s">
        <v>194</v>
      </c>
      <c r="E434">
        <v>5148</v>
      </c>
      <c r="F434" s="3">
        <v>9.7999999999999997E-3</v>
      </c>
      <c r="G434" s="3">
        <v>0.8377</v>
      </c>
      <c r="H434" s="3">
        <v>1.8E-3</v>
      </c>
      <c r="I434" s="3">
        <v>0.1038</v>
      </c>
      <c r="J434" s="3">
        <v>4.6899999999999997E-2</v>
      </c>
    </row>
    <row r="435" spans="1:10">
      <c r="A435" t="s">
        <v>199</v>
      </c>
      <c r="B435" t="s">
        <v>196</v>
      </c>
      <c r="C435">
        <v>1105</v>
      </c>
      <c r="D435" t="s">
        <v>194</v>
      </c>
      <c r="E435">
        <v>5148</v>
      </c>
      <c r="F435" s="3">
        <v>5.5999999999999999E-3</v>
      </c>
      <c r="G435" s="3">
        <v>0.91049999999999998</v>
      </c>
      <c r="I435" s="3">
        <v>7.2999999999999995E-2</v>
      </c>
      <c r="J435" s="3">
        <v>1.09E-2</v>
      </c>
    </row>
    <row r="436" spans="1:10">
      <c r="A436" t="s">
        <v>199</v>
      </c>
      <c r="B436" t="s">
        <v>198</v>
      </c>
      <c r="C436">
        <v>1798</v>
      </c>
      <c r="D436" t="s">
        <v>194</v>
      </c>
      <c r="E436">
        <v>5148</v>
      </c>
      <c r="F436" s="3">
        <v>9.9000000000000008E-3</v>
      </c>
      <c r="G436" s="3">
        <v>0.88629999999999998</v>
      </c>
      <c r="H436" s="3">
        <v>2.5999999999999999E-3</v>
      </c>
      <c r="I436" s="3">
        <v>7.0999999999999994E-2</v>
      </c>
      <c r="J436" s="3">
        <v>3.0200000000000001E-2</v>
      </c>
    </row>
    <row r="437" spans="1:10">
      <c r="A437" t="s">
        <v>200</v>
      </c>
      <c r="B437" t="s">
        <v>200</v>
      </c>
      <c r="C437">
        <v>5148</v>
      </c>
      <c r="D437" t="s">
        <v>200</v>
      </c>
      <c r="E437">
        <v>5148</v>
      </c>
      <c r="F437" s="3">
        <v>8.6E-3</v>
      </c>
      <c r="G437" s="3">
        <v>0.8639</v>
      </c>
      <c r="H437" s="3">
        <v>1.8E-3</v>
      </c>
      <c r="I437" s="3">
        <v>9.1700000000000004E-2</v>
      </c>
      <c r="J437" s="3">
        <v>3.4000000000000002E-2</v>
      </c>
    </row>
    <row r="439" spans="1:10" ht="45">
      <c r="A439" s="22" t="s">
        <v>314</v>
      </c>
    </row>
    <row r="440" spans="1:10">
      <c r="A440" t="s">
        <v>185</v>
      </c>
      <c r="B440" t="s">
        <v>186</v>
      </c>
      <c r="C440" t="s">
        <v>192</v>
      </c>
      <c r="D440" t="s">
        <v>184</v>
      </c>
      <c r="E440" t="s">
        <v>193</v>
      </c>
      <c r="F440" t="s">
        <v>257</v>
      </c>
      <c r="G440" t="s">
        <v>309</v>
      </c>
      <c r="H440" t="s">
        <v>247</v>
      </c>
      <c r="I440" t="s">
        <v>310</v>
      </c>
      <c r="J440" t="s">
        <v>311</v>
      </c>
    </row>
    <row r="441" spans="1:10">
      <c r="A441" t="s">
        <v>195</v>
      </c>
      <c r="B441" t="s">
        <v>202</v>
      </c>
      <c r="C441">
        <v>990</v>
      </c>
      <c r="D441" t="s">
        <v>194</v>
      </c>
      <c r="E441">
        <v>5148</v>
      </c>
      <c r="F441" s="3">
        <v>7.6E-3</v>
      </c>
      <c r="G441" s="3">
        <v>0.83819999999999995</v>
      </c>
      <c r="H441" s="3">
        <v>2.0999999999999999E-3</v>
      </c>
      <c r="I441" s="3">
        <v>0.1109</v>
      </c>
      <c r="J441" s="3">
        <v>4.1200000000000001E-2</v>
      </c>
    </row>
    <row r="442" spans="1:10">
      <c r="A442" t="s">
        <v>195</v>
      </c>
      <c r="B442" t="s">
        <v>204</v>
      </c>
      <c r="C442">
        <v>550</v>
      </c>
      <c r="D442" t="s">
        <v>194</v>
      </c>
      <c r="E442">
        <v>5148</v>
      </c>
      <c r="F442" s="3">
        <v>1.2999999999999999E-2</v>
      </c>
      <c r="G442" s="3">
        <v>0.82269999999999999</v>
      </c>
      <c r="I442" s="3">
        <v>0.13500000000000001</v>
      </c>
      <c r="J442" s="3">
        <v>2.93E-2</v>
      </c>
    </row>
    <row r="443" spans="1:10">
      <c r="A443" t="s">
        <v>195</v>
      </c>
      <c r="B443" t="s">
        <v>205</v>
      </c>
      <c r="C443">
        <v>626</v>
      </c>
      <c r="D443" t="s">
        <v>194</v>
      </c>
      <c r="E443">
        <v>5148</v>
      </c>
      <c r="F443" s="3">
        <v>1.8E-3</v>
      </c>
      <c r="G443" s="3">
        <v>0.7893</v>
      </c>
      <c r="I443" s="3">
        <v>0.12820000000000001</v>
      </c>
      <c r="J443" s="3">
        <v>8.0799999999999997E-2</v>
      </c>
    </row>
    <row r="444" spans="1:10">
      <c r="A444" t="s">
        <v>199</v>
      </c>
      <c r="B444" t="s">
        <v>202</v>
      </c>
      <c r="C444">
        <v>1053</v>
      </c>
      <c r="D444" t="s">
        <v>194</v>
      </c>
      <c r="E444">
        <v>5148</v>
      </c>
      <c r="F444" s="3">
        <v>1.1599999999999999E-2</v>
      </c>
      <c r="G444" s="3">
        <v>0.89629999999999999</v>
      </c>
      <c r="I444" s="3">
        <v>6.6600000000000006E-2</v>
      </c>
      <c r="J444" s="3">
        <v>2.5600000000000001E-2</v>
      </c>
    </row>
    <row r="445" spans="1:10">
      <c r="A445" t="s">
        <v>199</v>
      </c>
      <c r="B445" t="s">
        <v>204</v>
      </c>
      <c r="C445">
        <v>830</v>
      </c>
      <c r="D445" t="s">
        <v>194</v>
      </c>
      <c r="E445">
        <v>5148</v>
      </c>
      <c r="F445" s="3">
        <v>3.2000000000000002E-3</v>
      </c>
      <c r="G445" s="3">
        <v>0.92330000000000001</v>
      </c>
      <c r="I445" s="3">
        <v>5.9400000000000001E-2</v>
      </c>
      <c r="J445" s="3">
        <v>1.41E-2</v>
      </c>
    </row>
    <row r="446" spans="1:10">
      <c r="A446" t="s">
        <v>199</v>
      </c>
      <c r="B446" t="s">
        <v>205</v>
      </c>
      <c r="C446">
        <v>1020</v>
      </c>
      <c r="D446" t="s">
        <v>194</v>
      </c>
      <c r="E446">
        <v>5148</v>
      </c>
      <c r="F446" s="3">
        <v>6.1000000000000004E-3</v>
      </c>
      <c r="G446" s="3">
        <v>0.83589999999999998</v>
      </c>
      <c r="H446" s="3">
        <v>1.2E-2</v>
      </c>
      <c r="I446" s="3">
        <v>0.1033</v>
      </c>
      <c r="J446" s="3">
        <v>4.2599999999999999E-2</v>
      </c>
    </row>
    <row r="447" spans="1:10">
      <c r="A447" t="s">
        <v>200</v>
      </c>
      <c r="B447" t="s">
        <v>200</v>
      </c>
      <c r="C447">
        <v>5148</v>
      </c>
      <c r="D447" t="s">
        <v>200</v>
      </c>
      <c r="E447">
        <v>5148</v>
      </c>
      <c r="F447" s="3">
        <v>8.6E-3</v>
      </c>
      <c r="G447" s="3">
        <v>0.8639</v>
      </c>
      <c r="H447" s="3">
        <v>1.8E-3</v>
      </c>
      <c r="I447" s="3">
        <v>9.1700000000000004E-2</v>
      </c>
      <c r="J447" s="3">
        <v>3.4000000000000002E-2</v>
      </c>
    </row>
    <row r="449" spans="1:10" ht="45">
      <c r="A449" s="22" t="s">
        <v>315</v>
      </c>
    </row>
    <row r="450" spans="1:10">
      <c r="A450" t="s">
        <v>185</v>
      </c>
      <c r="B450" t="s">
        <v>186</v>
      </c>
      <c r="C450" t="s">
        <v>192</v>
      </c>
      <c r="D450" t="s">
        <v>184</v>
      </c>
      <c r="E450" t="s">
        <v>193</v>
      </c>
      <c r="F450" t="s">
        <v>257</v>
      </c>
      <c r="G450" t="s">
        <v>309</v>
      </c>
      <c r="H450" t="s">
        <v>247</v>
      </c>
      <c r="I450" t="s">
        <v>310</v>
      </c>
      <c r="J450" t="s">
        <v>311</v>
      </c>
    </row>
    <row r="451" spans="1:10">
      <c r="A451" t="s">
        <v>195</v>
      </c>
      <c r="B451" t="s">
        <v>207</v>
      </c>
      <c r="C451">
        <v>631</v>
      </c>
      <c r="D451" t="s">
        <v>194</v>
      </c>
      <c r="E451">
        <v>5148</v>
      </c>
      <c r="F451" s="3">
        <v>1.5800000000000002E-2</v>
      </c>
      <c r="G451" s="3">
        <v>0.87090000000000001</v>
      </c>
      <c r="I451" s="3">
        <v>0.09</v>
      </c>
      <c r="J451" s="3">
        <v>2.3300000000000001E-2</v>
      </c>
    </row>
    <row r="452" spans="1:10">
      <c r="A452" t="s">
        <v>195</v>
      </c>
      <c r="B452" t="s">
        <v>209</v>
      </c>
      <c r="C452">
        <v>1576</v>
      </c>
      <c r="D452" t="s">
        <v>194</v>
      </c>
      <c r="E452">
        <v>5148</v>
      </c>
      <c r="F452" s="3">
        <v>5.4000000000000003E-3</v>
      </c>
      <c r="G452" s="3">
        <v>0.81289999999999996</v>
      </c>
      <c r="H452" s="3">
        <v>1.8E-3</v>
      </c>
      <c r="I452" s="3">
        <v>0.12839999999999999</v>
      </c>
      <c r="J452" s="3">
        <v>5.1499999999999997E-2</v>
      </c>
    </row>
    <row r="453" spans="1:10">
      <c r="A453" t="s">
        <v>199</v>
      </c>
      <c r="B453" t="s">
        <v>207</v>
      </c>
      <c r="C453">
        <v>620</v>
      </c>
      <c r="D453" t="s">
        <v>194</v>
      </c>
      <c r="E453">
        <v>5148</v>
      </c>
      <c r="F453" s="3">
        <v>5.5999999999999999E-3</v>
      </c>
      <c r="G453" s="3">
        <v>0.86329999999999996</v>
      </c>
      <c r="H453" s="3">
        <v>8.0999999999999996E-3</v>
      </c>
      <c r="I453" s="3">
        <v>9.3700000000000006E-2</v>
      </c>
      <c r="J453" s="3">
        <v>2.93E-2</v>
      </c>
    </row>
    <row r="454" spans="1:10">
      <c r="A454" t="s">
        <v>199</v>
      </c>
      <c r="B454" t="s">
        <v>209</v>
      </c>
      <c r="C454">
        <v>2321</v>
      </c>
      <c r="D454" t="s">
        <v>194</v>
      </c>
      <c r="E454">
        <v>5148</v>
      </c>
      <c r="F454" s="3">
        <v>9.4999999999999998E-3</v>
      </c>
      <c r="G454" s="3">
        <v>0.89539999999999997</v>
      </c>
      <c r="H454" s="3">
        <v>1.1999999999999999E-3</v>
      </c>
      <c r="I454" s="3">
        <v>6.8000000000000005E-2</v>
      </c>
      <c r="J454" s="3">
        <v>2.58E-2</v>
      </c>
    </row>
    <row r="455" spans="1:10">
      <c r="A455" t="s">
        <v>200</v>
      </c>
      <c r="B455" t="s">
        <v>200</v>
      </c>
      <c r="C455">
        <v>5148</v>
      </c>
      <c r="D455" t="s">
        <v>200</v>
      </c>
      <c r="E455">
        <v>5148</v>
      </c>
      <c r="F455" s="3">
        <v>8.6E-3</v>
      </c>
      <c r="G455" s="3">
        <v>0.8639</v>
      </c>
      <c r="H455" s="3">
        <v>1.8E-3</v>
      </c>
      <c r="I455" s="3">
        <v>9.1700000000000004E-2</v>
      </c>
      <c r="J455" s="3">
        <v>3.4000000000000002E-2</v>
      </c>
    </row>
    <row r="457" spans="1:10" ht="45">
      <c r="A457" s="22" t="s">
        <v>316</v>
      </c>
    </row>
    <row r="458" spans="1:10">
      <c r="A458" t="s">
        <v>185</v>
      </c>
      <c r="B458" t="s">
        <v>192</v>
      </c>
      <c r="C458" t="s">
        <v>184</v>
      </c>
      <c r="D458" t="s">
        <v>193</v>
      </c>
      <c r="E458" t="s">
        <v>257</v>
      </c>
      <c r="F458" t="s">
        <v>309</v>
      </c>
      <c r="G458" t="s">
        <v>247</v>
      </c>
      <c r="H458" t="s">
        <v>310</v>
      </c>
      <c r="I458" t="s">
        <v>311</v>
      </c>
    </row>
    <row r="459" spans="1:10">
      <c r="A459" t="s">
        <v>195</v>
      </c>
      <c r="B459">
        <v>2207</v>
      </c>
      <c r="C459" t="s">
        <v>194</v>
      </c>
      <c r="D459">
        <v>5148</v>
      </c>
      <c r="E459" s="3">
        <v>8.2000000000000007E-3</v>
      </c>
      <c r="F459" s="3">
        <v>0.82830000000000004</v>
      </c>
      <c r="G459" s="3">
        <v>1.2999999999999999E-3</v>
      </c>
      <c r="H459" s="3">
        <v>0.1182</v>
      </c>
      <c r="I459" s="3">
        <v>4.3999999999999997E-2</v>
      </c>
    </row>
    <row r="460" spans="1:10">
      <c r="A460" t="s">
        <v>199</v>
      </c>
      <c r="B460">
        <v>2941</v>
      </c>
      <c r="C460" t="s">
        <v>194</v>
      </c>
      <c r="D460">
        <v>5148</v>
      </c>
      <c r="E460" s="3">
        <v>8.9999999999999993E-3</v>
      </c>
      <c r="F460" s="3">
        <v>0.89129999999999998</v>
      </c>
      <c r="G460" s="3">
        <v>2.0999999999999999E-3</v>
      </c>
      <c r="H460" s="3">
        <v>7.1300000000000002E-2</v>
      </c>
      <c r="I460" s="3">
        <v>2.6200000000000001E-2</v>
      </c>
    </row>
    <row r="461" spans="1:10">
      <c r="A461" t="s">
        <v>200</v>
      </c>
      <c r="B461">
        <v>5148</v>
      </c>
      <c r="C461" t="s">
        <v>200</v>
      </c>
      <c r="D461">
        <v>5148</v>
      </c>
      <c r="E461" s="3">
        <v>8.6E-3</v>
      </c>
      <c r="F461" s="3">
        <v>0.8639</v>
      </c>
      <c r="G461" s="3">
        <v>1.8E-3</v>
      </c>
      <c r="H461" s="3">
        <v>9.1700000000000004E-2</v>
      </c>
      <c r="I461" s="3">
        <v>3.4000000000000002E-2</v>
      </c>
    </row>
    <row r="463" spans="1:10" ht="45">
      <c r="A463" s="22" t="s">
        <v>317</v>
      </c>
    </row>
    <row r="464" spans="1:10">
      <c r="A464" t="s">
        <v>185</v>
      </c>
      <c r="B464" t="s">
        <v>186</v>
      </c>
      <c r="C464" t="s">
        <v>192</v>
      </c>
      <c r="D464" t="s">
        <v>184</v>
      </c>
      <c r="E464" t="s">
        <v>193</v>
      </c>
      <c r="F464" t="s">
        <v>257</v>
      </c>
      <c r="G464" t="s">
        <v>309</v>
      </c>
      <c r="H464" t="s">
        <v>247</v>
      </c>
      <c r="I464" t="s">
        <v>310</v>
      </c>
      <c r="J464" t="s">
        <v>311</v>
      </c>
    </row>
    <row r="465" spans="1:10">
      <c r="A465" t="s">
        <v>195</v>
      </c>
      <c r="B465" t="s">
        <v>212</v>
      </c>
      <c r="C465">
        <v>1635</v>
      </c>
      <c r="D465" t="s">
        <v>194</v>
      </c>
      <c r="E465">
        <v>5148</v>
      </c>
      <c r="F465" s="3">
        <v>9.1999999999999998E-3</v>
      </c>
      <c r="G465" s="3">
        <v>0.82569999999999999</v>
      </c>
      <c r="H465" s="3">
        <v>1.4E-3</v>
      </c>
      <c r="I465" s="3">
        <v>0.1188</v>
      </c>
      <c r="J465" s="3">
        <v>4.4900000000000002E-2</v>
      </c>
    </row>
    <row r="466" spans="1:10">
      <c r="A466" t="s">
        <v>195</v>
      </c>
      <c r="B466" t="s">
        <v>214</v>
      </c>
      <c r="C466">
        <v>163</v>
      </c>
      <c r="D466" t="s">
        <v>194</v>
      </c>
      <c r="E466">
        <v>5148</v>
      </c>
      <c r="F466" s="3">
        <v>2.5000000000000001E-3</v>
      </c>
      <c r="G466" s="3">
        <v>0.80920000000000003</v>
      </c>
      <c r="I466" s="3">
        <v>0.1056</v>
      </c>
      <c r="J466" s="3">
        <v>8.2699999999999996E-2</v>
      </c>
    </row>
    <row r="467" spans="1:10">
      <c r="A467" t="s">
        <v>195</v>
      </c>
      <c r="B467" t="s">
        <v>215</v>
      </c>
      <c r="C467">
        <v>409</v>
      </c>
      <c r="D467" t="s">
        <v>194</v>
      </c>
      <c r="E467">
        <v>5148</v>
      </c>
      <c r="F467" s="3">
        <v>5.4999999999999997E-3</v>
      </c>
      <c r="G467" s="3">
        <v>0.85440000000000005</v>
      </c>
      <c r="H467" s="3">
        <v>1.9E-3</v>
      </c>
      <c r="I467" s="3">
        <v>0.12180000000000001</v>
      </c>
      <c r="J467" s="3">
        <v>1.6400000000000001E-2</v>
      </c>
    </row>
    <row r="468" spans="1:10">
      <c r="A468" t="s">
        <v>199</v>
      </c>
      <c r="B468" t="s">
        <v>212</v>
      </c>
      <c r="C468">
        <v>2221</v>
      </c>
      <c r="D468" t="s">
        <v>194</v>
      </c>
      <c r="E468">
        <v>5148</v>
      </c>
      <c r="F468" s="3">
        <v>9.9000000000000008E-3</v>
      </c>
      <c r="G468" s="3">
        <v>0.89459999999999995</v>
      </c>
      <c r="H468" s="3">
        <v>2.7000000000000001E-3</v>
      </c>
      <c r="I468" s="3">
        <v>6.4100000000000004E-2</v>
      </c>
      <c r="J468" s="3">
        <v>2.86E-2</v>
      </c>
    </row>
    <row r="469" spans="1:10">
      <c r="A469" t="s">
        <v>199</v>
      </c>
      <c r="B469" t="s">
        <v>214</v>
      </c>
      <c r="C469">
        <v>182</v>
      </c>
      <c r="D469" t="s">
        <v>194</v>
      </c>
      <c r="E469">
        <v>5148</v>
      </c>
      <c r="F469" s="3">
        <v>8.0000000000000004E-4</v>
      </c>
      <c r="G469" s="3">
        <v>0.83099999999999996</v>
      </c>
      <c r="I469" s="3">
        <v>0.14319999999999999</v>
      </c>
      <c r="J469" s="3">
        <v>2.5000000000000001E-2</v>
      </c>
    </row>
    <row r="470" spans="1:10">
      <c r="A470" t="s">
        <v>199</v>
      </c>
      <c r="B470" t="s">
        <v>215</v>
      </c>
      <c r="C470">
        <v>538</v>
      </c>
      <c r="D470" t="s">
        <v>194</v>
      </c>
      <c r="E470">
        <v>5148</v>
      </c>
      <c r="F470" s="3">
        <v>8.2000000000000007E-3</v>
      </c>
      <c r="G470" s="3">
        <v>0.90469999999999995</v>
      </c>
      <c r="I470" s="3">
        <v>7.3899999999999993E-2</v>
      </c>
      <c r="J470" s="3">
        <v>1.3100000000000001E-2</v>
      </c>
    </row>
    <row r="471" spans="1:10">
      <c r="A471" t="s">
        <v>200</v>
      </c>
      <c r="B471" t="s">
        <v>200</v>
      </c>
      <c r="C471">
        <v>5148</v>
      </c>
      <c r="D471" t="s">
        <v>200</v>
      </c>
      <c r="E471">
        <v>5148</v>
      </c>
      <c r="F471" s="3">
        <v>8.6E-3</v>
      </c>
      <c r="G471" s="3">
        <v>0.8639</v>
      </c>
      <c r="H471" s="3">
        <v>1.8E-3</v>
      </c>
      <c r="I471" s="3">
        <v>9.1700000000000004E-2</v>
      </c>
      <c r="J471" s="3">
        <v>3.4000000000000002E-2</v>
      </c>
    </row>
    <row r="473" spans="1:10" ht="45">
      <c r="A473" s="22" t="s">
        <v>318</v>
      </c>
    </row>
    <row r="474" spans="1:10">
      <c r="A474" t="s">
        <v>185</v>
      </c>
      <c r="B474" t="s">
        <v>186</v>
      </c>
      <c r="C474" t="s">
        <v>192</v>
      </c>
      <c r="D474" t="s">
        <v>184</v>
      </c>
      <c r="E474" t="s">
        <v>193</v>
      </c>
      <c r="F474" t="s">
        <v>257</v>
      </c>
      <c r="G474" t="s">
        <v>309</v>
      </c>
      <c r="H474" t="s">
        <v>247</v>
      </c>
      <c r="I474" t="s">
        <v>310</v>
      </c>
      <c r="J474" t="s">
        <v>311</v>
      </c>
    </row>
    <row r="475" spans="1:10">
      <c r="A475" t="s">
        <v>195</v>
      </c>
      <c r="B475" t="s">
        <v>217</v>
      </c>
      <c r="C475">
        <v>1145</v>
      </c>
      <c r="D475" t="s">
        <v>194</v>
      </c>
      <c r="E475">
        <v>5148</v>
      </c>
      <c r="F475" s="3">
        <v>3.5000000000000001E-3</v>
      </c>
      <c r="G475" s="3">
        <v>0.84060000000000001</v>
      </c>
      <c r="I475" s="3">
        <v>0.1099</v>
      </c>
      <c r="J475" s="3">
        <v>4.6100000000000002E-2</v>
      </c>
    </row>
    <row r="476" spans="1:10">
      <c r="A476" t="s">
        <v>195</v>
      </c>
      <c r="B476" t="s">
        <v>219</v>
      </c>
      <c r="C476">
        <v>721</v>
      </c>
      <c r="D476" t="s">
        <v>194</v>
      </c>
      <c r="E476">
        <v>5148</v>
      </c>
      <c r="F476" s="3">
        <v>1.7600000000000001E-2</v>
      </c>
      <c r="G476" s="3">
        <v>0.80549999999999999</v>
      </c>
      <c r="H476" s="3">
        <v>8.9999999999999998E-4</v>
      </c>
      <c r="I476" s="3">
        <v>0.12959999999999999</v>
      </c>
      <c r="J476" s="3">
        <v>4.6399999999999997E-2</v>
      </c>
    </row>
    <row r="477" spans="1:10">
      <c r="A477" t="s">
        <v>195</v>
      </c>
      <c r="B477" t="s">
        <v>220</v>
      </c>
      <c r="C477">
        <v>337</v>
      </c>
      <c r="D477" t="s">
        <v>194</v>
      </c>
      <c r="E477">
        <v>5148</v>
      </c>
      <c r="F477" s="3">
        <v>5.8999999999999999E-3</v>
      </c>
      <c r="G477" s="3">
        <v>0.83109999999999995</v>
      </c>
      <c r="H477" s="3">
        <v>5.8999999999999999E-3</v>
      </c>
      <c r="I477" s="3">
        <v>0.1229</v>
      </c>
      <c r="J477" s="3">
        <v>3.4200000000000001E-2</v>
      </c>
    </row>
    <row r="478" spans="1:10">
      <c r="A478" t="s">
        <v>199</v>
      </c>
      <c r="B478" t="s">
        <v>217</v>
      </c>
      <c r="C478">
        <v>1822</v>
      </c>
      <c r="D478" t="s">
        <v>194</v>
      </c>
      <c r="E478">
        <v>5148</v>
      </c>
      <c r="F478" s="3">
        <v>7.7999999999999996E-3</v>
      </c>
      <c r="G478" s="3">
        <v>0.91920000000000002</v>
      </c>
      <c r="H478" s="3">
        <v>3.2000000000000002E-3</v>
      </c>
      <c r="I478" s="3">
        <v>5.1799999999999999E-2</v>
      </c>
      <c r="J478" s="3">
        <v>1.8100000000000002E-2</v>
      </c>
    </row>
    <row r="479" spans="1:10">
      <c r="A479" t="s">
        <v>199</v>
      </c>
      <c r="B479" t="s">
        <v>219</v>
      </c>
      <c r="C479">
        <v>687</v>
      </c>
      <c r="D479" t="s">
        <v>194</v>
      </c>
      <c r="E479">
        <v>5148</v>
      </c>
      <c r="F479" s="3">
        <v>1.9E-2</v>
      </c>
      <c r="G479" s="3">
        <v>0.84260000000000002</v>
      </c>
      <c r="I479" s="3">
        <v>0.1178</v>
      </c>
      <c r="J479" s="3">
        <v>2.06E-2</v>
      </c>
    </row>
    <row r="480" spans="1:10">
      <c r="A480" t="s">
        <v>199</v>
      </c>
      <c r="B480" t="s">
        <v>220</v>
      </c>
      <c r="C480">
        <v>432</v>
      </c>
      <c r="D480" t="s">
        <v>194</v>
      </c>
      <c r="E480">
        <v>5148</v>
      </c>
      <c r="F480" s="3">
        <v>2.8E-3</v>
      </c>
      <c r="G480" s="3">
        <v>0.82979999999999998</v>
      </c>
      <c r="I480" s="3">
        <v>0.10050000000000001</v>
      </c>
      <c r="J480" s="3">
        <v>6.6799999999999998E-2</v>
      </c>
    </row>
    <row r="481" spans="1:10">
      <c r="A481" t="s">
        <v>200</v>
      </c>
      <c r="B481" t="s">
        <v>200</v>
      </c>
      <c r="C481">
        <v>5148</v>
      </c>
      <c r="D481" t="s">
        <v>200</v>
      </c>
      <c r="E481">
        <v>5148</v>
      </c>
      <c r="F481" s="3">
        <v>8.6E-3</v>
      </c>
      <c r="G481" s="3">
        <v>0.8639</v>
      </c>
      <c r="H481" s="3">
        <v>1.8E-3</v>
      </c>
      <c r="I481" s="3">
        <v>9.1700000000000004E-2</v>
      </c>
      <c r="J481" s="3">
        <v>3.4000000000000002E-2</v>
      </c>
    </row>
    <row r="483" spans="1:10" ht="45">
      <c r="A483" s="22" t="s">
        <v>319</v>
      </c>
    </row>
    <row r="484" spans="1:10">
      <c r="A484" t="s">
        <v>185</v>
      </c>
      <c r="B484" t="s">
        <v>186</v>
      </c>
      <c r="C484" t="s">
        <v>192</v>
      </c>
      <c r="D484" t="s">
        <v>184</v>
      </c>
      <c r="E484" t="s">
        <v>193</v>
      </c>
      <c r="F484" t="s">
        <v>257</v>
      </c>
      <c r="G484" t="s">
        <v>309</v>
      </c>
      <c r="H484" t="s">
        <v>247</v>
      </c>
      <c r="I484" t="s">
        <v>310</v>
      </c>
      <c r="J484" t="s">
        <v>311</v>
      </c>
    </row>
    <row r="485" spans="1:10">
      <c r="A485" t="s">
        <v>195</v>
      </c>
      <c r="B485" t="s">
        <v>301</v>
      </c>
      <c r="C485">
        <v>1237</v>
      </c>
      <c r="D485" t="s">
        <v>194</v>
      </c>
      <c r="E485">
        <v>5148</v>
      </c>
      <c r="F485" s="3">
        <v>5.3E-3</v>
      </c>
      <c r="G485" s="3">
        <v>0.83069999999999999</v>
      </c>
      <c r="H485" s="3">
        <v>5.0000000000000001E-4</v>
      </c>
      <c r="I485" s="3">
        <v>0.1186</v>
      </c>
      <c r="J485" s="3">
        <v>4.4900000000000002E-2</v>
      </c>
    </row>
    <row r="486" spans="1:10">
      <c r="A486" t="s">
        <v>195</v>
      </c>
      <c r="B486" t="s">
        <v>302</v>
      </c>
      <c r="C486">
        <v>970</v>
      </c>
      <c r="D486" t="s">
        <v>194</v>
      </c>
      <c r="E486">
        <v>5148</v>
      </c>
      <c r="F486" s="3">
        <v>1.12E-2</v>
      </c>
      <c r="G486" s="3">
        <v>0.82569999999999999</v>
      </c>
      <c r="H486" s="3">
        <v>2.3E-3</v>
      </c>
      <c r="I486" s="3">
        <v>0.1178</v>
      </c>
      <c r="J486" s="3">
        <v>4.3099999999999999E-2</v>
      </c>
    </row>
    <row r="487" spans="1:10">
      <c r="A487" t="s">
        <v>199</v>
      </c>
      <c r="B487" t="s">
        <v>301</v>
      </c>
      <c r="C487">
        <v>1630</v>
      </c>
      <c r="D487" t="s">
        <v>194</v>
      </c>
      <c r="E487">
        <v>5148</v>
      </c>
      <c r="F487" s="3">
        <v>1.34E-2</v>
      </c>
      <c r="G487" s="3">
        <v>0.90629999999999999</v>
      </c>
      <c r="H487" s="3">
        <v>2E-3</v>
      </c>
      <c r="I487" s="3">
        <v>5.5500000000000001E-2</v>
      </c>
      <c r="J487" s="3">
        <v>2.2800000000000001E-2</v>
      </c>
    </row>
    <row r="488" spans="1:10">
      <c r="A488" t="s">
        <v>199</v>
      </c>
      <c r="B488" t="s">
        <v>302</v>
      </c>
      <c r="C488">
        <v>1311</v>
      </c>
      <c r="D488" t="s">
        <v>194</v>
      </c>
      <c r="E488">
        <v>5148</v>
      </c>
      <c r="F488" s="3">
        <v>3.5999999999999999E-3</v>
      </c>
      <c r="G488" s="3">
        <v>0.87329999999999997</v>
      </c>
      <c r="H488" s="3">
        <v>2.3E-3</v>
      </c>
      <c r="I488" s="3">
        <v>9.0399999999999994E-2</v>
      </c>
      <c r="J488" s="3">
        <v>3.0499999999999999E-2</v>
      </c>
    </row>
    <row r="489" spans="1:10">
      <c r="A489" t="s">
        <v>200</v>
      </c>
      <c r="B489" t="s">
        <v>200</v>
      </c>
      <c r="C489">
        <v>5148</v>
      </c>
      <c r="D489" t="s">
        <v>200</v>
      </c>
      <c r="E489">
        <v>5148</v>
      </c>
      <c r="F489" s="3">
        <v>8.6E-3</v>
      </c>
      <c r="G489" s="3">
        <v>0.8639</v>
      </c>
      <c r="H489" s="3">
        <v>1.8E-3</v>
      </c>
      <c r="I489" s="3">
        <v>9.1700000000000004E-2</v>
      </c>
      <c r="J489" s="3">
        <v>3.4000000000000002E-2</v>
      </c>
    </row>
    <row r="491" spans="1:10" ht="45">
      <c r="A491" s="22" t="s">
        <v>320</v>
      </c>
    </row>
    <row r="492" spans="1:10">
      <c r="A492" t="s">
        <v>185</v>
      </c>
      <c r="B492" t="s">
        <v>186</v>
      </c>
      <c r="C492" t="s">
        <v>192</v>
      </c>
      <c r="D492" t="s">
        <v>184</v>
      </c>
      <c r="E492" t="s">
        <v>193</v>
      </c>
      <c r="F492" t="s">
        <v>257</v>
      </c>
      <c r="G492" t="s">
        <v>309</v>
      </c>
      <c r="H492" t="s">
        <v>247</v>
      </c>
      <c r="I492" t="s">
        <v>310</v>
      </c>
      <c r="J492" t="s">
        <v>311</v>
      </c>
    </row>
    <row r="493" spans="1:10">
      <c r="A493" t="s">
        <v>195</v>
      </c>
      <c r="B493" t="s">
        <v>304</v>
      </c>
      <c r="C493">
        <v>171</v>
      </c>
      <c r="D493" t="s">
        <v>194</v>
      </c>
      <c r="E493">
        <v>5148</v>
      </c>
      <c r="F493" s="3">
        <v>2.0000000000000001E-4</v>
      </c>
      <c r="G493" s="3">
        <v>0.68540000000000001</v>
      </c>
      <c r="I493" s="3">
        <v>0.21060000000000001</v>
      </c>
      <c r="J493" s="3">
        <v>0.1038</v>
      </c>
    </row>
    <row r="494" spans="1:10">
      <c r="A494" t="s">
        <v>195</v>
      </c>
      <c r="B494" t="s">
        <v>305</v>
      </c>
      <c r="C494">
        <v>1061</v>
      </c>
      <c r="D494" t="s">
        <v>194</v>
      </c>
      <c r="E494">
        <v>5148</v>
      </c>
      <c r="F494" s="3">
        <v>6.1000000000000004E-3</v>
      </c>
      <c r="G494" s="3">
        <v>0.85199999999999998</v>
      </c>
      <c r="H494" s="3">
        <v>5.9999999999999995E-4</v>
      </c>
      <c r="I494" s="3">
        <v>0.1052</v>
      </c>
      <c r="J494" s="3">
        <v>3.6200000000000003E-2</v>
      </c>
    </row>
    <row r="495" spans="1:10" s="23" customFormat="1">
      <c r="A495" s="23" t="s">
        <v>195</v>
      </c>
      <c r="B495" s="23" t="s">
        <v>306</v>
      </c>
      <c r="C495" s="23">
        <v>5</v>
      </c>
      <c r="D495" s="23" t="s">
        <v>194</v>
      </c>
      <c r="E495" s="23">
        <v>5148</v>
      </c>
      <c r="G495" s="24">
        <v>1</v>
      </c>
    </row>
    <row r="496" spans="1:10">
      <c r="A496" t="s">
        <v>195</v>
      </c>
      <c r="B496" t="s">
        <v>307</v>
      </c>
      <c r="C496">
        <v>970</v>
      </c>
      <c r="D496" t="s">
        <v>194</v>
      </c>
      <c r="E496">
        <v>5148</v>
      </c>
      <c r="F496" s="3">
        <v>1.12E-2</v>
      </c>
      <c r="G496" s="3">
        <v>0.82569999999999999</v>
      </c>
      <c r="H496" s="3">
        <v>2.3E-3</v>
      </c>
      <c r="I496" s="3">
        <v>0.1178</v>
      </c>
      <c r="J496" s="3">
        <v>4.3099999999999999E-2</v>
      </c>
    </row>
    <row r="497" spans="1:18">
      <c r="A497" t="s">
        <v>199</v>
      </c>
      <c r="B497" t="s">
        <v>304</v>
      </c>
      <c r="C497">
        <v>95</v>
      </c>
      <c r="D497" t="s">
        <v>194</v>
      </c>
      <c r="E497">
        <v>5148</v>
      </c>
      <c r="G497" s="3">
        <v>0.90790000000000004</v>
      </c>
      <c r="I497" s="3">
        <v>7.9600000000000004E-2</v>
      </c>
      <c r="J497" s="3">
        <v>1.2500000000000001E-2</v>
      </c>
    </row>
    <row r="498" spans="1:18">
      <c r="A498" t="s">
        <v>199</v>
      </c>
      <c r="B498" t="s">
        <v>305</v>
      </c>
      <c r="C498">
        <v>1530</v>
      </c>
      <c r="D498" t="s">
        <v>194</v>
      </c>
      <c r="E498">
        <v>5148</v>
      </c>
      <c r="F498" s="3">
        <v>1.4E-2</v>
      </c>
      <c r="G498" s="3">
        <v>0.90620000000000001</v>
      </c>
      <c r="H498" s="3">
        <v>2.0999999999999999E-3</v>
      </c>
      <c r="I498" s="3">
        <v>5.4600000000000003E-2</v>
      </c>
      <c r="J498" s="3">
        <v>2.3199999999999998E-2</v>
      </c>
    </row>
    <row r="499" spans="1:18" s="23" customFormat="1">
      <c r="A499" s="23" t="s">
        <v>199</v>
      </c>
      <c r="B499" s="23" t="s">
        <v>306</v>
      </c>
      <c r="C499" s="23">
        <v>5</v>
      </c>
      <c r="D499" s="23" t="s">
        <v>194</v>
      </c>
      <c r="E499" s="23">
        <v>5148</v>
      </c>
      <c r="G499" s="24">
        <v>1</v>
      </c>
    </row>
    <row r="500" spans="1:18">
      <c r="A500" t="s">
        <v>199</v>
      </c>
      <c r="B500" t="s">
        <v>307</v>
      </c>
      <c r="C500">
        <v>1311</v>
      </c>
      <c r="D500" t="s">
        <v>194</v>
      </c>
      <c r="E500">
        <v>5148</v>
      </c>
      <c r="F500" s="3">
        <v>3.5999999999999999E-3</v>
      </c>
      <c r="G500" s="3">
        <v>0.87329999999999997</v>
      </c>
      <c r="H500" s="3">
        <v>2.3E-3</v>
      </c>
      <c r="I500" s="3">
        <v>9.0399999999999994E-2</v>
      </c>
      <c r="J500" s="3">
        <v>3.0499999999999999E-2</v>
      </c>
    </row>
    <row r="501" spans="1:18">
      <c r="A501" t="s">
        <v>200</v>
      </c>
      <c r="B501" t="s">
        <v>200</v>
      </c>
      <c r="C501">
        <v>5148</v>
      </c>
      <c r="D501" t="s">
        <v>200</v>
      </c>
      <c r="E501">
        <v>5148</v>
      </c>
      <c r="F501" s="3">
        <v>8.6E-3</v>
      </c>
      <c r="G501" s="3">
        <v>0.8639</v>
      </c>
      <c r="H501" s="3">
        <v>1.8E-3</v>
      </c>
      <c r="I501" s="3">
        <v>9.1700000000000004E-2</v>
      </c>
      <c r="J501" s="3">
        <v>3.4000000000000002E-2</v>
      </c>
    </row>
    <row r="503" spans="1:18" ht="60">
      <c r="A503" s="22" t="s">
        <v>321</v>
      </c>
    </row>
    <row r="504" spans="1:18">
      <c r="A504" t="s">
        <v>185</v>
      </c>
      <c r="B504" t="s">
        <v>186</v>
      </c>
      <c r="C504" t="s">
        <v>192</v>
      </c>
      <c r="D504" t="s">
        <v>184</v>
      </c>
      <c r="E504" t="s">
        <v>193</v>
      </c>
      <c r="F504" t="s">
        <v>322</v>
      </c>
      <c r="G504" t="s">
        <v>257</v>
      </c>
      <c r="H504" t="s">
        <v>323</v>
      </c>
      <c r="I504" t="s">
        <v>324</v>
      </c>
      <c r="J504" t="s">
        <v>325</v>
      </c>
      <c r="K504" t="s">
        <v>326</v>
      </c>
      <c r="L504" t="s">
        <v>327</v>
      </c>
      <c r="M504" t="s">
        <v>328</v>
      </c>
      <c r="N504" t="s">
        <v>329</v>
      </c>
      <c r="O504" t="s">
        <v>330</v>
      </c>
      <c r="P504" t="s">
        <v>274</v>
      </c>
      <c r="Q504" t="s">
        <v>247</v>
      </c>
      <c r="R504" t="s">
        <v>331</v>
      </c>
    </row>
    <row r="505" spans="1:18">
      <c r="A505" t="s">
        <v>195</v>
      </c>
      <c r="B505" t="s">
        <v>286</v>
      </c>
      <c r="C505">
        <v>59</v>
      </c>
      <c r="D505" t="s">
        <v>194</v>
      </c>
      <c r="E505">
        <v>663</v>
      </c>
      <c r="I505" s="3">
        <v>9.3299999999999994E-2</v>
      </c>
      <c r="J505" s="3">
        <v>1.8100000000000002E-2</v>
      </c>
      <c r="K505" s="3">
        <v>0.2041</v>
      </c>
      <c r="L505" s="3">
        <v>0.35299999999999998</v>
      </c>
      <c r="M505" s="3">
        <v>4.9299999999999997E-2</v>
      </c>
      <c r="N505" s="3">
        <v>7.3999999999999996E-2</v>
      </c>
      <c r="O505" s="3">
        <v>0.58889999999999998</v>
      </c>
      <c r="P505" s="3">
        <v>2.8400000000000002E-2</v>
      </c>
      <c r="Q505" s="3">
        <v>1.8100000000000002E-2</v>
      </c>
      <c r="R505" s="3">
        <v>3.5000000000000001E-3</v>
      </c>
    </row>
    <row r="506" spans="1:18">
      <c r="A506" t="s">
        <v>195</v>
      </c>
      <c r="B506" t="s">
        <v>287</v>
      </c>
      <c r="C506">
        <v>140</v>
      </c>
      <c r="D506" t="s">
        <v>194</v>
      </c>
      <c r="E506">
        <v>663</v>
      </c>
      <c r="F506" s="3">
        <v>4.3799999999999999E-2</v>
      </c>
      <c r="G506" s="3">
        <v>2.8E-3</v>
      </c>
      <c r="I506" s="3">
        <v>5.74E-2</v>
      </c>
      <c r="J506" s="3">
        <v>2.0199999999999999E-2</v>
      </c>
      <c r="K506" s="3">
        <v>0.29820000000000002</v>
      </c>
      <c r="L506" s="3">
        <v>0.1429</v>
      </c>
      <c r="M506" s="3">
        <v>0.2495</v>
      </c>
      <c r="N506" s="3">
        <v>8.6499999999999994E-2</v>
      </c>
      <c r="O506" s="3">
        <v>0.39750000000000002</v>
      </c>
      <c r="P506" s="3">
        <v>4.3E-3</v>
      </c>
      <c r="R506" s="3">
        <v>2.3099999999999999E-2</v>
      </c>
    </row>
    <row r="507" spans="1:18">
      <c r="A507" t="s">
        <v>195</v>
      </c>
      <c r="B507" t="s">
        <v>288</v>
      </c>
      <c r="C507">
        <v>116</v>
      </c>
      <c r="D507" t="s">
        <v>194</v>
      </c>
      <c r="E507">
        <v>663</v>
      </c>
      <c r="F507" s="3">
        <v>0.13950000000000001</v>
      </c>
      <c r="G507" s="3">
        <v>7.9000000000000008E-3</v>
      </c>
      <c r="I507" s="3">
        <v>4.6300000000000001E-2</v>
      </c>
      <c r="J507" s="3">
        <v>4.6600000000000003E-2</v>
      </c>
      <c r="K507" s="3">
        <v>0.29809999999999998</v>
      </c>
      <c r="L507" s="3">
        <v>0.20150000000000001</v>
      </c>
      <c r="M507" s="3">
        <v>6.4100000000000004E-2</v>
      </c>
      <c r="N507" s="3">
        <v>6.9199999999999998E-2</v>
      </c>
      <c r="O507" s="3">
        <v>0.36199999999999999</v>
      </c>
      <c r="R507" s="3">
        <v>7.9299999999999995E-2</v>
      </c>
    </row>
    <row r="508" spans="1:18" s="23" customFormat="1">
      <c r="A508" s="23" t="s">
        <v>195</v>
      </c>
      <c r="B508" s="23" t="s">
        <v>289</v>
      </c>
      <c r="C508" s="23">
        <v>29</v>
      </c>
      <c r="D508" s="23" t="s">
        <v>194</v>
      </c>
      <c r="E508" s="23">
        <v>663</v>
      </c>
      <c r="F508" s="24">
        <v>0.33279999999999998</v>
      </c>
      <c r="I508" s="24">
        <v>3.3700000000000001E-2</v>
      </c>
      <c r="K508" s="24">
        <v>0.33960000000000001</v>
      </c>
      <c r="L508" s="24">
        <v>4.8599999999999997E-2</v>
      </c>
      <c r="M508" s="24">
        <v>3.8399999999999997E-2</v>
      </c>
      <c r="N508" s="24">
        <v>0.13639999999999999</v>
      </c>
      <c r="O508" s="24">
        <v>0.1358</v>
      </c>
      <c r="R508" s="24">
        <v>0.14929999999999999</v>
      </c>
    </row>
    <row r="509" spans="1:18">
      <c r="A509" t="s">
        <v>199</v>
      </c>
      <c r="B509" t="s">
        <v>286</v>
      </c>
      <c r="C509">
        <v>67</v>
      </c>
      <c r="D509" t="s">
        <v>194</v>
      </c>
      <c r="E509">
        <v>663</v>
      </c>
      <c r="F509" s="3">
        <v>9.35E-2</v>
      </c>
      <c r="I509" s="3">
        <v>8.0699999999999994E-2</v>
      </c>
      <c r="J509" s="3">
        <v>0.1009</v>
      </c>
      <c r="K509" s="3">
        <v>4.4900000000000002E-2</v>
      </c>
      <c r="L509" s="3">
        <v>0.52969999999999995</v>
      </c>
      <c r="M509" s="3">
        <v>8.9399999999999993E-2</v>
      </c>
      <c r="N509" s="3">
        <v>6.4399999999999999E-2</v>
      </c>
      <c r="O509" s="3">
        <v>0.4793</v>
      </c>
      <c r="P509" s="3">
        <v>3.8999999999999998E-3</v>
      </c>
      <c r="R509" s="3">
        <v>5.0299999999999997E-2</v>
      </c>
    </row>
    <row r="510" spans="1:18">
      <c r="A510" t="s">
        <v>199</v>
      </c>
      <c r="B510" t="s">
        <v>287</v>
      </c>
      <c r="C510">
        <v>137</v>
      </c>
      <c r="D510" t="s">
        <v>194</v>
      </c>
      <c r="E510">
        <v>663</v>
      </c>
      <c r="F510" s="3">
        <v>1.55E-2</v>
      </c>
      <c r="I510" s="3">
        <v>3.39E-2</v>
      </c>
      <c r="J510" s="3">
        <v>9.7299999999999998E-2</v>
      </c>
      <c r="K510" s="3">
        <v>0.28460000000000002</v>
      </c>
      <c r="L510" s="3">
        <v>0.219</v>
      </c>
      <c r="M510" s="3">
        <v>8.2199999999999995E-2</v>
      </c>
      <c r="N510" s="3">
        <v>3.4599999999999999E-2</v>
      </c>
      <c r="O510" s="3">
        <v>0.64510000000000001</v>
      </c>
      <c r="P510" s="3">
        <v>4.4000000000000003E-3</v>
      </c>
      <c r="R510" s="3">
        <v>6.3E-3</v>
      </c>
    </row>
    <row r="511" spans="1:18">
      <c r="A511" t="s">
        <v>199</v>
      </c>
      <c r="B511" t="s">
        <v>288</v>
      </c>
      <c r="C511">
        <v>99</v>
      </c>
      <c r="D511" t="s">
        <v>194</v>
      </c>
      <c r="E511">
        <v>663</v>
      </c>
      <c r="F511" s="3">
        <v>0.18459999999999999</v>
      </c>
      <c r="H511" s="3">
        <v>6.4199999999999993E-2</v>
      </c>
      <c r="I511" s="3">
        <v>6.6E-3</v>
      </c>
      <c r="J511" s="3">
        <v>3.8E-3</v>
      </c>
      <c r="K511" s="3">
        <v>0.4824</v>
      </c>
      <c r="L511" s="3">
        <v>9.4399999999999998E-2</v>
      </c>
      <c r="M511" s="3">
        <v>8.3000000000000004E-2</v>
      </c>
      <c r="N511" s="3">
        <v>2.7099999999999999E-2</v>
      </c>
      <c r="O511" s="3">
        <v>0.27860000000000001</v>
      </c>
      <c r="P511" s="3">
        <v>5.3E-3</v>
      </c>
      <c r="R511" s="3">
        <v>0.15</v>
      </c>
    </row>
    <row r="512" spans="1:18" s="23" customFormat="1">
      <c r="A512" s="23" t="s">
        <v>199</v>
      </c>
      <c r="B512" s="23" t="s">
        <v>289</v>
      </c>
      <c r="C512" s="23">
        <v>16</v>
      </c>
      <c r="D512" s="23" t="s">
        <v>194</v>
      </c>
      <c r="E512" s="23">
        <v>663</v>
      </c>
      <c r="F512" s="24">
        <v>0.20549999999999999</v>
      </c>
      <c r="H512" s="24">
        <v>0.31630000000000003</v>
      </c>
      <c r="K512" s="24">
        <v>0.28399999999999997</v>
      </c>
      <c r="L512" s="24">
        <v>0.6482</v>
      </c>
      <c r="M512" s="24">
        <v>0.31630000000000003</v>
      </c>
      <c r="O512" s="24">
        <v>0.1108</v>
      </c>
      <c r="P512" s="24">
        <v>1.7899999999999999E-2</v>
      </c>
      <c r="R512" s="24">
        <v>0.1138</v>
      </c>
    </row>
    <row r="513" spans="1:19">
      <c r="A513" t="s">
        <v>200</v>
      </c>
      <c r="B513" t="s">
        <v>200</v>
      </c>
      <c r="C513">
        <v>663</v>
      </c>
      <c r="D513" t="s">
        <v>200</v>
      </c>
      <c r="E513">
        <v>663</v>
      </c>
      <c r="F513" s="3">
        <v>8.7999999999999995E-2</v>
      </c>
      <c r="G513" s="3">
        <v>1.9E-3</v>
      </c>
      <c r="H513" s="3">
        <v>1.11E-2</v>
      </c>
      <c r="I513" s="3">
        <v>5.1900000000000002E-2</v>
      </c>
      <c r="J513" s="3">
        <v>4.65E-2</v>
      </c>
      <c r="K513" s="3">
        <v>0.26910000000000001</v>
      </c>
      <c r="L513" s="3">
        <v>0.24440000000000001</v>
      </c>
      <c r="M513" s="3">
        <v>0.1124</v>
      </c>
      <c r="N513" s="3">
        <v>6.5000000000000002E-2</v>
      </c>
      <c r="O513" s="3">
        <v>0.44319999999999998</v>
      </c>
      <c r="P513" s="3">
        <v>6.7999999999999996E-3</v>
      </c>
      <c r="Q513" s="3">
        <v>2.3999999999999998E-3</v>
      </c>
      <c r="R513" s="3">
        <v>5.1499999999999997E-2</v>
      </c>
    </row>
    <row r="515" spans="1:19" ht="60">
      <c r="A515" s="22" t="s">
        <v>332</v>
      </c>
    </row>
    <row r="516" spans="1:19">
      <c r="A516" t="s">
        <v>185</v>
      </c>
      <c r="B516" t="s">
        <v>291</v>
      </c>
      <c r="C516" t="s">
        <v>186</v>
      </c>
      <c r="D516" t="s">
        <v>192</v>
      </c>
      <c r="E516" t="s">
        <v>184</v>
      </c>
      <c r="F516" t="s">
        <v>193</v>
      </c>
      <c r="G516" t="s">
        <v>322</v>
      </c>
      <c r="H516" t="s">
        <v>257</v>
      </c>
      <c r="I516" t="s">
        <v>323</v>
      </c>
      <c r="J516" t="s">
        <v>324</v>
      </c>
      <c r="K516" t="s">
        <v>325</v>
      </c>
      <c r="L516" t="s">
        <v>326</v>
      </c>
      <c r="M516" t="s">
        <v>327</v>
      </c>
      <c r="N516" t="s">
        <v>328</v>
      </c>
      <c r="O516" t="s">
        <v>329</v>
      </c>
      <c r="P516" t="s">
        <v>330</v>
      </c>
      <c r="Q516" t="s">
        <v>274</v>
      </c>
      <c r="R516" t="s">
        <v>247</v>
      </c>
      <c r="S516" t="s">
        <v>331</v>
      </c>
    </row>
    <row r="517" spans="1:19" s="25" customFormat="1">
      <c r="A517" s="25" t="s">
        <v>195</v>
      </c>
      <c r="B517" s="25" t="s">
        <v>286</v>
      </c>
      <c r="C517" s="25" t="s">
        <v>292</v>
      </c>
      <c r="D517" s="25">
        <v>26</v>
      </c>
      <c r="E517" s="25" t="s">
        <v>194</v>
      </c>
      <c r="F517" s="25">
        <v>663</v>
      </c>
      <c r="J517" s="26">
        <v>5.3600000000000002E-2</v>
      </c>
      <c r="L517" s="26">
        <v>0.26429999999999998</v>
      </c>
      <c r="M517" s="26">
        <v>0.28549999999999998</v>
      </c>
      <c r="O517" s="26">
        <v>0.18260000000000001</v>
      </c>
      <c r="P517" s="26">
        <v>0.51870000000000005</v>
      </c>
      <c r="R517" s="26">
        <v>4.9500000000000002E-2</v>
      </c>
      <c r="S517" s="26">
        <v>9.4999999999999998E-3</v>
      </c>
    </row>
    <row r="518" spans="1:19" s="25" customFormat="1">
      <c r="A518" s="25" t="s">
        <v>199</v>
      </c>
      <c r="B518" s="25" t="s">
        <v>289</v>
      </c>
      <c r="C518" s="25" t="s">
        <v>292</v>
      </c>
      <c r="D518" s="25">
        <v>10</v>
      </c>
      <c r="E518" s="25" t="s">
        <v>194</v>
      </c>
      <c r="F518" s="25">
        <v>663</v>
      </c>
      <c r="G518" s="26">
        <v>0.2306</v>
      </c>
      <c r="L518" s="26">
        <v>0.83899999999999997</v>
      </c>
      <c r="M518" s="26">
        <v>0.40670000000000001</v>
      </c>
      <c r="P518" s="26">
        <v>1.2200000000000001E-2</v>
      </c>
      <c r="Q518" s="26">
        <v>6.1899999999999997E-2</v>
      </c>
      <c r="S518" s="26">
        <v>2.2700000000000001E-2</v>
      </c>
    </row>
    <row r="519" spans="1:19">
      <c r="A519" t="s">
        <v>199</v>
      </c>
      <c r="B519" t="s">
        <v>288</v>
      </c>
      <c r="C519" t="s">
        <v>293</v>
      </c>
      <c r="D519">
        <v>54</v>
      </c>
      <c r="E519" t="s">
        <v>194</v>
      </c>
      <c r="F519">
        <v>663</v>
      </c>
      <c r="G519" s="3">
        <v>0.26479999999999998</v>
      </c>
      <c r="I519" s="3">
        <v>9.3600000000000003E-2</v>
      </c>
      <c r="J519" s="3">
        <v>5.7000000000000002E-3</v>
      </c>
      <c r="L519" s="3">
        <v>0.41410000000000002</v>
      </c>
      <c r="M519" s="3">
        <v>0.11409999999999999</v>
      </c>
      <c r="N519" s="3">
        <v>4.5600000000000002E-2</v>
      </c>
      <c r="O519" s="3">
        <v>3.49E-2</v>
      </c>
      <c r="P519" s="3">
        <v>0.26500000000000001</v>
      </c>
      <c r="Q519" s="3">
        <v>7.7999999999999996E-3</v>
      </c>
      <c r="S519" s="3">
        <v>0.1153</v>
      </c>
    </row>
    <row r="520" spans="1:19">
      <c r="A520" t="s">
        <v>199</v>
      </c>
      <c r="B520" t="s">
        <v>288</v>
      </c>
      <c r="C520" t="s">
        <v>292</v>
      </c>
      <c r="D520">
        <v>45</v>
      </c>
      <c r="E520" t="s">
        <v>194</v>
      </c>
      <c r="F520">
        <v>663</v>
      </c>
      <c r="G520" s="3">
        <v>9.9000000000000008E-3</v>
      </c>
      <c r="J520" s="3">
        <v>8.6999999999999994E-3</v>
      </c>
      <c r="K520" s="3">
        <v>1.2E-2</v>
      </c>
      <c r="L520" s="3">
        <v>0.63109999999999999</v>
      </c>
      <c r="M520" s="3">
        <v>5.16E-2</v>
      </c>
      <c r="N520" s="3">
        <v>0.16439999999999999</v>
      </c>
      <c r="O520" s="3">
        <v>1.03E-2</v>
      </c>
      <c r="P520" s="3">
        <v>0.30819999999999997</v>
      </c>
      <c r="S520" s="3">
        <v>0.22559999999999999</v>
      </c>
    </row>
    <row r="521" spans="1:19">
      <c r="A521" t="s">
        <v>199</v>
      </c>
      <c r="B521" t="s">
        <v>287</v>
      </c>
      <c r="C521" t="s">
        <v>293</v>
      </c>
      <c r="D521">
        <v>94</v>
      </c>
      <c r="E521" t="s">
        <v>194</v>
      </c>
      <c r="F521">
        <v>663</v>
      </c>
      <c r="G521" s="3">
        <v>2.23E-2</v>
      </c>
      <c r="J521" s="3">
        <v>4.2999999999999997E-2</v>
      </c>
      <c r="L521" s="3">
        <v>0.26719999999999999</v>
      </c>
      <c r="M521" s="3">
        <v>0.2427</v>
      </c>
      <c r="N521" s="3">
        <v>0.1172</v>
      </c>
      <c r="O521" s="3">
        <v>4.1099999999999998E-2</v>
      </c>
      <c r="P521" s="3">
        <v>0.69720000000000004</v>
      </c>
      <c r="Q521" s="3">
        <v>6.3E-3</v>
      </c>
      <c r="S521" s="3">
        <v>1.5E-3</v>
      </c>
    </row>
    <row r="522" spans="1:19">
      <c r="A522" t="s">
        <v>199</v>
      </c>
      <c r="B522" t="s">
        <v>287</v>
      </c>
      <c r="C522" t="s">
        <v>292</v>
      </c>
      <c r="D522">
        <v>43</v>
      </c>
      <c r="E522" t="s">
        <v>194</v>
      </c>
      <c r="F522">
        <v>663</v>
      </c>
      <c r="J522" s="3">
        <v>1.2800000000000001E-2</v>
      </c>
      <c r="K522" s="3">
        <v>0.32169999999999999</v>
      </c>
      <c r="L522" s="3">
        <v>0.3246</v>
      </c>
      <c r="M522" s="3">
        <v>0.1643</v>
      </c>
      <c r="N522" s="3">
        <v>1.4E-3</v>
      </c>
      <c r="O522" s="3">
        <v>1.9699999999999999E-2</v>
      </c>
      <c r="P522" s="3">
        <v>0.52490000000000003</v>
      </c>
      <c r="S522" s="3">
        <v>1.7299999999999999E-2</v>
      </c>
    </row>
    <row r="523" spans="1:19">
      <c r="A523" t="s">
        <v>199</v>
      </c>
      <c r="B523" t="s">
        <v>286</v>
      </c>
      <c r="C523" t="s">
        <v>293</v>
      </c>
      <c r="D523">
        <v>45</v>
      </c>
      <c r="E523" t="s">
        <v>194</v>
      </c>
      <c r="F523">
        <v>663</v>
      </c>
      <c r="G523" s="3">
        <v>0.10589999999999999</v>
      </c>
      <c r="J523" s="3">
        <v>0.11169999999999999</v>
      </c>
      <c r="L523" s="3">
        <v>2.5399999999999999E-2</v>
      </c>
      <c r="M523" s="3">
        <v>0.42820000000000003</v>
      </c>
      <c r="N523" s="3">
        <v>0.1348</v>
      </c>
      <c r="O523" s="3">
        <v>3.5900000000000001E-2</v>
      </c>
      <c r="P523" s="3">
        <v>0.54190000000000005</v>
      </c>
      <c r="S523" s="3">
        <v>5.2299999999999999E-2</v>
      </c>
    </row>
    <row r="524" spans="1:19" s="25" customFormat="1">
      <c r="A524" s="25" t="s">
        <v>199</v>
      </c>
      <c r="B524" s="25" t="s">
        <v>286</v>
      </c>
      <c r="C524" s="25" t="s">
        <v>292</v>
      </c>
      <c r="D524" s="25">
        <v>22</v>
      </c>
      <c r="E524" s="25" t="s">
        <v>194</v>
      </c>
      <c r="F524" s="25">
        <v>663</v>
      </c>
      <c r="G524" s="26">
        <v>6.8900000000000003E-2</v>
      </c>
      <c r="J524" s="26">
        <v>1.9599999999999999E-2</v>
      </c>
      <c r="K524" s="26">
        <v>0.3</v>
      </c>
      <c r="L524" s="26">
        <v>8.3199999999999996E-2</v>
      </c>
      <c r="M524" s="26">
        <v>0.73</v>
      </c>
      <c r="O524" s="26">
        <v>0.1207</v>
      </c>
      <c r="P524" s="26">
        <v>0.35580000000000001</v>
      </c>
      <c r="Q524" s="26">
        <v>1.1599999999999999E-2</v>
      </c>
      <c r="S524" s="26">
        <v>4.65E-2</v>
      </c>
    </row>
    <row r="525" spans="1:19" s="25" customFormat="1">
      <c r="A525" s="25" t="s">
        <v>195</v>
      </c>
      <c r="B525" s="25" t="s">
        <v>289</v>
      </c>
      <c r="C525" s="25" t="s">
        <v>293</v>
      </c>
      <c r="D525" s="25">
        <v>18</v>
      </c>
      <c r="E525" s="25" t="s">
        <v>194</v>
      </c>
      <c r="F525" s="25">
        <v>663</v>
      </c>
      <c r="G525" s="26">
        <v>0.31530000000000002</v>
      </c>
      <c r="J525" s="26">
        <v>5.9400000000000001E-2</v>
      </c>
      <c r="L525" s="26">
        <v>0.32669999999999999</v>
      </c>
      <c r="M525" s="26">
        <v>8.5599999999999996E-2</v>
      </c>
      <c r="N525" s="26">
        <v>1.41E-2</v>
      </c>
      <c r="O525" s="26">
        <v>0.1426</v>
      </c>
      <c r="P525" s="26">
        <v>0.18559999999999999</v>
      </c>
      <c r="S525" s="26">
        <v>7.3599999999999999E-2</v>
      </c>
    </row>
    <row r="526" spans="1:19" s="25" customFormat="1">
      <c r="A526" s="25" t="s">
        <v>195</v>
      </c>
      <c r="B526" s="25" t="s">
        <v>289</v>
      </c>
      <c r="C526" s="25" t="s">
        <v>292</v>
      </c>
      <c r="D526" s="25">
        <v>11</v>
      </c>
      <c r="E526" s="25" t="s">
        <v>194</v>
      </c>
      <c r="F526" s="25">
        <v>663</v>
      </c>
      <c r="G526" s="26">
        <v>0.35570000000000002</v>
      </c>
      <c r="L526" s="26">
        <v>0.35659999999999997</v>
      </c>
      <c r="N526" s="26">
        <v>7.0400000000000004E-2</v>
      </c>
      <c r="O526" s="26">
        <v>0.12809999999999999</v>
      </c>
      <c r="P526" s="26">
        <v>7.0400000000000004E-2</v>
      </c>
      <c r="S526" s="26">
        <v>0.24879999999999999</v>
      </c>
    </row>
    <row r="527" spans="1:19">
      <c r="A527" t="s">
        <v>195</v>
      </c>
      <c r="B527" t="s">
        <v>288</v>
      </c>
      <c r="C527" t="s">
        <v>293</v>
      </c>
      <c r="D527">
        <v>76</v>
      </c>
      <c r="E527" t="s">
        <v>194</v>
      </c>
      <c r="F527">
        <v>663</v>
      </c>
      <c r="G527" s="3">
        <v>0.13819999999999999</v>
      </c>
      <c r="H527" s="3">
        <v>1.34E-2</v>
      </c>
      <c r="J527" s="3">
        <v>7.2599999999999998E-2</v>
      </c>
      <c r="K527" s="3">
        <v>1.4E-3</v>
      </c>
      <c r="L527" s="3">
        <v>0.28520000000000001</v>
      </c>
      <c r="M527" s="3">
        <v>0.29449999999999998</v>
      </c>
      <c r="N527" s="3">
        <v>7.3099999999999998E-2</v>
      </c>
      <c r="O527" s="3">
        <v>7.4200000000000002E-2</v>
      </c>
      <c r="P527" s="3">
        <v>0.3357</v>
      </c>
      <c r="S527" s="3">
        <v>8.9899999999999994E-2</v>
      </c>
    </row>
    <row r="528" spans="1:19" s="25" customFormat="1">
      <c r="A528" s="25" t="s">
        <v>195</v>
      </c>
      <c r="B528" s="25" t="s">
        <v>288</v>
      </c>
      <c r="C528" s="25" t="s">
        <v>247</v>
      </c>
      <c r="D528" s="25">
        <v>1</v>
      </c>
      <c r="E528" s="25" t="s">
        <v>194</v>
      </c>
      <c r="F528" s="25">
        <v>663</v>
      </c>
      <c r="L528" s="26">
        <v>1</v>
      </c>
    </row>
    <row r="529" spans="1:19">
      <c r="A529" t="s">
        <v>195</v>
      </c>
      <c r="B529" t="s">
        <v>288</v>
      </c>
      <c r="C529" t="s">
        <v>292</v>
      </c>
      <c r="D529">
        <v>39</v>
      </c>
      <c r="E529" t="s">
        <v>194</v>
      </c>
      <c r="F529">
        <v>663</v>
      </c>
      <c r="G529" s="3">
        <v>0.1416</v>
      </c>
      <c r="J529" s="3">
        <v>7.9000000000000008E-3</v>
      </c>
      <c r="K529" s="3">
        <v>0.1124</v>
      </c>
      <c r="L529" s="3">
        <v>0.31619999999999998</v>
      </c>
      <c r="M529" s="3">
        <v>6.6600000000000006E-2</v>
      </c>
      <c r="N529" s="3">
        <v>5.11E-2</v>
      </c>
      <c r="O529" s="3">
        <v>6.1899999999999997E-2</v>
      </c>
      <c r="P529" s="3">
        <v>0.40060000000000001</v>
      </c>
      <c r="S529" s="3">
        <v>6.4000000000000001E-2</v>
      </c>
    </row>
    <row r="530" spans="1:19">
      <c r="A530" t="s">
        <v>195</v>
      </c>
      <c r="B530" t="s">
        <v>287</v>
      </c>
      <c r="C530" t="s">
        <v>293</v>
      </c>
      <c r="D530">
        <v>102</v>
      </c>
      <c r="E530" t="s">
        <v>194</v>
      </c>
      <c r="F530">
        <v>663</v>
      </c>
      <c r="G530" s="3">
        <v>5.0099999999999999E-2</v>
      </c>
      <c r="J530" s="3">
        <v>7.3599999999999999E-2</v>
      </c>
      <c r="K530" s="3">
        <v>4.1000000000000003E-3</v>
      </c>
      <c r="L530" s="3">
        <v>0.30199999999999999</v>
      </c>
      <c r="M530" s="3">
        <v>0.10780000000000001</v>
      </c>
      <c r="N530" s="3">
        <v>0.31319999999999998</v>
      </c>
      <c r="O530" s="3">
        <v>6.4299999999999996E-2</v>
      </c>
      <c r="P530" s="3">
        <v>0.42949999999999999</v>
      </c>
      <c r="Q530" s="3">
        <v>5.4999999999999997E-3</v>
      </c>
      <c r="S530" s="3">
        <v>7.1000000000000004E-3</v>
      </c>
    </row>
    <row r="531" spans="1:19">
      <c r="A531" t="s">
        <v>195</v>
      </c>
      <c r="B531" t="s">
        <v>287</v>
      </c>
      <c r="C531" t="s">
        <v>292</v>
      </c>
      <c r="D531">
        <v>38</v>
      </c>
      <c r="E531" t="s">
        <v>194</v>
      </c>
      <c r="F531">
        <v>663</v>
      </c>
      <c r="G531" s="3">
        <v>2.1399999999999999E-2</v>
      </c>
      <c r="H531" s="3">
        <v>1.2800000000000001E-2</v>
      </c>
      <c r="K531" s="3">
        <v>7.6999999999999999E-2</v>
      </c>
      <c r="L531" s="3">
        <v>0.28489999999999999</v>
      </c>
      <c r="M531" s="3">
        <v>0.2666</v>
      </c>
      <c r="N531" s="3">
        <v>2.4799999999999999E-2</v>
      </c>
      <c r="O531" s="3">
        <v>0.16489999999999999</v>
      </c>
      <c r="P531" s="3">
        <v>0.28460000000000002</v>
      </c>
      <c r="S531" s="3">
        <v>7.9600000000000004E-2</v>
      </c>
    </row>
    <row r="532" spans="1:19">
      <c r="A532" t="s">
        <v>195</v>
      </c>
      <c r="B532" t="s">
        <v>286</v>
      </c>
      <c r="C532" t="s">
        <v>293</v>
      </c>
      <c r="D532">
        <v>33</v>
      </c>
      <c r="E532" t="s">
        <v>194</v>
      </c>
      <c r="F532">
        <v>663</v>
      </c>
      <c r="J532" s="3">
        <v>0.11609999999999999</v>
      </c>
      <c r="K532" s="3">
        <v>2.8500000000000001E-2</v>
      </c>
      <c r="L532" s="3">
        <v>0.16950000000000001</v>
      </c>
      <c r="M532" s="3">
        <v>0.39179999999999998</v>
      </c>
      <c r="N532" s="3">
        <v>7.7600000000000002E-2</v>
      </c>
      <c r="O532" s="3">
        <v>1.15E-2</v>
      </c>
      <c r="P532" s="3">
        <v>0.62939999999999996</v>
      </c>
      <c r="Q532" s="3">
        <v>4.4699999999999997E-2</v>
      </c>
    </row>
    <row r="533" spans="1:19" s="25" customFormat="1">
      <c r="A533" s="25" t="s">
        <v>199</v>
      </c>
      <c r="B533" s="25" t="s">
        <v>289</v>
      </c>
      <c r="C533" s="25" t="s">
        <v>293</v>
      </c>
      <c r="D533" s="25">
        <v>6</v>
      </c>
      <c r="E533" s="25" t="s">
        <v>194</v>
      </c>
      <c r="F533" s="25">
        <v>663</v>
      </c>
      <c r="G533" s="26">
        <v>0.1953</v>
      </c>
      <c r="I533" s="26">
        <v>0.44479999999999997</v>
      </c>
      <c r="L533" s="26">
        <v>5.8400000000000001E-2</v>
      </c>
      <c r="M533" s="26">
        <v>0.74629999999999996</v>
      </c>
      <c r="N533" s="26">
        <v>0.44479999999999997</v>
      </c>
      <c r="P533" s="26">
        <v>0.15079999999999999</v>
      </c>
      <c r="S533" s="26">
        <v>0.15079999999999999</v>
      </c>
    </row>
    <row r="534" spans="1:19">
      <c r="A534" t="s">
        <v>200</v>
      </c>
      <c r="B534" t="s">
        <v>200</v>
      </c>
      <c r="C534" t="s">
        <v>200</v>
      </c>
      <c r="D534">
        <v>663</v>
      </c>
      <c r="E534" t="s">
        <v>200</v>
      </c>
      <c r="F534">
        <v>663</v>
      </c>
      <c r="G534" s="3">
        <v>8.7999999999999995E-2</v>
      </c>
      <c r="H534" s="3">
        <v>1.9E-3</v>
      </c>
      <c r="I534" s="3">
        <v>1.11E-2</v>
      </c>
      <c r="J534" s="3">
        <v>5.1900000000000002E-2</v>
      </c>
      <c r="K534" s="3">
        <v>4.65E-2</v>
      </c>
      <c r="L534" s="3">
        <v>0.26910000000000001</v>
      </c>
      <c r="M534" s="3">
        <v>0.24440000000000001</v>
      </c>
      <c r="N534" s="3">
        <v>0.1124</v>
      </c>
      <c r="O534" s="3">
        <v>6.5000000000000002E-2</v>
      </c>
      <c r="P534" s="3">
        <v>0.44319999999999998</v>
      </c>
      <c r="Q534" s="3">
        <v>6.7999999999999996E-3</v>
      </c>
      <c r="R534" s="3">
        <v>2.3999999999999998E-3</v>
      </c>
      <c r="S534" s="3">
        <v>5.1499999999999997E-2</v>
      </c>
    </row>
    <row r="536" spans="1:19" ht="45">
      <c r="A536" s="22" t="s">
        <v>333</v>
      </c>
    </row>
    <row r="537" spans="1:19">
      <c r="A537" t="s">
        <v>185</v>
      </c>
      <c r="B537" t="s">
        <v>186</v>
      </c>
      <c r="C537" t="s">
        <v>192</v>
      </c>
      <c r="D537" t="s">
        <v>184</v>
      </c>
      <c r="E537" t="s">
        <v>193</v>
      </c>
      <c r="F537" t="s">
        <v>322</v>
      </c>
      <c r="G537" t="s">
        <v>257</v>
      </c>
      <c r="H537" t="s">
        <v>323</v>
      </c>
      <c r="I537" t="s">
        <v>324</v>
      </c>
      <c r="J537" t="s">
        <v>325</v>
      </c>
      <c r="K537" t="s">
        <v>326</v>
      </c>
      <c r="L537" t="s">
        <v>327</v>
      </c>
      <c r="M537" t="s">
        <v>328</v>
      </c>
      <c r="N537" t="s">
        <v>329</v>
      </c>
      <c r="O537" t="s">
        <v>330</v>
      </c>
      <c r="P537" t="s">
        <v>274</v>
      </c>
      <c r="Q537" t="s">
        <v>247</v>
      </c>
      <c r="R537" t="s">
        <v>331</v>
      </c>
    </row>
    <row r="538" spans="1:19">
      <c r="A538" t="s">
        <v>195</v>
      </c>
      <c r="B538" t="s">
        <v>196</v>
      </c>
      <c r="C538">
        <v>131</v>
      </c>
      <c r="D538" t="s">
        <v>194</v>
      </c>
      <c r="E538">
        <v>663</v>
      </c>
      <c r="F538" s="3">
        <v>9.4899999999999998E-2</v>
      </c>
      <c r="I538" s="3">
        <v>0.15509999999999999</v>
      </c>
      <c r="J538" s="3">
        <v>1.1599999999999999E-2</v>
      </c>
      <c r="K538" s="3">
        <v>0.50960000000000005</v>
      </c>
      <c r="L538" s="3">
        <v>0.1623</v>
      </c>
      <c r="M538" s="3">
        <v>4.3700000000000003E-2</v>
      </c>
      <c r="N538" s="3">
        <v>5.3400000000000003E-2</v>
      </c>
      <c r="O538" s="3">
        <v>0.1978</v>
      </c>
      <c r="P538" s="3">
        <v>2.46E-2</v>
      </c>
      <c r="R538" s="3">
        <v>3.5999999999999997E-2</v>
      </c>
    </row>
    <row r="539" spans="1:19">
      <c r="A539" t="s">
        <v>195</v>
      </c>
      <c r="B539" t="s">
        <v>198</v>
      </c>
      <c r="C539">
        <v>208</v>
      </c>
      <c r="D539" t="s">
        <v>194</v>
      </c>
      <c r="E539">
        <v>663</v>
      </c>
      <c r="F539" s="3">
        <v>8.8300000000000003E-2</v>
      </c>
      <c r="G539" s="3">
        <v>4.8999999999999998E-3</v>
      </c>
      <c r="I539" s="3">
        <v>1.54E-2</v>
      </c>
      <c r="J539" s="3">
        <v>3.1699999999999999E-2</v>
      </c>
      <c r="K539" s="3">
        <v>0.17100000000000001</v>
      </c>
      <c r="L539" s="3">
        <v>0.2165</v>
      </c>
      <c r="M539" s="3">
        <v>0.16839999999999999</v>
      </c>
      <c r="N539" s="3">
        <v>9.8500000000000004E-2</v>
      </c>
      <c r="O539" s="3">
        <v>0.50660000000000005</v>
      </c>
      <c r="P539" s="3">
        <v>5.9999999999999995E-4</v>
      </c>
      <c r="Q539" s="3">
        <v>6.3E-3</v>
      </c>
      <c r="R539" s="3">
        <v>5.1799999999999999E-2</v>
      </c>
    </row>
    <row r="540" spans="1:19">
      <c r="A540" t="s">
        <v>199</v>
      </c>
      <c r="B540" t="s">
        <v>196</v>
      </c>
      <c r="C540">
        <v>136</v>
      </c>
      <c r="D540" t="s">
        <v>194</v>
      </c>
      <c r="E540">
        <v>663</v>
      </c>
      <c r="F540" s="3">
        <v>4.0599999999999997E-2</v>
      </c>
      <c r="H540" s="3">
        <v>1.1999999999999999E-3</v>
      </c>
      <c r="I540" s="3">
        <v>9.8699999999999996E-2</v>
      </c>
      <c r="J540" s="3">
        <v>3.3000000000000002E-2</v>
      </c>
      <c r="K540" s="3">
        <v>0.59519999999999995</v>
      </c>
      <c r="L540" s="3">
        <v>0.1779</v>
      </c>
      <c r="M540" s="3">
        <v>0.11700000000000001</v>
      </c>
      <c r="N540" s="3">
        <v>1.37E-2</v>
      </c>
      <c r="O540" s="3">
        <v>0.15409999999999999</v>
      </c>
      <c r="P540" s="3">
        <v>7.1000000000000004E-3</v>
      </c>
      <c r="R540" s="3">
        <v>6.2300000000000001E-2</v>
      </c>
    </row>
    <row r="541" spans="1:19">
      <c r="A541" t="s">
        <v>199</v>
      </c>
      <c r="B541" t="s">
        <v>198</v>
      </c>
      <c r="C541">
        <v>182</v>
      </c>
      <c r="D541" t="s">
        <v>194</v>
      </c>
      <c r="E541">
        <v>663</v>
      </c>
      <c r="F541" s="3">
        <v>9.4100000000000003E-2</v>
      </c>
      <c r="H541" s="3">
        <v>3.0499999999999999E-2</v>
      </c>
      <c r="I541" s="3">
        <v>2.8799999999999999E-2</v>
      </c>
      <c r="J541" s="3">
        <v>8.2500000000000004E-2</v>
      </c>
      <c r="K541" s="3">
        <v>0.18179999999999999</v>
      </c>
      <c r="L541" s="3">
        <v>0.32890000000000003</v>
      </c>
      <c r="M541" s="3">
        <v>8.72E-2</v>
      </c>
      <c r="N541" s="3">
        <v>4.7E-2</v>
      </c>
      <c r="O541" s="3">
        <v>0.56399999999999995</v>
      </c>
      <c r="P541" s="3">
        <v>4.4000000000000003E-3</v>
      </c>
      <c r="R541" s="3">
        <v>5.5500000000000001E-2</v>
      </c>
    </row>
    <row r="542" spans="1:19">
      <c r="A542" t="s">
        <v>200</v>
      </c>
      <c r="B542" t="s">
        <v>200</v>
      </c>
      <c r="C542">
        <v>663</v>
      </c>
      <c r="D542" t="s">
        <v>200</v>
      </c>
      <c r="E542">
        <v>663</v>
      </c>
      <c r="F542" s="3">
        <v>8.7999999999999995E-2</v>
      </c>
      <c r="G542" s="3">
        <v>1.9E-3</v>
      </c>
      <c r="H542" s="3">
        <v>1.11E-2</v>
      </c>
      <c r="I542" s="3">
        <v>5.1900000000000002E-2</v>
      </c>
      <c r="J542" s="3">
        <v>4.65E-2</v>
      </c>
      <c r="K542" s="3">
        <v>0.26910000000000001</v>
      </c>
      <c r="L542" s="3">
        <v>0.24440000000000001</v>
      </c>
      <c r="M542" s="3">
        <v>0.1124</v>
      </c>
      <c r="N542" s="3">
        <v>6.5000000000000002E-2</v>
      </c>
      <c r="O542" s="3">
        <v>0.44319999999999998</v>
      </c>
      <c r="P542" s="3">
        <v>6.7999999999999996E-3</v>
      </c>
      <c r="Q542" s="3">
        <v>2.3999999999999998E-3</v>
      </c>
      <c r="R542" s="3">
        <v>5.1499999999999997E-2</v>
      </c>
    </row>
    <row r="544" spans="1:19" ht="60">
      <c r="A544" s="22" t="s">
        <v>334</v>
      </c>
    </row>
    <row r="545" spans="1:18">
      <c r="A545" t="s">
        <v>185</v>
      </c>
      <c r="B545" t="s">
        <v>186</v>
      </c>
      <c r="C545" t="s">
        <v>192</v>
      </c>
      <c r="D545" t="s">
        <v>184</v>
      </c>
      <c r="E545" t="s">
        <v>193</v>
      </c>
      <c r="F545" t="s">
        <v>322</v>
      </c>
      <c r="G545" t="s">
        <v>257</v>
      </c>
      <c r="H545" t="s">
        <v>323</v>
      </c>
      <c r="I545" t="s">
        <v>324</v>
      </c>
      <c r="J545" t="s">
        <v>325</v>
      </c>
      <c r="K545" t="s">
        <v>326</v>
      </c>
      <c r="L545" t="s">
        <v>327</v>
      </c>
      <c r="M545" t="s">
        <v>328</v>
      </c>
      <c r="N545" t="s">
        <v>329</v>
      </c>
      <c r="O545" t="s">
        <v>330</v>
      </c>
      <c r="P545" t="s">
        <v>274</v>
      </c>
      <c r="Q545" t="s">
        <v>247</v>
      </c>
      <c r="R545" t="s">
        <v>331</v>
      </c>
    </row>
    <row r="546" spans="1:18">
      <c r="A546" t="s">
        <v>195</v>
      </c>
      <c r="B546" t="s">
        <v>202</v>
      </c>
      <c r="C546">
        <v>131</v>
      </c>
      <c r="D546" t="s">
        <v>194</v>
      </c>
      <c r="E546">
        <v>663</v>
      </c>
      <c r="F546" s="3">
        <v>0.1115</v>
      </c>
      <c r="I546" s="3">
        <v>7.6499999999999999E-2</v>
      </c>
      <c r="J546" s="3">
        <v>1.8100000000000002E-2</v>
      </c>
      <c r="K546" s="3">
        <v>0.25230000000000002</v>
      </c>
      <c r="L546" s="3">
        <v>0.15490000000000001</v>
      </c>
      <c r="M546" s="3">
        <v>0.12230000000000001</v>
      </c>
      <c r="N546" s="3">
        <v>8.7599999999999997E-2</v>
      </c>
      <c r="O546" s="3">
        <v>0.35589999999999999</v>
      </c>
      <c r="P546" s="3">
        <v>1.11E-2</v>
      </c>
      <c r="Q546" s="3">
        <v>7.1000000000000004E-3</v>
      </c>
      <c r="R546" s="3">
        <v>5.5399999999999998E-2</v>
      </c>
    </row>
    <row r="547" spans="1:18">
      <c r="A547" t="s">
        <v>195</v>
      </c>
      <c r="B547" t="s">
        <v>204</v>
      </c>
      <c r="C547">
        <v>102</v>
      </c>
      <c r="D547" t="s">
        <v>194</v>
      </c>
      <c r="E547">
        <v>663</v>
      </c>
      <c r="F547" s="3">
        <v>6.7100000000000007E-2</v>
      </c>
      <c r="I547" s="3">
        <v>4.4999999999999998E-2</v>
      </c>
      <c r="J547" s="3">
        <v>5.4399999999999997E-2</v>
      </c>
      <c r="K547" s="3">
        <v>0.29930000000000001</v>
      </c>
      <c r="L547" s="3">
        <v>0.21579999999999999</v>
      </c>
      <c r="M547" s="3">
        <v>0.12189999999999999</v>
      </c>
      <c r="N547" s="3">
        <v>0.1187</v>
      </c>
      <c r="O547" s="3">
        <v>0.36649999999999999</v>
      </c>
      <c r="P547" s="3">
        <v>3.7000000000000002E-3</v>
      </c>
      <c r="R547" s="3">
        <v>3.0499999999999999E-2</v>
      </c>
    </row>
    <row r="548" spans="1:18">
      <c r="A548" t="s">
        <v>195</v>
      </c>
      <c r="B548" t="s">
        <v>205</v>
      </c>
      <c r="C548">
        <v>106</v>
      </c>
      <c r="D548" t="s">
        <v>194</v>
      </c>
      <c r="E548">
        <v>663</v>
      </c>
      <c r="F548" s="3">
        <v>4.7199999999999999E-2</v>
      </c>
      <c r="G548" s="3">
        <v>1.9099999999999999E-2</v>
      </c>
      <c r="I548" s="3">
        <v>2.4199999999999999E-2</v>
      </c>
      <c r="J548" s="3">
        <v>1.3299999999999999E-2</v>
      </c>
      <c r="K548" s="3">
        <v>0.3523</v>
      </c>
      <c r="L548" s="3">
        <v>0.33079999999999998</v>
      </c>
      <c r="M548" s="3">
        <v>0.15640000000000001</v>
      </c>
      <c r="N548" s="3">
        <v>2.75E-2</v>
      </c>
      <c r="O548" s="3">
        <v>0.6361</v>
      </c>
      <c r="P548" s="3">
        <v>4.5999999999999999E-3</v>
      </c>
      <c r="R548" s="3">
        <v>3.6799999999999999E-2</v>
      </c>
    </row>
    <row r="549" spans="1:18">
      <c r="A549" t="s">
        <v>199</v>
      </c>
      <c r="B549" t="s">
        <v>202</v>
      </c>
      <c r="C549">
        <v>91</v>
      </c>
      <c r="D549" t="s">
        <v>194</v>
      </c>
      <c r="E549">
        <v>663</v>
      </c>
      <c r="F549" s="3">
        <v>5.96E-2</v>
      </c>
      <c r="H549" s="3">
        <v>1.84E-2</v>
      </c>
      <c r="I549" s="3">
        <v>3.6200000000000003E-2</v>
      </c>
      <c r="J549" s="3">
        <v>0.113</v>
      </c>
      <c r="K549" s="3">
        <v>0.26889999999999997</v>
      </c>
      <c r="L549" s="3">
        <v>0.33100000000000002</v>
      </c>
      <c r="M549" s="3">
        <v>0.1022</v>
      </c>
      <c r="N549" s="3">
        <v>3.4099999999999998E-2</v>
      </c>
      <c r="O549" s="3">
        <v>0.4325</v>
      </c>
      <c r="R549" s="3">
        <v>6.0999999999999999E-2</v>
      </c>
    </row>
    <row r="550" spans="1:18">
      <c r="A550" t="s">
        <v>199</v>
      </c>
      <c r="B550" t="s">
        <v>204</v>
      </c>
      <c r="C550">
        <v>89</v>
      </c>
      <c r="D550" t="s">
        <v>194</v>
      </c>
      <c r="E550">
        <v>663</v>
      </c>
      <c r="F550" s="3">
        <v>0.17799999999999999</v>
      </c>
      <c r="H550" s="3">
        <v>2.4199999999999999E-2</v>
      </c>
      <c r="I550" s="3">
        <v>1.7899999999999999E-2</v>
      </c>
      <c r="J550" s="3">
        <v>3.1699999999999999E-2</v>
      </c>
      <c r="K550" s="3">
        <v>0.26329999999999998</v>
      </c>
      <c r="L550" s="3">
        <v>0.3468</v>
      </c>
      <c r="M550" s="3">
        <v>9.0700000000000003E-2</v>
      </c>
      <c r="N550" s="3">
        <v>4.2900000000000001E-2</v>
      </c>
      <c r="O550" s="3">
        <v>0.52759999999999996</v>
      </c>
      <c r="P550" s="3">
        <v>1.2800000000000001E-2</v>
      </c>
      <c r="R550" s="3">
        <v>4.1700000000000001E-2</v>
      </c>
    </row>
    <row r="551" spans="1:18">
      <c r="A551" t="s">
        <v>199</v>
      </c>
      <c r="B551" t="s">
        <v>205</v>
      </c>
      <c r="C551">
        <v>138</v>
      </c>
      <c r="D551" t="s">
        <v>194</v>
      </c>
      <c r="E551">
        <v>663</v>
      </c>
      <c r="F551" s="3">
        <v>8.9200000000000002E-2</v>
      </c>
      <c r="H551" s="3">
        <v>4.2299999999999997E-2</v>
      </c>
      <c r="I551" s="3">
        <v>6.6400000000000001E-2</v>
      </c>
      <c r="J551" s="3">
        <v>5.7999999999999996E-3</v>
      </c>
      <c r="K551" s="3">
        <v>0.2177</v>
      </c>
      <c r="L551" s="3">
        <v>0.20830000000000001</v>
      </c>
      <c r="M551" s="3">
        <v>7.0699999999999999E-2</v>
      </c>
      <c r="N551" s="3">
        <v>5.6599999999999998E-2</v>
      </c>
      <c r="O551" s="3">
        <v>0.60899999999999999</v>
      </c>
      <c r="P551" s="3">
        <v>1.1900000000000001E-2</v>
      </c>
      <c r="R551" s="3">
        <v>5.5399999999999998E-2</v>
      </c>
    </row>
    <row r="552" spans="1:18">
      <c r="A552" t="s">
        <v>200</v>
      </c>
      <c r="B552" t="s">
        <v>200</v>
      </c>
      <c r="C552">
        <v>663</v>
      </c>
      <c r="D552" t="s">
        <v>200</v>
      </c>
      <c r="E552">
        <v>663</v>
      </c>
      <c r="F552" s="3">
        <v>8.7999999999999995E-2</v>
      </c>
      <c r="G552" s="3">
        <v>1.9E-3</v>
      </c>
      <c r="H552" s="3">
        <v>1.11E-2</v>
      </c>
      <c r="I552" s="3">
        <v>5.1900000000000002E-2</v>
      </c>
      <c r="J552" s="3">
        <v>4.65E-2</v>
      </c>
      <c r="K552" s="3">
        <v>0.26910000000000001</v>
      </c>
      <c r="L552" s="3">
        <v>0.24440000000000001</v>
      </c>
      <c r="M552" s="3">
        <v>0.1124</v>
      </c>
      <c r="N552" s="3">
        <v>6.5000000000000002E-2</v>
      </c>
      <c r="O552" s="3">
        <v>0.44319999999999998</v>
      </c>
      <c r="P552" s="3">
        <v>6.7999999999999996E-3</v>
      </c>
      <c r="Q552" s="3">
        <v>2.3999999999999998E-3</v>
      </c>
      <c r="R552" s="3">
        <v>5.1499999999999997E-2</v>
      </c>
    </row>
    <row r="554" spans="1:18" ht="45">
      <c r="A554" s="22" t="s">
        <v>335</v>
      </c>
    </row>
    <row r="555" spans="1:18">
      <c r="A555" t="s">
        <v>185</v>
      </c>
      <c r="B555" t="s">
        <v>186</v>
      </c>
      <c r="C555" t="s">
        <v>192</v>
      </c>
      <c r="D555" t="s">
        <v>184</v>
      </c>
      <c r="E555" t="s">
        <v>193</v>
      </c>
      <c r="F555" t="s">
        <v>322</v>
      </c>
      <c r="G555" t="s">
        <v>257</v>
      </c>
      <c r="H555" t="s">
        <v>323</v>
      </c>
      <c r="I555" t="s">
        <v>324</v>
      </c>
      <c r="J555" t="s">
        <v>325</v>
      </c>
      <c r="K555" t="s">
        <v>326</v>
      </c>
      <c r="L555" t="s">
        <v>327</v>
      </c>
      <c r="M555" t="s">
        <v>328</v>
      </c>
      <c r="N555" t="s">
        <v>329</v>
      </c>
      <c r="O555" t="s">
        <v>330</v>
      </c>
      <c r="P555" t="s">
        <v>274</v>
      </c>
      <c r="Q555" t="s">
        <v>247</v>
      </c>
      <c r="R555" t="s">
        <v>331</v>
      </c>
    </row>
    <row r="556" spans="1:18">
      <c r="A556" t="s">
        <v>195</v>
      </c>
      <c r="B556" t="s">
        <v>207</v>
      </c>
      <c r="C556">
        <v>79</v>
      </c>
      <c r="D556" t="s">
        <v>194</v>
      </c>
      <c r="E556">
        <v>663</v>
      </c>
      <c r="F556" s="3">
        <v>0.1802</v>
      </c>
      <c r="G556" s="3">
        <v>0.01</v>
      </c>
      <c r="I556" s="3">
        <v>7.2099999999999997E-2</v>
      </c>
      <c r="J556" s="3">
        <v>1.1299999999999999E-2</v>
      </c>
      <c r="K556" s="3">
        <v>0.1651</v>
      </c>
      <c r="L556" s="3">
        <v>0.2215</v>
      </c>
      <c r="M556" s="3">
        <v>0.14230000000000001</v>
      </c>
      <c r="N556" s="3">
        <v>7.6899999999999996E-2</v>
      </c>
      <c r="O556" s="3">
        <v>0.1331</v>
      </c>
      <c r="P556" s="3">
        <v>4.0399999999999998E-2</v>
      </c>
      <c r="R556" s="3">
        <v>0.1573</v>
      </c>
    </row>
    <row r="557" spans="1:18">
      <c r="A557" t="s">
        <v>195</v>
      </c>
      <c r="B557" t="s">
        <v>209</v>
      </c>
      <c r="C557">
        <v>265</v>
      </c>
      <c r="D557" t="s">
        <v>194</v>
      </c>
      <c r="E557">
        <v>663</v>
      </c>
      <c r="F557" s="3">
        <v>6.9599999999999995E-2</v>
      </c>
      <c r="G557" s="3">
        <v>1.8E-3</v>
      </c>
      <c r="I557" s="3">
        <v>5.7599999999999998E-2</v>
      </c>
      <c r="J557" s="3">
        <v>2.8400000000000002E-2</v>
      </c>
      <c r="K557" s="3">
        <v>0.30649999999999999</v>
      </c>
      <c r="L557" s="3">
        <v>0.19439999999999999</v>
      </c>
      <c r="M557" s="3">
        <v>0.12479999999999999</v>
      </c>
      <c r="N557" s="3">
        <v>8.5199999999999998E-2</v>
      </c>
      <c r="O557" s="3">
        <v>0.46789999999999998</v>
      </c>
      <c r="P557" s="3">
        <v>1E-3</v>
      </c>
      <c r="Q557" s="3">
        <v>5.1999999999999998E-3</v>
      </c>
      <c r="R557" s="3">
        <v>2.23E-2</v>
      </c>
    </row>
    <row r="558" spans="1:18">
      <c r="A558" t="s">
        <v>199</v>
      </c>
      <c r="B558" t="s">
        <v>207</v>
      </c>
      <c r="C558">
        <v>79</v>
      </c>
      <c r="D558" t="s">
        <v>194</v>
      </c>
      <c r="E558">
        <v>663</v>
      </c>
      <c r="F558" s="3">
        <v>0.16889999999999999</v>
      </c>
      <c r="H558" s="3">
        <v>2.8400000000000002E-2</v>
      </c>
      <c r="I558" s="3">
        <v>7.4800000000000005E-2</v>
      </c>
      <c r="J558" s="3">
        <v>1.24E-2</v>
      </c>
      <c r="K558" s="3">
        <v>0.26569999999999999</v>
      </c>
      <c r="L558" s="3">
        <v>0.20899999999999999</v>
      </c>
      <c r="M558" s="3">
        <v>2.5899999999999999E-2</v>
      </c>
      <c r="N558" s="3">
        <v>4.0000000000000001E-3</v>
      </c>
      <c r="O558" s="3">
        <v>0.64039999999999997</v>
      </c>
      <c r="P558" s="3">
        <v>1.14E-2</v>
      </c>
      <c r="R558" s="3">
        <v>0.11360000000000001</v>
      </c>
    </row>
    <row r="559" spans="1:18">
      <c r="A559" t="s">
        <v>199</v>
      </c>
      <c r="B559" t="s">
        <v>209</v>
      </c>
      <c r="C559">
        <v>240</v>
      </c>
      <c r="D559" t="s">
        <v>194</v>
      </c>
      <c r="E559">
        <v>663</v>
      </c>
      <c r="F559" s="3">
        <v>6.93E-2</v>
      </c>
      <c r="H559" s="3">
        <v>2.47E-2</v>
      </c>
      <c r="I559" s="3">
        <v>3.4799999999999998E-2</v>
      </c>
      <c r="J559" s="3">
        <v>8.5300000000000001E-2</v>
      </c>
      <c r="K559" s="3">
        <v>0.25290000000000001</v>
      </c>
      <c r="L559" s="3">
        <v>0.3196</v>
      </c>
      <c r="M559" s="3">
        <v>0.1051</v>
      </c>
      <c r="N559" s="3">
        <v>4.8099999999999997E-2</v>
      </c>
      <c r="O559" s="3">
        <v>0.46279999999999999</v>
      </c>
      <c r="P559" s="3">
        <v>3.7000000000000002E-3</v>
      </c>
      <c r="R559" s="3">
        <v>4.5900000000000003E-2</v>
      </c>
    </row>
    <row r="560" spans="1:18">
      <c r="A560" t="s">
        <v>200</v>
      </c>
      <c r="B560" t="s">
        <v>200</v>
      </c>
      <c r="C560">
        <v>663</v>
      </c>
      <c r="D560" t="s">
        <v>200</v>
      </c>
      <c r="E560">
        <v>663</v>
      </c>
      <c r="F560" s="3">
        <v>8.7999999999999995E-2</v>
      </c>
      <c r="G560" s="3">
        <v>1.9E-3</v>
      </c>
      <c r="H560" s="3">
        <v>1.11E-2</v>
      </c>
      <c r="I560" s="3">
        <v>5.1900000000000002E-2</v>
      </c>
      <c r="J560" s="3">
        <v>4.65E-2</v>
      </c>
      <c r="K560" s="3">
        <v>0.26910000000000001</v>
      </c>
      <c r="L560" s="3">
        <v>0.24440000000000001</v>
      </c>
      <c r="M560" s="3">
        <v>0.1124</v>
      </c>
      <c r="N560" s="3">
        <v>6.5000000000000002E-2</v>
      </c>
      <c r="O560" s="3">
        <v>0.44319999999999998</v>
      </c>
      <c r="P560" s="3">
        <v>6.7999999999999996E-3</v>
      </c>
      <c r="Q560" s="3">
        <v>2.3999999999999998E-3</v>
      </c>
      <c r="R560" s="3">
        <v>5.1499999999999997E-2</v>
      </c>
    </row>
    <row r="562" spans="1:18" ht="45">
      <c r="A562" s="22" t="s">
        <v>336</v>
      </c>
    </row>
    <row r="563" spans="1:18">
      <c r="A563" t="s">
        <v>185</v>
      </c>
      <c r="B563" t="s">
        <v>192</v>
      </c>
      <c r="C563" t="s">
        <v>184</v>
      </c>
      <c r="D563" t="s">
        <v>193</v>
      </c>
      <c r="E563" t="s">
        <v>322</v>
      </c>
      <c r="F563" t="s">
        <v>257</v>
      </c>
      <c r="G563" t="s">
        <v>323</v>
      </c>
      <c r="H563" t="s">
        <v>324</v>
      </c>
      <c r="I563" t="s">
        <v>325</v>
      </c>
      <c r="J563" t="s">
        <v>326</v>
      </c>
      <c r="K563" t="s">
        <v>327</v>
      </c>
      <c r="L563" t="s">
        <v>328</v>
      </c>
      <c r="M563" t="s">
        <v>329</v>
      </c>
      <c r="N563" t="s">
        <v>330</v>
      </c>
      <c r="O563" t="s">
        <v>274</v>
      </c>
      <c r="P563" t="s">
        <v>247</v>
      </c>
      <c r="Q563" t="s">
        <v>331</v>
      </c>
    </row>
    <row r="564" spans="1:18">
      <c r="A564" t="s">
        <v>195</v>
      </c>
      <c r="B564">
        <v>344</v>
      </c>
      <c r="C564" t="s">
        <v>194</v>
      </c>
      <c r="D564">
        <v>663</v>
      </c>
      <c r="E564" s="3">
        <v>9.0200000000000002E-2</v>
      </c>
      <c r="F564" s="3">
        <v>3.3E-3</v>
      </c>
      <c r="H564" s="3">
        <v>6.0299999999999999E-2</v>
      </c>
      <c r="I564" s="3">
        <v>2.52E-2</v>
      </c>
      <c r="J564" s="3">
        <v>0.28029999999999999</v>
      </c>
      <c r="K564" s="3">
        <v>0.19939999999999999</v>
      </c>
      <c r="L564" s="3">
        <v>0.12809999999999999</v>
      </c>
      <c r="M564" s="3">
        <v>8.3699999999999997E-2</v>
      </c>
      <c r="N564" s="3">
        <v>0.40579999999999999</v>
      </c>
      <c r="O564" s="3">
        <v>8.3000000000000001E-3</v>
      </c>
      <c r="P564" s="3">
        <v>4.3E-3</v>
      </c>
      <c r="Q564" s="3">
        <v>4.7399999999999998E-2</v>
      </c>
    </row>
    <row r="565" spans="1:18">
      <c r="A565" t="s">
        <v>199</v>
      </c>
      <c r="B565">
        <v>319</v>
      </c>
      <c r="C565" t="s">
        <v>194</v>
      </c>
      <c r="D565">
        <v>663</v>
      </c>
      <c r="E565" s="3">
        <v>8.5099999999999995E-2</v>
      </c>
      <c r="G565" s="3">
        <v>2.53E-2</v>
      </c>
      <c r="H565" s="3">
        <v>4.1200000000000001E-2</v>
      </c>
      <c r="I565" s="3">
        <v>7.3700000000000002E-2</v>
      </c>
      <c r="J565" s="3">
        <v>0.25490000000000002</v>
      </c>
      <c r="K565" s="3">
        <v>0.30199999999999999</v>
      </c>
      <c r="L565" s="3">
        <v>9.2399999999999996E-2</v>
      </c>
      <c r="M565" s="3">
        <v>4.1099999999999998E-2</v>
      </c>
      <c r="N565" s="3">
        <v>0.49109999999999998</v>
      </c>
      <c r="O565" s="3">
        <v>4.8999999999999998E-3</v>
      </c>
      <c r="Q565" s="3">
        <v>5.67E-2</v>
      </c>
    </row>
    <row r="566" spans="1:18">
      <c r="A566" t="s">
        <v>200</v>
      </c>
      <c r="B566">
        <v>663</v>
      </c>
      <c r="C566" t="s">
        <v>200</v>
      </c>
      <c r="D566">
        <v>663</v>
      </c>
      <c r="E566" s="3">
        <v>8.7999999999999995E-2</v>
      </c>
      <c r="F566" s="3">
        <v>1.9E-3</v>
      </c>
      <c r="G566" s="3">
        <v>1.11E-2</v>
      </c>
      <c r="H566" s="3">
        <v>5.1900000000000002E-2</v>
      </c>
      <c r="I566" s="3">
        <v>4.65E-2</v>
      </c>
      <c r="J566" s="3">
        <v>0.26910000000000001</v>
      </c>
      <c r="K566" s="3">
        <v>0.24440000000000001</v>
      </c>
      <c r="L566" s="3">
        <v>0.1124</v>
      </c>
      <c r="M566" s="3">
        <v>6.5000000000000002E-2</v>
      </c>
      <c r="N566" s="3">
        <v>0.44319999999999998</v>
      </c>
      <c r="O566" s="3">
        <v>6.7999999999999996E-3</v>
      </c>
      <c r="P566" s="3">
        <v>2.3999999999999998E-3</v>
      </c>
      <c r="Q566" s="3">
        <v>5.1499999999999997E-2</v>
      </c>
    </row>
    <row r="568" spans="1:18" ht="45">
      <c r="A568" s="22" t="s">
        <v>337</v>
      </c>
    </row>
    <row r="569" spans="1:18">
      <c r="A569" t="s">
        <v>185</v>
      </c>
      <c r="B569" t="s">
        <v>186</v>
      </c>
      <c r="C569" t="s">
        <v>192</v>
      </c>
      <c r="D569" t="s">
        <v>184</v>
      </c>
      <c r="E569" t="s">
        <v>193</v>
      </c>
      <c r="F569" t="s">
        <v>322</v>
      </c>
      <c r="G569" t="s">
        <v>257</v>
      </c>
      <c r="H569" t="s">
        <v>323</v>
      </c>
      <c r="I569" t="s">
        <v>324</v>
      </c>
      <c r="J569" t="s">
        <v>325</v>
      </c>
      <c r="K569" t="s">
        <v>326</v>
      </c>
      <c r="L569" t="s">
        <v>327</v>
      </c>
      <c r="M569" t="s">
        <v>328</v>
      </c>
      <c r="N569" t="s">
        <v>329</v>
      </c>
      <c r="O569" t="s">
        <v>330</v>
      </c>
      <c r="P569" t="s">
        <v>274</v>
      </c>
      <c r="Q569" t="s">
        <v>247</v>
      </c>
      <c r="R569" t="s">
        <v>331</v>
      </c>
    </row>
    <row r="570" spans="1:18">
      <c r="A570" t="s">
        <v>195</v>
      </c>
      <c r="B570" t="s">
        <v>212</v>
      </c>
      <c r="C570">
        <v>252</v>
      </c>
      <c r="D570" t="s">
        <v>194</v>
      </c>
      <c r="E570">
        <v>663</v>
      </c>
      <c r="F570" s="3">
        <v>8.3299999999999999E-2</v>
      </c>
      <c r="G570" s="3">
        <v>4.1999999999999997E-3</v>
      </c>
      <c r="I570" s="3">
        <v>6.1499999999999999E-2</v>
      </c>
      <c r="J570" s="3">
        <v>2.9100000000000001E-2</v>
      </c>
      <c r="K570" s="3">
        <v>0.2472</v>
      </c>
      <c r="L570" s="3">
        <v>0.1925</v>
      </c>
      <c r="M570" s="3">
        <v>0.1547</v>
      </c>
      <c r="N570" s="3">
        <v>9.6699999999999994E-2</v>
      </c>
      <c r="O570" s="3">
        <v>0.42909999999999998</v>
      </c>
      <c r="P570" s="3">
        <v>2E-3</v>
      </c>
      <c r="Q570" s="3">
        <v>5.4000000000000003E-3</v>
      </c>
      <c r="R570" s="3">
        <v>4.2200000000000001E-2</v>
      </c>
    </row>
    <row r="571" spans="1:18">
      <c r="A571" t="s">
        <v>195</v>
      </c>
      <c r="B571" t="s">
        <v>214</v>
      </c>
      <c r="C571">
        <v>31</v>
      </c>
      <c r="D571" t="s">
        <v>194</v>
      </c>
      <c r="E571">
        <v>663</v>
      </c>
      <c r="F571" s="3">
        <v>0.1666</v>
      </c>
      <c r="I571" s="3">
        <v>1.9199999999999998E-2</v>
      </c>
      <c r="J571" s="3">
        <v>2.5000000000000001E-3</v>
      </c>
      <c r="K571" s="3">
        <v>0.40660000000000002</v>
      </c>
      <c r="L571" s="3">
        <v>0.12920000000000001</v>
      </c>
      <c r="N571" s="3">
        <v>6.4000000000000003E-3</v>
      </c>
      <c r="O571" s="3">
        <v>0.31440000000000001</v>
      </c>
      <c r="R571" s="3">
        <v>0.11269999999999999</v>
      </c>
    </row>
    <row r="572" spans="1:18">
      <c r="A572" t="s">
        <v>195</v>
      </c>
      <c r="B572" t="s">
        <v>215</v>
      </c>
      <c r="C572">
        <v>61</v>
      </c>
      <c r="D572" t="s">
        <v>194</v>
      </c>
      <c r="E572">
        <v>663</v>
      </c>
      <c r="F572" s="3">
        <v>7.6899999999999996E-2</v>
      </c>
      <c r="I572" s="3">
        <v>8.4000000000000005E-2</v>
      </c>
      <c r="J572" s="3">
        <v>1.6E-2</v>
      </c>
      <c r="K572" s="3">
        <v>0.40649999999999997</v>
      </c>
      <c r="L572" s="3">
        <v>0.30159999999999998</v>
      </c>
      <c r="M572" s="3">
        <v>4.6800000000000001E-2</v>
      </c>
      <c r="N572" s="3">
        <v>5.5399999999999998E-2</v>
      </c>
      <c r="O572" s="3">
        <v>0.31900000000000001</v>
      </c>
      <c r="P572" s="3">
        <v>5.7500000000000002E-2</v>
      </c>
      <c r="R572" s="3">
        <v>3.15E-2</v>
      </c>
    </row>
    <row r="573" spans="1:18">
      <c r="A573" t="s">
        <v>199</v>
      </c>
      <c r="B573" t="s">
        <v>212</v>
      </c>
      <c r="C573">
        <v>235</v>
      </c>
      <c r="D573" t="s">
        <v>194</v>
      </c>
      <c r="E573">
        <v>663</v>
      </c>
      <c r="F573" s="3">
        <v>5.1499999999999997E-2</v>
      </c>
      <c r="H573" s="3">
        <v>3.3700000000000001E-2</v>
      </c>
      <c r="I573" s="3">
        <v>3.6400000000000002E-2</v>
      </c>
      <c r="J573" s="3">
        <v>6.2E-2</v>
      </c>
      <c r="K573" s="3">
        <v>0.24299999999999999</v>
      </c>
      <c r="L573" s="3">
        <v>0.33</v>
      </c>
      <c r="M573" s="3">
        <v>0.10780000000000001</v>
      </c>
      <c r="N573" s="3">
        <v>5.1400000000000001E-2</v>
      </c>
      <c r="O573" s="3">
        <v>0.52329999999999999</v>
      </c>
      <c r="P573" s="3">
        <v>4.8999999999999998E-3</v>
      </c>
      <c r="R573" s="3">
        <v>6.8900000000000003E-2</v>
      </c>
    </row>
    <row r="574" spans="1:18" s="23" customFormat="1">
      <c r="A574" s="23" t="s">
        <v>199</v>
      </c>
      <c r="B574" s="23" t="s">
        <v>214</v>
      </c>
      <c r="C574" s="23">
        <v>22</v>
      </c>
      <c r="D574" s="23" t="s">
        <v>194</v>
      </c>
      <c r="E574" s="23">
        <v>663</v>
      </c>
      <c r="F574" s="24">
        <v>0.2271</v>
      </c>
      <c r="I574" s="24">
        <v>5.0000000000000001E-3</v>
      </c>
      <c r="J574" s="24">
        <v>0.2097</v>
      </c>
      <c r="K574" s="24">
        <v>0.3448</v>
      </c>
      <c r="L574" s="24">
        <v>8.7499999999999994E-2</v>
      </c>
      <c r="M574" s="24">
        <v>1.72E-2</v>
      </c>
      <c r="O574" s="24">
        <v>0.44429999999999997</v>
      </c>
    </row>
    <row r="575" spans="1:18">
      <c r="A575" t="s">
        <v>199</v>
      </c>
      <c r="B575" t="s">
        <v>215</v>
      </c>
      <c r="C575">
        <v>62</v>
      </c>
      <c r="D575" t="s">
        <v>194</v>
      </c>
      <c r="E575">
        <v>663</v>
      </c>
      <c r="F575" s="3">
        <v>0.1444</v>
      </c>
      <c r="I575" s="3">
        <v>0.1079</v>
      </c>
      <c r="J575" s="3">
        <v>4.8999999999999998E-3</v>
      </c>
      <c r="K575" s="3">
        <v>0.2349</v>
      </c>
      <c r="L575" s="3">
        <v>0.3523</v>
      </c>
      <c r="M575" s="3">
        <v>7.6300000000000007E-2</v>
      </c>
      <c r="N575" s="3">
        <v>2.0299999999999999E-2</v>
      </c>
      <c r="O575" s="3">
        <v>0.34229999999999999</v>
      </c>
      <c r="P575" s="3">
        <v>0.01</v>
      </c>
      <c r="R575" s="3">
        <v>4.0899999999999999E-2</v>
      </c>
    </row>
    <row r="576" spans="1:18">
      <c r="A576" t="s">
        <v>200</v>
      </c>
      <c r="B576" t="s">
        <v>200</v>
      </c>
      <c r="C576">
        <v>663</v>
      </c>
      <c r="D576" t="s">
        <v>200</v>
      </c>
      <c r="E576">
        <v>663</v>
      </c>
      <c r="F576" s="3">
        <v>8.7999999999999995E-2</v>
      </c>
      <c r="G576" s="3">
        <v>1.9E-3</v>
      </c>
      <c r="H576" s="3">
        <v>1.11E-2</v>
      </c>
      <c r="I576" s="3">
        <v>5.1900000000000002E-2</v>
      </c>
      <c r="J576" s="3">
        <v>4.65E-2</v>
      </c>
      <c r="K576" s="3">
        <v>0.26910000000000001</v>
      </c>
      <c r="L576" s="3">
        <v>0.24440000000000001</v>
      </c>
      <c r="M576" s="3">
        <v>0.1124</v>
      </c>
      <c r="N576" s="3">
        <v>6.5000000000000002E-2</v>
      </c>
      <c r="O576" s="3">
        <v>0.44319999999999998</v>
      </c>
      <c r="P576" s="3">
        <v>6.7999999999999996E-3</v>
      </c>
      <c r="Q576" s="3">
        <v>2.3999999999999998E-3</v>
      </c>
      <c r="R576" s="3">
        <v>5.1499999999999997E-2</v>
      </c>
    </row>
    <row r="578" spans="1:18" ht="45">
      <c r="A578" s="22" t="s">
        <v>338</v>
      </c>
    </row>
    <row r="579" spans="1:18">
      <c r="A579" t="s">
        <v>185</v>
      </c>
      <c r="B579" t="s">
        <v>186</v>
      </c>
      <c r="C579" t="s">
        <v>192</v>
      </c>
      <c r="D579" t="s">
        <v>184</v>
      </c>
      <c r="E579" t="s">
        <v>193</v>
      </c>
      <c r="F579" t="s">
        <v>322</v>
      </c>
      <c r="G579" t="s">
        <v>257</v>
      </c>
      <c r="H579" t="s">
        <v>323</v>
      </c>
      <c r="I579" t="s">
        <v>324</v>
      </c>
      <c r="J579" t="s">
        <v>325</v>
      </c>
      <c r="K579" t="s">
        <v>326</v>
      </c>
      <c r="L579" t="s">
        <v>327</v>
      </c>
      <c r="M579" t="s">
        <v>328</v>
      </c>
      <c r="N579" t="s">
        <v>329</v>
      </c>
      <c r="O579" t="s">
        <v>330</v>
      </c>
      <c r="P579" t="s">
        <v>274</v>
      </c>
      <c r="Q579" t="s">
        <v>247</v>
      </c>
      <c r="R579" t="s">
        <v>331</v>
      </c>
    </row>
    <row r="580" spans="1:18">
      <c r="A580" t="s">
        <v>195</v>
      </c>
      <c r="B580" t="s">
        <v>217</v>
      </c>
      <c r="C580">
        <v>171</v>
      </c>
      <c r="D580" t="s">
        <v>194</v>
      </c>
      <c r="E580">
        <v>663</v>
      </c>
      <c r="F580" s="3">
        <v>6.59E-2</v>
      </c>
      <c r="G580" s="3">
        <v>5.8999999999999999E-3</v>
      </c>
      <c r="I580" s="3">
        <v>5.9700000000000003E-2</v>
      </c>
      <c r="J580" s="3">
        <v>4.2700000000000002E-2</v>
      </c>
      <c r="K580" s="3">
        <v>0.2984</v>
      </c>
      <c r="L580" s="3">
        <v>0.2616</v>
      </c>
      <c r="M580" s="3">
        <v>8.0699999999999994E-2</v>
      </c>
      <c r="N580" s="3">
        <v>7.7799999999999994E-2</v>
      </c>
      <c r="O580" s="3">
        <v>0.45939999999999998</v>
      </c>
      <c r="P580" s="3">
        <v>2.5000000000000001E-3</v>
      </c>
      <c r="Q580" s="3">
        <v>8.6E-3</v>
      </c>
      <c r="R580" s="3">
        <v>4.7699999999999999E-2</v>
      </c>
    </row>
    <row r="581" spans="1:18">
      <c r="A581" t="s">
        <v>195</v>
      </c>
      <c r="B581" t="s">
        <v>219</v>
      </c>
      <c r="C581">
        <v>122</v>
      </c>
      <c r="D581" t="s">
        <v>194</v>
      </c>
      <c r="E581">
        <v>663</v>
      </c>
      <c r="F581" s="3">
        <v>0.13139999999999999</v>
      </c>
      <c r="G581" s="3">
        <v>1.1999999999999999E-3</v>
      </c>
      <c r="I581" s="3">
        <v>8.8700000000000001E-2</v>
      </c>
      <c r="J581" s="3">
        <v>6.9999999999999999E-4</v>
      </c>
      <c r="K581" s="3">
        <v>0.2828</v>
      </c>
      <c r="L581" s="3">
        <v>0.15690000000000001</v>
      </c>
      <c r="M581" s="3">
        <v>0.22689999999999999</v>
      </c>
      <c r="N581" s="3">
        <v>8.7900000000000006E-2</v>
      </c>
      <c r="O581" s="3">
        <v>0.28639999999999999</v>
      </c>
      <c r="P581" s="3">
        <v>2.18E-2</v>
      </c>
      <c r="R581" s="3">
        <v>6.1899999999999997E-2</v>
      </c>
    </row>
    <row r="582" spans="1:18">
      <c r="A582" t="s">
        <v>195</v>
      </c>
      <c r="B582" t="s">
        <v>220</v>
      </c>
      <c r="C582">
        <v>49</v>
      </c>
      <c r="D582" t="s">
        <v>194</v>
      </c>
      <c r="E582">
        <v>663</v>
      </c>
      <c r="F582" s="3">
        <v>8.2900000000000001E-2</v>
      </c>
      <c r="I582" s="3">
        <v>0.01</v>
      </c>
      <c r="J582" s="3">
        <v>2.1000000000000001E-2</v>
      </c>
      <c r="K582" s="3">
        <v>0.22409999999999999</v>
      </c>
      <c r="L582" s="3">
        <v>0.1036</v>
      </c>
      <c r="M582" s="3">
        <v>8.0100000000000005E-2</v>
      </c>
      <c r="N582" s="3">
        <v>9.2600000000000002E-2</v>
      </c>
      <c r="O582" s="3">
        <v>0.4743</v>
      </c>
      <c r="R582" s="3">
        <v>0.02</v>
      </c>
    </row>
    <row r="583" spans="1:18">
      <c r="A583" t="s">
        <v>199</v>
      </c>
      <c r="B583" t="s">
        <v>217</v>
      </c>
      <c r="C583">
        <v>181</v>
      </c>
      <c r="D583" t="s">
        <v>194</v>
      </c>
      <c r="E583">
        <v>663</v>
      </c>
      <c r="F583" s="3">
        <v>8.0399999999999999E-2</v>
      </c>
      <c r="H583" s="3">
        <v>3.1099999999999999E-2</v>
      </c>
      <c r="I583" s="3">
        <v>4.7E-2</v>
      </c>
      <c r="J583" s="3">
        <v>8.1299999999999997E-2</v>
      </c>
      <c r="K583" s="3">
        <v>0.2762</v>
      </c>
      <c r="L583" s="3">
        <v>0.31059999999999999</v>
      </c>
      <c r="M583" s="3">
        <v>4.7899999999999998E-2</v>
      </c>
      <c r="N583" s="3">
        <v>1.21E-2</v>
      </c>
      <c r="O583" s="3">
        <v>0.61550000000000005</v>
      </c>
      <c r="P583" s="3">
        <v>5.1999999999999998E-3</v>
      </c>
      <c r="R583" s="3">
        <v>3.61E-2</v>
      </c>
    </row>
    <row r="584" spans="1:18">
      <c r="A584" t="s">
        <v>199</v>
      </c>
      <c r="B584" t="s">
        <v>219</v>
      </c>
      <c r="C584">
        <v>86</v>
      </c>
      <c r="D584" t="s">
        <v>194</v>
      </c>
      <c r="E584">
        <v>663</v>
      </c>
      <c r="F584" s="3">
        <v>0.15479999999999999</v>
      </c>
      <c r="H584" s="3">
        <v>4.1599999999999998E-2</v>
      </c>
      <c r="I584" s="3">
        <v>5.8799999999999998E-2</v>
      </c>
      <c r="J584" s="3">
        <v>1.6899999999999998E-2</v>
      </c>
      <c r="K584" s="3">
        <v>0.23130000000000001</v>
      </c>
      <c r="L584" s="3">
        <v>0.31919999999999998</v>
      </c>
      <c r="M584" s="3">
        <v>7.9799999999999996E-2</v>
      </c>
      <c r="N584" s="3">
        <v>1.6199999999999999E-2</v>
      </c>
      <c r="O584" s="3">
        <v>0.41039999999999999</v>
      </c>
      <c r="P584" s="3">
        <v>7.1999999999999998E-3</v>
      </c>
      <c r="R584" s="3">
        <v>0.09</v>
      </c>
    </row>
    <row r="585" spans="1:18">
      <c r="A585" t="s">
        <v>199</v>
      </c>
      <c r="B585" t="s">
        <v>220</v>
      </c>
      <c r="C585">
        <v>52</v>
      </c>
      <c r="D585" t="s">
        <v>194</v>
      </c>
      <c r="E585">
        <v>663</v>
      </c>
      <c r="F585" s="3">
        <v>2.87E-2</v>
      </c>
      <c r="I585" s="3">
        <v>1.46E-2</v>
      </c>
      <c r="J585" s="3">
        <v>0.1133</v>
      </c>
      <c r="K585" s="3">
        <v>0.2397</v>
      </c>
      <c r="L585" s="3">
        <v>0.27100000000000002</v>
      </c>
      <c r="M585" s="3">
        <v>0.18210000000000001</v>
      </c>
      <c r="N585" s="3">
        <v>0.1148</v>
      </c>
      <c r="O585" s="3">
        <v>0.34860000000000002</v>
      </c>
      <c r="P585" s="3">
        <v>2.3E-3</v>
      </c>
      <c r="R585" s="3">
        <v>6.1800000000000001E-2</v>
      </c>
    </row>
    <row r="586" spans="1:18">
      <c r="A586" t="s">
        <v>200</v>
      </c>
      <c r="B586" t="s">
        <v>200</v>
      </c>
      <c r="C586">
        <v>663</v>
      </c>
      <c r="D586" t="s">
        <v>200</v>
      </c>
      <c r="E586">
        <v>663</v>
      </c>
      <c r="F586" s="3">
        <v>8.7999999999999995E-2</v>
      </c>
      <c r="G586" s="3">
        <v>1.9E-3</v>
      </c>
      <c r="H586" s="3">
        <v>1.11E-2</v>
      </c>
      <c r="I586" s="3">
        <v>5.1900000000000002E-2</v>
      </c>
      <c r="J586" s="3">
        <v>4.65E-2</v>
      </c>
      <c r="K586" s="3">
        <v>0.26910000000000001</v>
      </c>
      <c r="L586" s="3">
        <v>0.24440000000000001</v>
      </c>
      <c r="M586" s="3">
        <v>0.1124</v>
      </c>
      <c r="N586" s="3">
        <v>6.5000000000000002E-2</v>
      </c>
      <c r="O586" s="3">
        <v>0.44319999999999998</v>
      </c>
      <c r="P586" s="3">
        <v>6.7999999999999996E-3</v>
      </c>
      <c r="Q586" s="3">
        <v>2.3999999999999998E-3</v>
      </c>
      <c r="R586" s="3">
        <v>5.1499999999999997E-2</v>
      </c>
    </row>
    <row r="588" spans="1:18" ht="45">
      <c r="A588" s="22" t="s">
        <v>339</v>
      </c>
    </row>
    <row r="589" spans="1:18">
      <c r="A589" t="s">
        <v>185</v>
      </c>
      <c r="B589" t="s">
        <v>186</v>
      </c>
      <c r="C589" t="s">
        <v>192</v>
      </c>
      <c r="D589" t="s">
        <v>184</v>
      </c>
      <c r="E589" t="s">
        <v>193</v>
      </c>
      <c r="F589" t="s">
        <v>322</v>
      </c>
      <c r="G589" t="s">
        <v>257</v>
      </c>
      <c r="H589" t="s">
        <v>323</v>
      </c>
      <c r="I589" t="s">
        <v>324</v>
      </c>
      <c r="J589" t="s">
        <v>325</v>
      </c>
      <c r="K589" t="s">
        <v>326</v>
      </c>
      <c r="L589" t="s">
        <v>327</v>
      </c>
      <c r="M589" t="s">
        <v>328</v>
      </c>
      <c r="N589" t="s">
        <v>329</v>
      </c>
      <c r="O589" t="s">
        <v>330</v>
      </c>
      <c r="P589" t="s">
        <v>274</v>
      </c>
      <c r="Q589" t="s">
        <v>247</v>
      </c>
      <c r="R589" t="s">
        <v>331</v>
      </c>
    </row>
    <row r="590" spans="1:18">
      <c r="A590" t="s">
        <v>195</v>
      </c>
      <c r="B590" t="s">
        <v>301</v>
      </c>
      <c r="C590">
        <v>194</v>
      </c>
      <c r="D590" t="s">
        <v>194</v>
      </c>
      <c r="E590">
        <v>663</v>
      </c>
      <c r="F590" s="3">
        <v>5.2200000000000003E-2</v>
      </c>
      <c r="G590" s="3">
        <v>4.3E-3</v>
      </c>
      <c r="I590" s="3">
        <v>9.3600000000000003E-2</v>
      </c>
      <c r="J590" s="3">
        <v>2.0400000000000001E-2</v>
      </c>
      <c r="K590" s="3">
        <v>0.2482</v>
      </c>
      <c r="L590" s="3">
        <v>0.21260000000000001</v>
      </c>
      <c r="M590" s="3">
        <v>0.22570000000000001</v>
      </c>
      <c r="N590" s="3">
        <v>8.3299999999999999E-2</v>
      </c>
      <c r="O590" s="3">
        <v>0.4103</v>
      </c>
      <c r="P590" s="3">
        <v>1.5100000000000001E-2</v>
      </c>
      <c r="R590" s="3">
        <v>1.5100000000000001E-2</v>
      </c>
    </row>
    <row r="591" spans="1:18">
      <c r="A591" t="s">
        <v>195</v>
      </c>
      <c r="B591" t="s">
        <v>302</v>
      </c>
      <c r="C591">
        <v>150</v>
      </c>
      <c r="D591" t="s">
        <v>194</v>
      </c>
      <c r="E591">
        <v>663</v>
      </c>
      <c r="F591" s="3">
        <v>0.13200000000000001</v>
      </c>
      <c r="G591" s="3">
        <v>2.3E-3</v>
      </c>
      <c r="I591" s="3">
        <v>2.35E-2</v>
      </c>
      <c r="J591" s="3">
        <v>3.0499999999999999E-2</v>
      </c>
      <c r="K591" s="3">
        <v>0.31559999999999999</v>
      </c>
      <c r="L591" s="3">
        <v>0.18490000000000001</v>
      </c>
      <c r="M591" s="3">
        <v>2.0500000000000001E-2</v>
      </c>
      <c r="N591" s="3">
        <v>8.4199999999999997E-2</v>
      </c>
      <c r="O591" s="3">
        <v>0.40089999999999998</v>
      </c>
      <c r="P591" s="3">
        <v>8.0000000000000004E-4</v>
      </c>
      <c r="Q591" s="3">
        <v>8.9999999999999993E-3</v>
      </c>
      <c r="R591" s="3">
        <v>8.2900000000000001E-2</v>
      </c>
    </row>
    <row r="592" spans="1:18">
      <c r="A592" t="s">
        <v>199</v>
      </c>
      <c r="B592" t="s">
        <v>301</v>
      </c>
      <c r="C592">
        <v>173</v>
      </c>
      <c r="D592" t="s">
        <v>194</v>
      </c>
      <c r="E592">
        <v>663</v>
      </c>
      <c r="F592" s="3">
        <v>5.7799999999999997E-2</v>
      </c>
      <c r="I592" s="3">
        <v>2.64E-2</v>
      </c>
      <c r="J592" s="3">
        <v>9.4100000000000003E-2</v>
      </c>
      <c r="K592" s="3">
        <v>0.25190000000000001</v>
      </c>
      <c r="L592" s="3">
        <v>0.29670000000000002</v>
      </c>
      <c r="M592" s="3">
        <v>0.14230000000000001</v>
      </c>
      <c r="N592" s="3">
        <v>3.7600000000000001E-2</v>
      </c>
      <c r="O592" s="3">
        <v>0.48049999999999998</v>
      </c>
      <c r="P592" s="3">
        <v>7.0000000000000001E-3</v>
      </c>
      <c r="R592" s="3">
        <v>1.2699999999999999E-2</v>
      </c>
    </row>
    <row r="593" spans="1:18">
      <c r="A593" t="s">
        <v>199</v>
      </c>
      <c r="B593" t="s">
        <v>302</v>
      </c>
      <c r="C593">
        <v>146</v>
      </c>
      <c r="D593" t="s">
        <v>194</v>
      </c>
      <c r="E593">
        <v>663</v>
      </c>
      <c r="F593" s="3">
        <v>0.1065</v>
      </c>
      <c r="H593" s="3">
        <v>4.4999999999999998E-2</v>
      </c>
      <c r="I593" s="3">
        <v>5.2699999999999997E-2</v>
      </c>
      <c r="J593" s="3">
        <v>5.7799999999999997E-2</v>
      </c>
      <c r="K593" s="3">
        <v>0.25729999999999997</v>
      </c>
      <c r="L593" s="3">
        <v>0.30609999999999998</v>
      </c>
      <c r="M593" s="3">
        <v>5.3499999999999999E-2</v>
      </c>
      <c r="N593" s="3">
        <v>4.3799999999999999E-2</v>
      </c>
      <c r="O593" s="3">
        <v>0.49940000000000001</v>
      </c>
      <c r="P593" s="3">
        <v>3.2000000000000002E-3</v>
      </c>
      <c r="R593" s="3">
        <v>9.0999999999999998E-2</v>
      </c>
    </row>
    <row r="594" spans="1:18">
      <c r="A594" t="s">
        <v>200</v>
      </c>
      <c r="B594" t="s">
        <v>200</v>
      </c>
      <c r="C594">
        <v>663</v>
      </c>
      <c r="D594" t="s">
        <v>200</v>
      </c>
      <c r="E594">
        <v>663</v>
      </c>
      <c r="F594" s="3">
        <v>8.7999999999999995E-2</v>
      </c>
      <c r="G594" s="3">
        <v>1.9E-3</v>
      </c>
      <c r="H594" s="3">
        <v>1.11E-2</v>
      </c>
      <c r="I594" s="3">
        <v>5.1900000000000002E-2</v>
      </c>
      <c r="J594" s="3">
        <v>4.65E-2</v>
      </c>
      <c r="K594" s="3">
        <v>0.26910000000000001</v>
      </c>
      <c r="L594" s="3">
        <v>0.24440000000000001</v>
      </c>
      <c r="M594" s="3">
        <v>0.1124</v>
      </c>
      <c r="N594" s="3">
        <v>6.5000000000000002E-2</v>
      </c>
      <c r="O594" s="3">
        <v>0.44319999999999998</v>
      </c>
      <c r="P594" s="3">
        <v>6.7999999999999996E-3</v>
      </c>
      <c r="Q594" s="3">
        <v>2.3999999999999998E-3</v>
      </c>
      <c r="R594" s="3">
        <v>5.1499999999999997E-2</v>
      </c>
    </row>
    <row r="596" spans="1:18" ht="45">
      <c r="A596" s="22" t="s">
        <v>340</v>
      </c>
    </row>
    <row r="597" spans="1:18">
      <c r="A597" t="s">
        <v>185</v>
      </c>
      <c r="B597" t="s">
        <v>186</v>
      </c>
      <c r="C597" t="s">
        <v>192</v>
      </c>
      <c r="D597" t="s">
        <v>184</v>
      </c>
      <c r="E597" t="s">
        <v>193</v>
      </c>
      <c r="F597" t="s">
        <v>322</v>
      </c>
      <c r="G597" t="s">
        <v>257</v>
      </c>
      <c r="H597" t="s">
        <v>323</v>
      </c>
      <c r="I597" t="s">
        <v>324</v>
      </c>
      <c r="J597" t="s">
        <v>325</v>
      </c>
      <c r="K597" t="s">
        <v>326</v>
      </c>
      <c r="L597" t="s">
        <v>327</v>
      </c>
      <c r="M597" t="s">
        <v>328</v>
      </c>
      <c r="N597" t="s">
        <v>329</v>
      </c>
      <c r="O597" t="s">
        <v>330</v>
      </c>
      <c r="P597" t="s">
        <v>274</v>
      </c>
      <c r="Q597" t="s">
        <v>247</v>
      </c>
      <c r="R597" t="s">
        <v>331</v>
      </c>
    </row>
    <row r="598" spans="1:18">
      <c r="A598" t="s">
        <v>195</v>
      </c>
      <c r="B598" t="s">
        <v>304</v>
      </c>
      <c r="C598">
        <v>44</v>
      </c>
      <c r="D598" t="s">
        <v>194</v>
      </c>
      <c r="E598">
        <v>663</v>
      </c>
      <c r="F598" s="3">
        <v>8.7900000000000006E-2</v>
      </c>
      <c r="G598" s="3">
        <v>3.0999999999999999E-3</v>
      </c>
      <c r="I598" s="3">
        <v>0.14069999999999999</v>
      </c>
      <c r="K598" s="3">
        <v>0.33050000000000002</v>
      </c>
      <c r="L598" s="3">
        <v>8.3799999999999999E-2</v>
      </c>
      <c r="M598" s="3">
        <v>0.42299999999999999</v>
      </c>
      <c r="N598" s="3">
        <v>5.9900000000000002E-2</v>
      </c>
      <c r="O598" s="3">
        <v>0.23880000000000001</v>
      </c>
      <c r="R598" s="3">
        <v>2.6599999999999999E-2</v>
      </c>
    </row>
    <row r="599" spans="1:18">
      <c r="A599" t="s">
        <v>195</v>
      </c>
      <c r="B599" t="s">
        <v>305</v>
      </c>
      <c r="C599">
        <v>150</v>
      </c>
      <c r="D599" t="s">
        <v>194</v>
      </c>
      <c r="E599">
        <v>663</v>
      </c>
      <c r="F599" s="3">
        <v>4.0399999999999998E-2</v>
      </c>
      <c r="G599" s="3">
        <v>4.7000000000000002E-3</v>
      </c>
      <c r="I599" s="3">
        <v>7.8E-2</v>
      </c>
      <c r="J599" s="3">
        <v>2.7099999999999999E-2</v>
      </c>
      <c r="K599" s="3">
        <v>0.22090000000000001</v>
      </c>
      <c r="L599" s="3">
        <v>0.25519999999999998</v>
      </c>
      <c r="M599" s="3">
        <v>0.1605</v>
      </c>
      <c r="N599" s="3">
        <v>9.0999999999999998E-2</v>
      </c>
      <c r="O599" s="3">
        <v>0.46689999999999998</v>
      </c>
      <c r="P599" s="3">
        <v>0.02</v>
      </c>
      <c r="R599" s="3">
        <v>1.14E-2</v>
      </c>
    </row>
    <row r="600" spans="1:18">
      <c r="A600" t="s">
        <v>195</v>
      </c>
      <c r="B600" t="s">
        <v>307</v>
      </c>
      <c r="C600">
        <v>150</v>
      </c>
      <c r="D600" t="s">
        <v>194</v>
      </c>
      <c r="E600">
        <v>663</v>
      </c>
      <c r="F600" s="3">
        <v>0.13200000000000001</v>
      </c>
      <c r="G600" s="3">
        <v>2.3E-3</v>
      </c>
      <c r="I600" s="3">
        <v>2.35E-2</v>
      </c>
      <c r="J600" s="3">
        <v>3.0499999999999999E-2</v>
      </c>
      <c r="K600" s="3">
        <v>0.31559999999999999</v>
      </c>
      <c r="L600" s="3">
        <v>0.18490000000000001</v>
      </c>
      <c r="M600" s="3">
        <v>2.0500000000000001E-2</v>
      </c>
      <c r="N600" s="3">
        <v>8.4199999999999997E-2</v>
      </c>
      <c r="O600" s="3">
        <v>0.40089999999999998</v>
      </c>
      <c r="P600" s="3">
        <v>8.0000000000000004E-4</v>
      </c>
      <c r="Q600" s="3">
        <v>8.9999999999999993E-3</v>
      </c>
      <c r="R600" s="3">
        <v>8.2900000000000001E-2</v>
      </c>
    </row>
    <row r="601" spans="1:18" s="23" customFormat="1">
      <c r="A601" s="23" t="s">
        <v>199</v>
      </c>
      <c r="B601" s="23" t="s">
        <v>304</v>
      </c>
      <c r="C601" s="23">
        <v>13</v>
      </c>
      <c r="D601" s="23" t="s">
        <v>194</v>
      </c>
      <c r="E601" s="23">
        <v>663</v>
      </c>
      <c r="F601" s="24">
        <v>9.2999999999999992E-3</v>
      </c>
      <c r="I601" s="24">
        <v>6.3299999999999995E-2</v>
      </c>
      <c r="K601" s="24">
        <v>0.374</v>
      </c>
      <c r="L601" s="24">
        <v>0.24959999999999999</v>
      </c>
      <c r="M601" s="24">
        <v>7.4399999999999994E-2</v>
      </c>
      <c r="N601" s="24">
        <v>9.5600000000000004E-2</v>
      </c>
      <c r="O601" s="24">
        <v>0.71830000000000005</v>
      </c>
      <c r="P601" s="24">
        <v>3.2899999999999999E-2</v>
      </c>
    </row>
    <row r="602" spans="1:18">
      <c r="A602" t="s">
        <v>199</v>
      </c>
      <c r="B602" t="s">
        <v>305</v>
      </c>
      <c r="C602">
        <v>160</v>
      </c>
      <c r="D602" t="s">
        <v>194</v>
      </c>
      <c r="E602">
        <v>663</v>
      </c>
      <c r="F602" s="3">
        <v>6.0100000000000001E-2</v>
      </c>
      <c r="I602" s="3">
        <v>2.47E-2</v>
      </c>
      <c r="J602" s="3">
        <v>9.8400000000000001E-2</v>
      </c>
      <c r="K602" s="3">
        <v>0.24640000000000001</v>
      </c>
      <c r="L602" s="3">
        <v>0.2989</v>
      </c>
      <c r="M602" s="3">
        <v>0.1454</v>
      </c>
      <c r="N602" s="3">
        <v>3.5000000000000003E-2</v>
      </c>
      <c r="O602" s="3">
        <v>0.46960000000000002</v>
      </c>
      <c r="P602" s="3">
        <v>5.8999999999999999E-3</v>
      </c>
      <c r="R602" s="3">
        <v>1.3299999999999999E-2</v>
      </c>
    </row>
    <row r="603" spans="1:18">
      <c r="A603" t="s">
        <v>199</v>
      </c>
      <c r="B603" t="s">
        <v>307</v>
      </c>
      <c r="C603">
        <v>146</v>
      </c>
      <c r="D603" t="s">
        <v>194</v>
      </c>
      <c r="E603">
        <v>663</v>
      </c>
      <c r="F603" s="3">
        <v>0.1065</v>
      </c>
      <c r="H603" s="3">
        <v>4.4999999999999998E-2</v>
      </c>
      <c r="I603" s="3">
        <v>5.2699999999999997E-2</v>
      </c>
      <c r="J603" s="3">
        <v>5.7799999999999997E-2</v>
      </c>
      <c r="K603" s="3">
        <v>0.25729999999999997</v>
      </c>
      <c r="L603" s="3">
        <v>0.30609999999999998</v>
      </c>
      <c r="M603" s="3">
        <v>5.3499999999999999E-2</v>
      </c>
      <c r="N603" s="3">
        <v>4.3799999999999999E-2</v>
      </c>
      <c r="O603" s="3">
        <v>0.49940000000000001</v>
      </c>
      <c r="P603" s="3">
        <v>3.2000000000000002E-3</v>
      </c>
      <c r="R603" s="3">
        <v>9.0999999999999998E-2</v>
      </c>
    </row>
    <row r="604" spans="1:18">
      <c r="A604" t="s">
        <v>200</v>
      </c>
      <c r="B604" t="s">
        <v>200</v>
      </c>
      <c r="C604">
        <v>663</v>
      </c>
      <c r="D604" t="s">
        <v>200</v>
      </c>
      <c r="E604">
        <v>663</v>
      </c>
      <c r="F604" s="3">
        <v>8.7999999999999995E-2</v>
      </c>
      <c r="G604" s="3">
        <v>1.9E-3</v>
      </c>
      <c r="H604" s="3">
        <v>1.11E-2</v>
      </c>
      <c r="I604" s="3">
        <v>5.1900000000000002E-2</v>
      </c>
      <c r="J604" s="3">
        <v>4.65E-2</v>
      </c>
      <c r="K604" s="3">
        <v>0.26910000000000001</v>
      </c>
      <c r="L604" s="3">
        <v>0.24440000000000001</v>
      </c>
      <c r="M604" s="3">
        <v>0.1124</v>
      </c>
      <c r="N604" s="3">
        <v>6.5000000000000002E-2</v>
      </c>
      <c r="O604" s="3">
        <v>0.44319999999999998</v>
      </c>
      <c r="P604" s="3">
        <v>6.7999999999999996E-3</v>
      </c>
      <c r="Q604" s="3">
        <v>2.3999999999999998E-3</v>
      </c>
      <c r="R604" s="3">
        <v>5.1499999999999997E-2</v>
      </c>
    </row>
    <row r="606" spans="1:18" ht="30">
      <c r="A606" s="22" t="s">
        <v>341</v>
      </c>
    </row>
    <row r="607" spans="1:18">
      <c r="A607" t="s">
        <v>185</v>
      </c>
      <c r="B607" t="s">
        <v>186</v>
      </c>
      <c r="C607" t="s">
        <v>192</v>
      </c>
      <c r="D607" t="s">
        <v>184</v>
      </c>
      <c r="E607" t="s">
        <v>193</v>
      </c>
      <c r="F607" t="s">
        <v>342</v>
      </c>
      <c r="G607" t="s">
        <v>343</v>
      </c>
      <c r="H607" t="s">
        <v>344</v>
      </c>
    </row>
    <row r="608" spans="1:18">
      <c r="A608" t="s">
        <v>195</v>
      </c>
      <c r="B608" t="s">
        <v>196</v>
      </c>
      <c r="C608">
        <v>41</v>
      </c>
      <c r="D608" t="s">
        <v>194</v>
      </c>
      <c r="E608">
        <v>221</v>
      </c>
      <c r="F608" s="3">
        <v>5.57E-2</v>
      </c>
      <c r="G608" s="3">
        <v>0.94430000000000003</v>
      </c>
    </row>
    <row r="609" spans="1:8">
      <c r="A609" t="s">
        <v>195</v>
      </c>
      <c r="B609" t="s">
        <v>198</v>
      </c>
      <c r="C609">
        <v>68</v>
      </c>
      <c r="D609" t="s">
        <v>194</v>
      </c>
      <c r="E609">
        <v>221</v>
      </c>
      <c r="G609" s="3">
        <v>0.96560000000000001</v>
      </c>
      <c r="H609" s="3">
        <v>3.44E-2</v>
      </c>
    </row>
    <row r="610" spans="1:8">
      <c r="A610" t="s">
        <v>199</v>
      </c>
      <c r="B610" t="s">
        <v>196</v>
      </c>
      <c r="C610">
        <v>40</v>
      </c>
      <c r="D610" t="s">
        <v>194</v>
      </c>
      <c r="E610">
        <v>221</v>
      </c>
      <c r="G610" s="3">
        <v>0.89259999999999995</v>
      </c>
      <c r="H610" s="3">
        <v>0.1074</v>
      </c>
    </row>
    <row r="611" spans="1:8">
      <c r="A611" t="s">
        <v>199</v>
      </c>
      <c r="B611" t="s">
        <v>198</v>
      </c>
      <c r="C611">
        <v>68</v>
      </c>
      <c r="D611" t="s">
        <v>194</v>
      </c>
      <c r="E611">
        <v>221</v>
      </c>
      <c r="G611" s="3">
        <v>0.91659999999999997</v>
      </c>
      <c r="H611" s="3">
        <v>8.3400000000000002E-2</v>
      </c>
    </row>
    <row r="612" spans="1:8">
      <c r="A612" t="s">
        <v>200</v>
      </c>
      <c r="B612" t="s">
        <v>200</v>
      </c>
      <c r="C612">
        <v>221</v>
      </c>
      <c r="D612" t="s">
        <v>200</v>
      </c>
      <c r="E612">
        <v>221</v>
      </c>
      <c r="F612" s="3">
        <v>5.4999999999999997E-3</v>
      </c>
      <c r="G612" s="3">
        <v>0.93459999999999999</v>
      </c>
      <c r="H612" s="3">
        <v>5.9900000000000002E-2</v>
      </c>
    </row>
    <row r="614" spans="1:8" ht="45">
      <c r="A614" s="22" t="s">
        <v>345</v>
      </c>
    </row>
    <row r="615" spans="1:8">
      <c r="A615" t="s">
        <v>185</v>
      </c>
      <c r="B615" t="s">
        <v>186</v>
      </c>
      <c r="C615" t="s">
        <v>192</v>
      </c>
      <c r="D615" t="s">
        <v>184</v>
      </c>
      <c r="E615" t="s">
        <v>193</v>
      </c>
      <c r="F615" t="s">
        <v>342</v>
      </c>
      <c r="G615" t="s">
        <v>343</v>
      </c>
      <c r="H615" t="s">
        <v>344</v>
      </c>
    </row>
    <row r="616" spans="1:8">
      <c r="A616" t="s">
        <v>195</v>
      </c>
      <c r="B616" t="s">
        <v>202</v>
      </c>
      <c r="C616">
        <v>42</v>
      </c>
      <c r="D616" t="s">
        <v>194</v>
      </c>
      <c r="E616">
        <v>221</v>
      </c>
      <c r="G616" s="3">
        <v>0.95689999999999997</v>
      </c>
      <c r="H616" s="3">
        <v>4.3099999999999999E-2</v>
      </c>
    </row>
    <row r="617" spans="1:8">
      <c r="A617" t="s">
        <v>195</v>
      </c>
      <c r="B617" t="s">
        <v>204</v>
      </c>
      <c r="C617">
        <v>39</v>
      </c>
      <c r="D617" t="s">
        <v>194</v>
      </c>
      <c r="E617">
        <v>221</v>
      </c>
      <c r="F617" s="3">
        <v>4.9299999999999997E-2</v>
      </c>
      <c r="G617" s="3">
        <v>0.95069999999999999</v>
      </c>
    </row>
    <row r="618" spans="1:8" s="23" customFormat="1">
      <c r="A618" s="23" t="s">
        <v>195</v>
      </c>
      <c r="B618" s="23" t="s">
        <v>205</v>
      </c>
      <c r="C618" s="23">
        <v>28</v>
      </c>
      <c r="D618" s="23" t="s">
        <v>194</v>
      </c>
      <c r="E618" s="23">
        <v>221</v>
      </c>
      <c r="G618" s="24">
        <v>1</v>
      </c>
    </row>
    <row r="619" spans="1:8">
      <c r="A619" t="s">
        <v>199</v>
      </c>
      <c r="B619" t="s">
        <v>202</v>
      </c>
      <c r="C619">
        <v>54</v>
      </c>
      <c r="D619" t="s">
        <v>194</v>
      </c>
      <c r="E619">
        <v>221</v>
      </c>
      <c r="G619" s="3">
        <v>0.87139999999999995</v>
      </c>
      <c r="H619" s="3">
        <v>0.12859999999999999</v>
      </c>
    </row>
    <row r="620" spans="1:8">
      <c r="A620" t="s">
        <v>199</v>
      </c>
      <c r="B620" t="s">
        <v>204</v>
      </c>
      <c r="C620">
        <v>35</v>
      </c>
      <c r="D620" t="s">
        <v>194</v>
      </c>
      <c r="E620">
        <v>221</v>
      </c>
      <c r="G620" s="3">
        <v>1</v>
      </c>
    </row>
    <row r="621" spans="1:8" s="23" customFormat="1">
      <c r="A621" s="23" t="s">
        <v>199</v>
      </c>
      <c r="B621" s="23" t="s">
        <v>205</v>
      </c>
      <c r="C621" s="23">
        <v>19</v>
      </c>
      <c r="D621" s="23" t="s">
        <v>194</v>
      </c>
      <c r="E621" s="23">
        <v>221</v>
      </c>
      <c r="G621" s="24">
        <v>1</v>
      </c>
    </row>
    <row r="622" spans="1:8">
      <c r="A622" t="s">
        <v>200</v>
      </c>
      <c r="B622" t="s">
        <v>200</v>
      </c>
      <c r="C622">
        <v>221</v>
      </c>
      <c r="D622" t="s">
        <v>200</v>
      </c>
      <c r="E622">
        <v>221</v>
      </c>
      <c r="F622" s="3">
        <v>5.4999999999999997E-3</v>
      </c>
      <c r="G622" s="3">
        <v>0.93459999999999999</v>
      </c>
      <c r="H622" s="3">
        <v>5.9900000000000002E-2</v>
      </c>
    </row>
    <row r="624" spans="1:8" ht="45">
      <c r="A624" s="22" t="s">
        <v>346</v>
      </c>
    </row>
    <row r="625" spans="1:8">
      <c r="A625" t="s">
        <v>185</v>
      </c>
      <c r="B625" t="s">
        <v>186</v>
      </c>
      <c r="C625" t="s">
        <v>192</v>
      </c>
      <c r="D625" t="s">
        <v>184</v>
      </c>
      <c r="E625" t="s">
        <v>193</v>
      </c>
      <c r="F625" t="s">
        <v>342</v>
      </c>
      <c r="G625" t="s">
        <v>343</v>
      </c>
      <c r="H625" t="s">
        <v>344</v>
      </c>
    </row>
    <row r="626" spans="1:8" s="23" customFormat="1">
      <c r="A626" s="23" t="s">
        <v>195</v>
      </c>
      <c r="B626" s="23" t="s">
        <v>207</v>
      </c>
      <c r="C626" s="23">
        <v>24</v>
      </c>
      <c r="D626" s="23" t="s">
        <v>194</v>
      </c>
      <c r="E626" s="23">
        <v>221</v>
      </c>
      <c r="G626" s="24">
        <v>1</v>
      </c>
    </row>
    <row r="627" spans="1:8">
      <c r="A627" t="s">
        <v>195</v>
      </c>
      <c r="B627" t="s">
        <v>209</v>
      </c>
      <c r="C627">
        <v>87</v>
      </c>
      <c r="D627" t="s">
        <v>194</v>
      </c>
      <c r="E627">
        <v>221</v>
      </c>
      <c r="F627" s="3">
        <v>1.5900000000000001E-2</v>
      </c>
      <c r="G627" s="3">
        <v>0.95</v>
      </c>
      <c r="H627" s="3">
        <v>3.4099999999999998E-2</v>
      </c>
    </row>
    <row r="628" spans="1:8" s="23" customFormat="1">
      <c r="A628" s="23" t="s">
        <v>199</v>
      </c>
      <c r="B628" s="23" t="s">
        <v>207</v>
      </c>
      <c r="C628" s="23">
        <v>8</v>
      </c>
      <c r="D628" s="23" t="s">
        <v>194</v>
      </c>
      <c r="E628" s="23">
        <v>221</v>
      </c>
      <c r="G628" s="24">
        <v>1</v>
      </c>
    </row>
    <row r="629" spans="1:8">
      <c r="A629" t="s">
        <v>199</v>
      </c>
      <c r="B629" t="s">
        <v>209</v>
      </c>
      <c r="C629">
        <v>102</v>
      </c>
      <c r="D629" t="s">
        <v>194</v>
      </c>
      <c r="E629">
        <v>221</v>
      </c>
      <c r="G629" s="3">
        <v>0.91110000000000002</v>
      </c>
      <c r="H629" s="3">
        <v>8.8900000000000007E-2</v>
      </c>
    </row>
    <row r="630" spans="1:8">
      <c r="A630" t="s">
        <v>200</v>
      </c>
      <c r="B630" t="s">
        <v>200</v>
      </c>
      <c r="C630">
        <v>221</v>
      </c>
      <c r="D630" t="s">
        <v>200</v>
      </c>
      <c r="E630">
        <v>221</v>
      </c>
      <c r="F630" s="3">
        <v>5.4999999999999997E-3</v>
      </c>
      <c r="G630" s="3">
        <v>0.93459999999999999</v>
      </c>
      <c r="H630" s="3">
        <v>5.9900000000000002E-2</v>
      </c>
    </row>
    <row r="632" spans="1:8" ht="45">
      <c r="A632" s="22" t="s">
        <v>347</v>
      </c>
    </row>
    <row r="633" spans="1:8">
      <c r="A633" t="s">
        <v>185</v>
      </c>
      <c r="B633" t="s">
        <v>192</v>
      </c>
      <c r="C633" t="s">
        <v>184</v>
      </c>
      <c r="D633" t="s">
        <v>193</v>
      </c>
      <c r="E633" t="s">
        <v>342</v>
      </c>
      <c r="F633" t="s">
        <v>343</v>
      </c>
      <c r="G633" t="s">
        <v>344</v>
      </c>
    </row>
    <row r="634" spans="1:8">
      <c r="A634" t="s">
        <v>195</v>
      </c>
      <c r="B634">
        <v>111</v>
      </c>
      <c r="C634" t="s">
        <v>194</v>
      </c>
      <c r="D634">
        <v>221</v>
      </c>
      <c r="E634" s="3">
        <v>1.24E-2</v>
      </c>
      <c r="F634" s="3">
        <v>0.96089999999999998</v>
      </c>
      <c r="G634" s="3">
        <v>2.6700000000000002E-2</v>
      </c>
    </row>
    <row r="635" spans="1:8">
      <c r="A635" t="s">
        <v>199</v>
      </c>
      <c r="B635">
        <v>110</v>
      </c>
      <c r="C635" t="s">
        <v>194</v>
      </c>
      <c r="D635">
        <v>221</v>
      </c>
      <c r="F635" s="3">
        <v>0.91369999999999996</v>
      </c>
      <c r="G635" s="3">
        <v>8.6300000000000002E-2</v>
      </c>
    </row>
    <row r="636" spans="1:8">
      <c r="A636" t="s">
        <v>200</v>
      </c>
      <c r="B636">
        <v>221</v>
      </c>
      <c r="C636" t="s">
        <v>200</v>
      </c>
      <c r="D636">
        <v>221</v>
      </c>
      <c r="E636" s="3">
        <v>5.4999999999999997E-3</v>
      </c>
      <c r="F636" s="3">
        <v>0.93459999999999999</v>
      </c>
      <c r="G636" s="3">
        <v>5.9900000000000002E-2</v>
      </c>
    </row>
    <row r="638" spans="1:8" ht="30">
      <c r="A638" s="22" t="s">
        <v>348</v>
      </c>
    </row>
    <row r="639" spans="1:8">
      <c r="A639" t="s">
        <v>185</v>
      </c>
      <c r="B639" t="s">
        <v>186</v>
      </c>
      <c r="C639" t="s">
        <v>192</v>
      </c>
      <c r="D639" t="s">
        <v>184</v>
      </c>
      <c r="E639" t="s">
        <v>193</v>
      </c>
      <c r="F639" t="s">
        <v>342</v>
      </c>
      <c r="G639" t="s">
        <v>343</v>
      </c>
      <c r="H639" t="s">
        <v>344</v>
      </c>
    </row>
    <row r="640" spans="1:8">
      <c r="A640" t="s">
        <v>195</v>
      </c>
      <c r="B640" t="s">
        <v>212</v>
      </c>
      <c r="C640">
        <v>66</v>
      </c>
      <c r="D640" t="s">
        <v>194</v>
      </c>
      <c r="E640">
        <v>221</v>
      </c>
      <c r="G640" s="3">
        <v>1</v>
      </c>
    </row>
    <row r="641" spans="1:8">
      <c r="A641" t="s">
        <v>195</v>
      </c>
      <c r="B641" t="s">
        <v>215</v>
      </c>
      <c r="C641">
        <v>45</v>
      </c>
      <c r="D641" t="s">
        <v>194</v>
      </c>
      <c r="E641">
        <v>221</v>
      </c>
      <c r="F641" s="3">
        <v>4.4299999999999999E-2</v>
      </c>
      <c r="G641" s="3">
        <v>0.86060000000000003</v>
      </c>
      <c r="H641" s="3">
        <v>9.5100000000000004E-2</v>
      </c>
    </row>
    <row r="642" spans="1:8">
      <c r="A642" t="s">
        <v>199</v>
      </c>
      <c r="B642" t="s">
        <v>212</v>
      </c>
      <c r="C642">
        <v>79</v>
      </c>
      <c r="D642" t="s">
        <v>194</v>
      </c>
      <c r="E642">
        <v>221</v>
      </c>
      <c r="G642" s="3">
        <v>0.91879999999999995</v>
      </c>
      <c r="H642" s="3">
        <v>8.1199999999999994E-2</v>
      </c>
    </row>
    <row r="643" spans="1:8">
      <c r="A643" t="s">
        <v>199</v>
      </c>
      <c r="B643" t="s">
        <v>215</v>
      </c>
      <c r="C643">
        <v>31</v>
      </c>
      <c r="D643" t="s">
        <v>194</v>
      </c>
      <c r="E643">
        <v>221</v>
      </c>
      <c r="G643" s="3">
        <v>0.87029999999999996</v>
      </c>
      <c r="H643" s="3">
        <v>0.12970000000000001</v>
      </c>
    </row>
    <row r="644" spans="1:8">
      <c r="A644" t="s">
        <v>200</v>
      </c>
      <c r="B644" t="s">
        <v>200</v>
      </c>
      <c r="C644">
        <v>221</v>
      </c>
      <c r="D644" t="s">
        <v>200</v>
      </c>
      <c r="E644">
        <v>221</v>
      </c>
      <c r="F644" s="3">
        <v>5.4999999999999997E-3</v>
      </c>
      <c r="G644" s="3">
        <v>0.93459999999999999</v>
      </c>
      <c r="H644" s="3">
        <v>5.9900000000000002E-2</v>
      </c>
    </row>
    <row r="646" spans="1:8" ht="30">
      <c r="A646" s="22" t="s">
        <v>349</v>
      </c>
    </row>
    <row r="647" spans="1:8">
      <c r="A647" t="s">
        <v>185</v>
      </c>
      <c r="B647" t="s">
        <v>186</v>
      </c>
      <c r="C647" t="s">
        <v>192</v>
      </c>
      <c r="D647" t="s">
        <v>184</v>
      </c>
      <c r="E647" t="s">
        <v>193</v>
      </c>
      <c r="F647" t="s">
        <v>342</v>
      </c>
      <c r="G647" t="s">
        <v>343</v>
      </c>
      <c r="H647" t="s">
        <v>344</v>
      </c>
    </row>
    <row r="648" spans="1:8">
      <c r="A648" t="s">
        <v>195</v>
      </c>
      <c r="B648" t="s">
        <v>217</v>
      </c>
      <c r="C648">
        <v>53</v>
      </c>
      <c r="D648" t="s">
        <v>194</v>
      </c>
      <c r="E648">
        <v>221</v>
      </c>
      <c r="F648" s="3">
        <v>2.9600000000000001E-2</v>
      </c>
      <c r="G648" s="3">
        <v>0.90680000000000005</v>
      </c>
      <c r="H648" s="3">
        <v>6.3600000000000004E-2</v>
      </c>
    </row>
    <row r="649" spans="1:8">
      <c r="A649" t="s">
        <v>195</v>
      </c>
      <c r="B649" t="s">
        <v>219</v>
      </c>
      <c r="C649">
        <v>38</v>
      </c>
      <c r="D649" t="s">
        <v>194</v>
      </c>
      <c r="E649">
        <v>221</v>
      </c>
      <c r="G649" s="3">
        <v>1</v>
      </c>
    </row>
    <row r="650" spans="1:8" s="23" customFormat="1">
      <c r="A650" s="23" t="s">
        <v>195</v>
      </c>
      <c r="B650" s="23" t="s">
        <v>220</v>
      </c>
      <c r="C650" s="23">
        <v>20</v>
      </c>
      <c r="D650" s="23" t="s">
        <v>194</v>
      </c>
      <c r="E650" s="23">
        <v>221</v>
      </c>
      <c r="G650" s="24">
        <v>1</v>
      </c>
    </row>
    <row r="651" spans="1:8">
      <c r="A651" t="s">
        <v>199</v>
      </c>
      <c r="B651" t="s">
        <v>217</v>
      </c>
      <c r="C651">
        <v>76</v>
      </c>
      <c r="D651" t="s">
        <v>194</v>
      </c>
      <c r="E651">
        <v>221</v>
      </c>
      <c r="G651" s="3">
        <v>0.89859999999999995</v>
      </c>
      <c r="H651" s="3">
        <v>0.1014</v>
      </c>
    </row>
    <row r="652" spans="1:8" s="23" customFormat="1">
      <c r="A652" s="23" t="s">
        <v>199</v>
      </c>
      <c r="B652" s="23" t="s">
        <v>219</v>
      </c>
      <c r="C652" s="23">
        <v>18</v>
      </c>
      <c r="D652" s="23" t="s">
        <v>194</v>
      </c>
      <c r="E652" s="23">
        <v>221</v>
      </c>
      <c r="G652" s="24">
        <v>1</v>
      </c>
    </row>
    <row r="653" spans="1:8" s="23" customFormat="1">
      <c r="A653" s="23" t="s">
        <v>199</v>
      </c>
      <c r="B653" s="23" t="s">
        <v>220</v>
      </c>
      <c r="C653" s="23">
        <v>16</v>
      </c>
      <c r="D653" s="23" t="s">
        <v>194</v>
      </c>
      <c r="E653" s="23">
        <v>221</v>
      </c>
      <c r="G653" s="24">
        <v>0.91920000000000002</v>
      </c>
      <c r="H653" s="24">
        <v>8.0799999999999997E-2</v>
      </c>
    </row>
    <row r="654" spans="1:8">
      <c r="A654" t="s">
        <v>200</v>
      </c>
      <c r="B654" t="s">
        <v>200</v>
      </c>
      <c r="C654">
        <v>221</v>
      </c>
      <c r="D654" t="s">
        <v>200</v>
      </c>
      <c r="E654">
        <v>221</v>
      </c>
      <c r="F654" s="3">
        <v>5.4999999999999997E-3</v>
      </c>
      <c r="G654" s="3">
        <v>0.93459999999999999</v>
      </c>
      <c r="H654" s="3">
        <v>5.9900000000000002E-2</v>
      </c>
    </row>
    <row r="656" spans="1:8" ht="45">
      <c r="A656" s="22" t="s">
        <v>350</v>
      </c>
    </row>
    <row r="657" spans="1:9">
      <c r="A657" t="s">
        <v>185</v>
      </c>
      <c r="B657" t="s">
        <v>186</v>
      </c>
      <c r="C657" t="s">
        <v>192</v>
      </c>
      <c r="D657" t="s">
        <v>184</v>
      </c>
      <c r="E657" t="s">
        <v>193</v>
      </c>
      <c r="F657" t="s">
        <v>342</v>
      </c>
      <c r="G657" t="s">
        <v>343</v>
      </c>
      <c r="H657" t="s">
        <v>344</v>
      </c>
    </row>
    <row r="658" spans="1:9">
      <c r="A658" t="s">
        <v>195</v>
      </c>
      <c r="B658" t="s">
        <v>351</v>
      </c>
      <c r="C658">
        <v>51</v>
      </c>
      <c r="D658" t="s">
        <v>194</v>
      </c>
      <c r="E658">
        <v>221</v>
      </c>
      <c r="F658" s="3">
        <v>2.7199999999999998E-2</v>
      </c>
      <c r="G658" s="3">
        <v>0.9143</v>
      </c>
      <c r="H658" s="3">
        <v>5.8500000000000003E-2</v>
      </c>
    </row>
    <row r="659" spans="1:9" s="23" customFormat="1">
      <c r="A659" s="23" t="s">
        <v>195</v>
      </c>
      <c r="B659" s="23" t="s">
        <v>352</v>
      </c>
      <c r="C659" s="23">
        <v>23</v>
      </c>
      <c r="D659" s="23" t="s">
        <v>194</v>
      </c>
      <c r="E659" s="23">
        <v>221</v>
      </c>
      <c r="G659" s="24">
        <v>1</v>
      </c>
    </row>
    <row r="660" spans="1:9" s="23" customFormat="1">
      <c r="A660" s="23" t="s">
        <v>195</v>
      </c>
      <c r="B660" s="23" t="s">
        <v>353</v>
      </c>
      <c r="C660" s="23">
        <v>20</v>
      </c>
      <c r="D660" s="23" t="s">
        <v>194</v>
      </c>
      <c r="E660" s="23">
        <v>221</v>
      </c>
      <c r="G660" s="24">
        <v>1</v>
      </c>
    </row>
    <row r="661" spans="1:9" s="23" customFormat="1">
      <c r="A661" s="23" t="s">
        <v>195</v>
      </c>
      <c r="B661" s="23" t="s">
        <v>354</v>
      </c>
      <c r="C661" s="23">
        <v>12</v>
      </c>
      <c r="D661" s="23" t="s">
        <v>194</v>
      </c>
      <c r="E661" s="23">
        <v>221</v>
      </c>
      <c r="G661" s="24">
        <v>1</v>
      </c>
    </row>
    <row r="662" spans="1:9">
      <c r="A662" t="s">
        <v>199</v>
      </c>
      <c r="B662" t="s">
        <v>351</v>
      </c>
      <c r="C662">
        <v>37</v>
      </c>
      <c r="D662" t="s">
        <v>194</v>
      </c>
      <c r="E662">
        <v>221</v>
      </c>
      <c r="G662" s="3">
        <v>1</v>
      </c>
    </row>
    <row r="663" spans="1:9" s="23" customFormat="1">
      <c r="A663" s="23" t="s">
        <v>199</v>
      </c>
      <c r="B663" s="23" t="s">
        <v>352</v>
      </c>
      <c r="C663" s="23">
        <v>16</v>
      </c>
      <c r="D663" s="23" t="s">
        <v>194</v>
      </c>
      <c r="E663" s="23">
        <v>221</v>
      </c>
      <c r="G663" s="24">
        <v>0.90580000000000005</v>
      </c>
      <c r="H663" s="24">
        <v>9.4200000000000006E-2</v>
      </c>
    </row>
    <row r="664" spans="1:9">
      <c r="A664" t="s">
        <v>199</v>
      </c>
      <c r="B664" t="s">
        <v>353</v>
      </c>
      <c r="C664">
        <v>34</v>
      </c>
      <c r="D664" t="s">
        <v>194</v>
      </c>
      <c r="E664">
        <v>221</v>
      </c>
      <c r="G664" s="3">
        <v>0.96970000000000001</v>
      </c>
      <c r="H664" s="3">
        <v>3.0300000000000001E-2</v>
      </c>
    </row>
    <row r="665" spans="1:9" s="23" customFormat="1">
      <c r="A665" s="23" t="s">
        <v>199</v>
      </c>
      <c r="B665" s="23" t="s">
        <v>354</v>
      </c>
      <c r="C665" s="23">
        <v>13</v>
      </c>
      <c r="D665" s="23" t="s">
        <v>194</v>
      </c>
      <c r="E665" s="23">
        <v>221</v>
      </c>
      <c r="G665" s="24">
        <v>0.71519999999999995</v>
      </c>
      <c r="H665" s="24">
        <v>0.2848</v>
      </c>
    </row>
    <row r="666" spans="1:9">
      <c r="A666" t="s">
        <v>200</v>
      </c>
      <c r="B666" t="s">
        <v>200</v>
      </c>
      <c r="C666">
        <v>221</v>
      </c>
      <c r="D666" t="s">
        <v>200</v>
      </c>
      <c r="E666">
        <v>221</v>
      </c>
      <c r="F666" s="3">
        <v>5.4999999999999997E-3</v>
      </c>
      <c r="G666" s="3">
        <v>0.93459999999999999</v>
      </c>
      <c r="H666" s="3">
        <v>5.9900000000000002E-2</v>
      </c>
    </row>
    <row r="668" spans="1:9" ht="60">
      <c r="A668" s="22" t="s">
        <v>355</v>
      </c>
    </row>
    <row r="669" spans="1:9">
      <c r="A669" t="s">
        <v>185</v>
      </c>
      <c r="B669" t="s">
        <v>186</v>
      </c>
      <c r="C669" t="s">
        <v>192</v>
      </c>
      <c r="D669" t="s">
        <v>184</v>
      </c>
      <c r="E669" t="s">
        <v>193</v>
      </c>
      <c r="F669" t="s">
        <v>257</v>
      </c>
      <c r="G669" t="s">
        <v>226</v>
      </c>
      <c r="H669" t="s">
        <v>247</v>
      </c>
      <c r="I669" t="s">
        <v>227</v>
      </c>
    </row>
    <row r="670" spans="1:9">
      <c r="A670" t="s">
        <v>195</v>
      </c>
      <c r="B670" t="s">
        <v>356</v>
      </c>
      <c r="C670">
        <v>221</v>
      </c>
      <c r="D670" t="s">
        <v>194</v>
      </c>
      <c r="E670">
        <v>7547</v>
      </c>
      <c r="G670" s="3">
        <v>0.58430000000000004</v>
      </c>
      <c r="I670" s="3">
        <v>0.41570000000000001</v>
      </c>
    </row>
    <row r="671" spans="1:9">
      <c r="A671" t="s">
        <v>199</v>
      </c>
      <c r="B671" t="s">
        <v>357</v>
      </c>
      <c r="C671">
        <v>222</v>
      </c>
      <c r="D671" t="s">
        <v>194</v>
      </c>
      <c r="E671">
        <v>7547</v>
      </c>
      <c r="F671" s="3">
        <v>1.2999999999999999E-2</v>
      </c>
      <c r="G671" s="3">
        <v>0.51219999999999999</v>
      </c>
      <c r="H671" s="3">
        <v>5.4000000000000003E-3</v>
      </c>
      <c r="I671" s="3">
        <v>0.46929999999999999</v>
      </c>
    </row>
    <row r="672" spans="1:9">
      <c r="A672" t="s">
        <v>199</v>
      </c>
      <c r="B672" t="s">
        <v>358</v>
      </c>
      <c r="C672">
        <v>249</v>
      </c>
      <c r="D672" t="s">
        <v>194</v>
      </c>
      <c r="E672">
        <v>7547</v>
      </c>
      <c r="F672" s="3">
        <v>1.8599999999999998E-2</v>
      </c>
      <c r="G672" s="3">
        <v>0.59409999999999996</v>
      </c>
      <c r="I672" s="3">
        <v>0.38740000000000002</v>
      </c>
    </row>
    <row r="673" spans="1:9">
      <c r="A673" t="s">
        <v>199</v>
      </c>
      <c r="B673" t="s">
        <v>359</v>
      </c>
      <c r="C673">
        <v>316</v>
      </c>
      <c r="D673" t="s">
        <v>194</v>
      </c>
      <c r="E673">
        <v>7547</v>
      </c>
      <c r="G673" s="3">
        <v>0.39729999999999999</v>
      </c>
      <c r="I673" s="3">
        <v>0.60270000000000001</v>
      </c>
    </row>
    <row r="674" spans="1:9">
      <c r="A674" t="s">
        <v>199</v>
      </c>
      <c r="B674" t="s">
        <v>360</v>
      </c>
      <c r="C674">
        <v>333</v>
      </c>
      <c r="D674" t="s">
        <v>194</v>
      </c>
      <c r="E674">
        <v>7547</v>
      </c>
      <c r="F674" s="3">
        <v>1.6000000000000001E-3</v>
      </c>
      <c r="G674" s="3">
        <v>0.64319999999999999</v>
      </c>
      <c r="H674" s="3">
        <v>6.8999999999999999E-3</v>
      </c>
      <c r="I674" s="3">
        <v>0.34839999999999999</v>
      </c>
    </row>
    <row r="675" spans="1:9">
      <c r="A675" t="s">
        <v>199</v>
      </c>
      <c r="B675" t="s">
        <v>361</v>
      </c>
      <c r="C675">
        <v>416</v>
      </c>
      <c r="D675" t="s">
        <v>194</v>
      </c>
      <c r="E675">
        <v>7547</v>
      </c>
      <c r="F675" s="3">
        <v>5.0000000000000001E-4</v>
      </c>
      <c r="G675" s="3">
        <v>0.6764</v>
      </c>
      <c r="H675" s="3">
        <v>2.5999999999999999E-3</v>
      </c>
      <c r="I675" s="3">
        <v>0.32050000000000001</v>
      </c>
    </row>
    <row r="676" spans="1:9">
      <c r="A676" t="s">
        <v>199</v>
      </c>
      <c r="B676" t="s">
        <v>362</v>
      </c>
      <c r="C676">
        <v>502</v>
      </c>
      <c r="D676" t="s">
        <v>194</v>
      </c>
      <c r="E676">
        <v>7547</v>
      </c>
      <c r="G676" s="3">
        <v>0.65439999999999998</v>
      </c>
      <c r="I676" s="3">
        <v>0.34560000000000002</v>
      </c>
    </row>
    <row r="677" spans="1:9">
      <c r="A677" t="s">
        <v>199</v>
      </c>
      <c r="B677" t="s">
        <v>363</v>
      </c>
      <c r="C677">
        <v>317</v>
      </c>
      <c r="D677" t="s">
        <v>194</v>
      </c>
      <c r="E677">
        <v>7547</v>
      </c>
      <c r="F677" s="3">
        <v>8.0000000000000004E-4</v>
      </c>
      <c r="G677" s="3">
        <v>0.66490000000000005</v>
      </c>
      <c r="I677" s="3">
        <v>0.33439999999999998</v>
      </c>
    </row>
    <row r="678" spans="1:9">
      <c r="A678" t="s">
        <v>199</v>
      </c>
      <c r="B678" t="s">
        <v>364</v>
      </c>
      <c r="C678">
        <v>166</v>
      </c>
      <c r="D678" t="s">
        <v>194</v>
      </c>
      <c r="E678">
        <v>7547</v>
      </c>
      <c r="F678" s="3">
        <v>5.4999999999999997E-3</v>
      </c>
      <c r="G678" s="3">
        <v>0.70179999999999998</v>
      </c>
      <c r="I678" s="3">
        <v>0.29260000000000003</v>
      </c>
    </row>
    <row r="679" spans="1:9">
      <c r="A679" t="s">
        <v>199</v>
      </c>
      <c r="B679" t="s">
        <v>365</v>
      </c>
      <c r="C679">
        <v>233</v>
      </c>
      <c r="D679" t="s">
        <v>194</v>
      </c>
      <c r="E679">
        <v>7547</v>
      </c>
      <c r="G679" s="3">
        <v>0.74570000000000003</v>
      </c>
      <c r="I679" s="3">
        <v>0.25430000000000003</v>
      </c>
    </row>
    <row r="680" spans="1:9">
      <c r="A680" t="s">
        <v>199</v>
      </c>
      <c r="B680" t="s">
        <v>285</v>
      </c>
      <c r="C680">
        <v>201</v>
      </c>
      <c r="D680" t="s">
        <v>194</v>
      </c>
      <c r="E680">
        <v>7547</v>
      </c>
      <c r="G680" s="3">
        <v>0.72689999999999999</v>
      </c>
      <c r="I680" s="3">
        <v>0.27310000000000001</v>
      </c>
    </row>
    <row r="681" spans="1:9">
      <c r="A681" t="s">
        <v>199</v>
      </c>
      <c r="B681" t="s">
        <v>366</v>
      </c>
      <c r="C681">
        <v>422</v>
      </c>
      <c r="D681" t="s">
        <v>194</v>
      </c>
      <c r="E681">
        <v>7547</v>
      </c>
      <c r="G681" s="3">
        <v>0.57979999999999998</v>
      </c>
      <c r="I681" s="3">
        <v>0.42020000000000002</v>
      </c>
    </row>
    <row r="682" spans="1:9">
      <c r="A682" t="s">
        <v>199</v>
      </c>
      <c r="B682" t="s">
        <v>289</v>
      </c>
      <c r="C682">
        <v>611</v>
      </c>
      <c r="D682" t="s">
        <v>194</v>
      </c>
      <c r="E682">
        <v>7547</v>
      </c>
      <c r="F682" s="3">
        <v>2.9999999999999997E-4</v>
      </c>
      <c r="G682" s="3">
        <v>0.3458</v>
      </c>
      <c r="I682" s="3">
        <v>0.65390000000000004</v>
      </c>
    </row>
    <row r="683" spans="1:9">
      <c r="A683" t="s">
        <v>199</v>
      </c>
      <c r="B683" t="s">
        <v>356</v>
      </c>
      <c r="C683">
        <v>226</v>
      </c>
      <c r="D683" t="s">
        <v>194</v>
      </c>
      <c r="E683">
        <v>7547</v>
      </c>
      <c r="G683" s="3">
        <v>0.38919999999999999</v>
      </c>
      <c r="I683" s="3">
        <v>0.61080000000000001</v>
      </c>
    </row>
    <row r="684" spans="1:9">
      <c r="A684" t="s">
        <v>195</v>
      </c>
      <c r="B684" t="s">
        <v>357</v>
      </c>
      <c r="C684">
        <v>173</v>
      </c>
      <c r="D684" t="s">
        <v>194</v>
      </c>
      <c r="E684">
        <v>7547</v>
      </c>
      <c r="G684" s="3">
        <v>0.41930000000000001</v>
      </c>
      <c r="I684" s="3">
        <v>0.58069999999999999</v>
      </c>
    </row>
    <row r="685" spans="1:9">
      <c r="A685" t="s">
        <v>195</v>
      </c>
      <c r="B685" t="s">
        <v>358</v>
      </c>
      <c r="C685">
        <v>171</v>
      </c>
      <c r="D685" t="s">
        <v>194</v>
      </c>
      <c r="E685">
        <v>7547</v>
      </c>
      <c r="G685" s="3">
        <v>0.41789999999999999</v>
      </c>
      <c r="I685" s="3">
        <v>0.58209999999999995</v>
      </c>
    </row>
    <row r="686" spans="1:9">
      <c r="A686" t="s">
        <v>195</v>
      </c>
      <c r="B686" t="s">
        <v>359</v>
      </c>
      <c r="C686">
        <v>285</v>
      </c>
      <c r="D686" t="s">
        <v>194</v>
      </c>
      <c r="E686">
        <v>7547</v>
      </c>
      <c r="G686" s="3">
        <v>0.52380000000000004</v>
      </c>
      <c r="I686" s="3">
        <v>0.47620000000000001</v>
      </c>
    </row>
    <row r="687" spans="1:9">
      <c r="A687" t="s">
        <v>195</v>
      </c>
      <c r="B687" t="s">
        <v>360</v>
      </c>
      <c r="C687">
        <v>223</v>
      </c>
      <c r="D687" t="s">
        <v>194</v>
      </c>
      <c r="E687">
        <v>7547</v>
      </c>
      <c r="G687" s="3">
        <v>0.55279999999999996</v>
      </c>
      <c r="H687" s="3">
        <v>1.1599999999999999E-2</v>
      </c>
      <c r="I687" s="3">
        <v>0.43559999999999999</v>
      </c>
    </row>
    <row r="688" spans="1:9">
      <c r="A688" t="s">
        <v>195</v>
      </c>
      <c r="B688" t="s">
        <v>361</v>
      </c>
      <c r="C688">
        <v>266</v>
      </c>
      <c r="D688" t="s">
        <v>194</v>
      </c>
      <c r="E688">
        <v>7547</v>
      </c>
      <c r="F688" s="3">
        <v>1.09E-2</v>
      </c>
      <c r="G688" s="3">
        <v>0.61429999999999996</v>
      </c>
      <c r="H688" s="3">
        <v>5.5999999999999999E-3</v>
      </c>
      <c r="I688" s="3">
        <v>0.36919999999999997</v>
      </c>
    </row>
    <row r="689" spans="1:10">
      <c r="A689" t="s">
        <v>195</v>
      </c>
      <c r="B689" t="s">
        <v>362</v>
      </c>
      <c r="C689">
        <v>300</v>
      </c>
      <c r="D689" t="s">
        <v>194</v>
      </c>
      <c r="E689">
        <v>7547</v>
      </c>
      <c r="G689" s="3">
        <v>0.71309999999999996</v>
      </c>
      <c r="I689" s="3">
        <v>0.28689999999999999</v>
      </c>
    </row>
    <row r="690" spans="1:10">
      <c r="A690" t="s">
        <v>195</v>
      </c>
      <c r="B690" t="s">
        <v>363</v>
      </c>
      <c r="C690">
        <v>243</v>
      </c>
      <c r="D690" t="s">
        <v>194</v>
      </c>
      <c r="E690">
        <v>7547</v>
      </c>
      <c r="F690" s="3">
        <v>4.1000000000000003E-3</v>
      </c>
      <c r="G690" s="3">
        <v>0.68340000000000001</v>
      </c>
      <c r="I690" s="3">
        <v>0.3125</v>
      </c>
    </row>
    <row r="691" spans="1:10">
      <c r="A691" t="s">
        <v>195</v>
      </c>
      <c r="B691" t="s">
        <v>364</v>
      </c>
      <c r="C691">
        <v>163</v>
      </c>
      <c r="D691" t="s">
        <v>194</v>
      </c>
      <c r="E691">
        <v>7547</v>
      </c>
      <c r="G691" s="3">
        <v>0.74490000000000001</v>
      </c>
      <c r="I691" s="3">
        <v>0.25509999999999999</v>
      </c>
    </row>
    <row r="692" spans="1:10">
      <c r="A692" t="s">
        <v>195</v>
      </c>
      <c r="B692" t="s">
        <v>365</v>
      </c>
      <c r="C692">
        <v>189</v>
      </c>
      <c r="D692" t="s">
        <v>194</v>
      </c>
      <c r="E692">
        <v>7547</v>
      </c>
      <c r="F692" s="3">
        <v>2E-3</v>
      </c>
      <c r="G692" s="3">
        <v>0.72489999999999999</v>
      </c>
      <c r="I692" s="3">
        <v>0.27310000000000001</v>
      </c>
    </row>
    <row r="693" spans="1:10">
      <c r="A693" t="s">
        <v>195</v>
      </c>
      <c r="B693" t="s">
        <v>285</v>
      </c>
      <c r="C693">
        <v>164</v>
      </c>
      <c r="D693" t="s">
        <v>194</v>
      </c>
      <c r="E693">
        <v>7547</v>
      </c>
      <c r="G693" s="3">
        <v>0.62129999999999996</v>
      </c>
      <c r="H693" s="3">
        <v>4.5999999999999999E-3</v>
      </c>
      <c r="I693" s="3">
        <v>0.37409999999999999</v>
      </c>
    </row>
    <row r="694" spans="1:10">
      <c r="A694" t="s">
        <v>195</v>
      </c>
      <c r="B694" t="s">
        <v>366</v>
      </c>
      <c r="C694">
        <v>323</v>
      </c>
      <c r="D694" t="s">
        <v>194</v>
      </c>
      <c r="E694">
        <v>7547</v>
      </c>
      <c r="F694" s="3">
        <v>2.7000000000000001E-3</v>
      </c>
      <c r="G694" s="3">
        <v>0.65510000000000002</v>
      </c>
      <c r="I694" s="3">
        <v>0.3422</v>
      </c>
    </row>
    <row r="695" spans="1:10">
      <c r="A695" t="s">
        <v>195</v>
      </c>
      <c r="B695" t="s">
        <v>289</v>
      </c>
      <c r="C695">
        <v>612</v>
      </c>
      <c r="D695" t="s">
        <v>194</v>
      </c>
      <c r="E695">
        <v>7547</v>
      </c>
      <c r="F695" s="3">
        <v>2.3E-3</v>
      </c>
      <c r="G695" s="3">
        <v>0.32050000000000001</v>
      </c>
      <c r="I695" s="3">
        <v>0.67720000000000002</v>
      </c>
    </row>
    <row r="696" spans="1:10">
      <c r="A696" t="s">
        <v>200</v>
      </c>
      <c r="B696" t="s">
        <v>200</v>
      </c>
      <c r="C696">
        <v>7547</v>
      </c>
      <c r="D696" t="s">
        <v>200</v>
      </c>
      <c r="E696">
        <v>7547</v>
      </c>
      <c r="F696" s="3">
        <v>2.0999999999999999E-3</v>
      </c>
      <c r="G696" s="3">
        <v>0.56720000000000004</v>
      </c>
      <c r="H696" s="3">
        <v>1.1000000000000001E-3</v>
      </c>
      <c r="I696" s="3">
        <v>0.42970000000000003</v>
      </c>
    </row>
    <row r="698" spans="1:10" ht="60">
      <c r="A698" s="22" t="s">
        <v>367</v>
      </c>
    </row>
    <row r="699" spans="1:10">
      <c r="A699" t="s">
        <v>185</v>
      </c>
      <c r="B699" t="s">
        <v>291</v>
      </c>
      <c r="C699" t="s">
        <v>186</v>
      </c>
      <c r="D699" t="s">
        <v>192</v>
      </c>
      <c r="E699" t="s">
        <v>184</v>
      </c>
      <c r="F699" t="s">
        <v>193</v>
      </c>
      <c r="G699" t="s">
        <v>257</v>
      </c>
      <c r="H699" t="s">
        <v>226</v>
      </c>
      <c r="I699" t="s">
        <v>247</v>
      </c>
      <c r="J699" t="s">
        <v>227</v>
      </c>
    </row>
    <row r="700" spans="1:10">
      <c r="A700" t="s">
        <v>195</v>
      </c>
      <c r="B700" t="s">
        <v>356</v>
      </c>
      <c r="C700" t="s">
        <v>292</v>
      </c>
      <c r="D700">
        <v>107</v>
      </c>
      <c r="E700" t="s">
        <v>194</v>
      </c>
      <c r="F700">
        <v>7547</v>
      </c>
      <c r="H700" s="3">
        <v>0.5887</v>
      </c>
      <c r="J700" s="3">
        <v>0.4113</v>
      </c>
    </row>
    <row r="701" spans="1:10">
      <c r="A701" t="s">
        <v>199</v>
      </c>
      <c r="B701" t="s">
        <v>366</v>
      </c>
      <c r="C701" t="s">
        <v>292</v>
      </c>
      <c r="D701">
        <v>218</v>
      </c>
      <c r="E701" t="s">
        <v>194</v>
      </c>
      <c r="F701">
        <v>7547</v>
      </c>
      <c r="H701" s="3">
        <v>0.5907</v>
      </c>
      <c r="J701" s="3">
        <v>0.4093</v>
      </c>
    </row>
    <row r="702" spans="1:10">
      <c r="A702" t="s">
        <v>199</v>
      </c>
      <c r="B702" t="s">
        <v>366</v>
      </c>
      <c r="C702" t="s">
        <v>293</v>
      </c>
      <c r="D702">
        <v>204</v>
      </c>
      <c r="E702" t="s">
        <v>194</v>
      </c>
      <c r="F702">
        <v>7547</v>
      </c>
      <c r="H702" s="3">
        <v>0.56389999999999996</v>
      </c>
      <c r="J702" s="3">
        <v>0.43609999999999999</v>
      </c>
    </row>
    <row r="703" spans="1:10">
      <c r="A703" t="s">
        <v>199</v>
      </c>
      <c r="B703" t="s">
        <v>285</v>
      </c>
      <c r="C703" t="s">
        <v>292</v>
      </c>
      <c r="D703">
        <v>107</v>
      </c>
      <c r="E703" t="s">
        <v>194</v>
      </c>
      <c r="F703">
        <v>7547</v>
      </c>
      <c r="H703" s="3">
        <v>0.84940000000000004</v>
      </c>
      <c r="J703" s="3">
        <v>0.15060000000000001</v>
      </c>
    </row>
    <row r="704" spans="1:10">
      <c r="A704" t="s">
        <v>199</v>
      </c>
      <c r="B704" t="s">
        <v>285</v>
      </c>
      <c r="C704" t="s">
        <v>293</v>
      </c>
      <c r="D704">
        <v>94</v>
      </c>
      <c r="E704" t="s">
        <v>194</v>
      </c>
      <c r="F704">
        <v>7547</v>
      </c>
      <c r="H704" s="3">
        <v>0.55130000000000001</v>
      </c>
      <c r="J704" s="3">
        <v>0.44869999999999999</v>
      </c>
    </row>
    <row r="705" spans="1:10">
      <c r="A705" t="s">
        <v>199</v>
      </c>
      <c r="B705" t="s">
        <v>365</v>
      </c>
      <c r="C705" t="s">
        <v>292</v>
      </c>
      <c r="D705">
        <v>111</v>
      </c>
      <c r="E705" t="s">
        <v>194</v>
      </c>
      <c r="F705">
        <v>7547</v>
      </c>
      <c r="H705" s="3">
        <v>0.72970000000000002</v>
      </c>
      <c r="J705" s="3">
        <v>0.27029999999999998</v>
      </c>
    </row>
    <row r="706" spans="1:10">
      <c r="A706" t="s">
        <v>199</v>
      </c>
      <c r="B706" t="s">
        <v>365</v>
      </c>
      <c r="C706" t="s">
        <v>293</v>
      </c>
      <c r="D706">
        <v>122</v>
      </c>
      <c r="E706" t="s">
        <v>194</v>
      </c>
      <c r="F706">
        <v>7547</v>
      </c>
      <c r="H706" s="3">
        <v>0.75790000000000002</v>
      </c>
      <c r="J706" s="3">
        <v>0.24210000000000001</v>
      </c>
    </row>
    <row r="707" spans="1:10">
      <c r="A707" t="s">
        <v>199</v>
      </c>
      <c r="B707" t="s">
        <v>364</v>
      </c>
      <c r="C707" t="s">
        <v>292</v>
      </c>
      <c r="D707">
        <v>47</v>
      </c>
      <c r="E707" t="s">
        <v>194</v>
      </c>
      <c r="F707">
        <v>7547</v>
      </c>
      <c r="H707" s="3">
        <v>0.78290000000000004</v>
      </c>
      <c r="J707" s="3">
        <v>0.21709999999999999</v>
      </c>
    </row>
    <row r="708" spans="1:10">
      <c r="A708" t="s">
        <v>199</v>
      </c>
      <c r="B708" t="s">
        <v>364</v>
      </c>
      <c r="C708" t="s">
        <v>293</v>
      </c>
      <c r="D708">
        <v>119</v>
      </c>
      <c r="E708" t="s">
        <v>194</v>
      </c>
      <c r="F708">
        <v>7547</v>
      </c>
      <c r="G708" s="3">
        <v>7.7000000000000002E-3</v>
      </c>
      <c r="H708" s="3">
        <v>0.6694</v>
      </c>
      <c r="J708" s="3">
        <v>0.32290000000000002</v>
      </c>
    </row>
    <row r="709" spans="1:10">
      <c r="A709" t="s">
        <v>199</v>
      </c>
      <c r="B709" t="s">
        <v>363</v>
      </c>
      <c r="C709" t="s">
        <v>292</v>
      </c>
      <c r="D709">
        <v>114</v>
      </c>
      <c r="E709" t="s">
        <v>194</v>
      </c>
      <c r="F709">
        <v>7547</v>
      </c>
      <c r="G709" s="3">
        <v>1.5E-3</v>
      </c>
      <c r="H709" s="3">
        <v>0.67820000000000003</v>
      </c>
      <c r="J709" s="3">
        <v>0.32029999999999997</v>
      </c>
    </row>
    <row r="710" spans="1:10">
      <c r="A710" t="s">
        <v>199</v>
      </c>
      <c r="B710" t="s">
        <v>363</v>
      </c>
      <c r="C710" t="s">
        <v>293</v>
      </c>
      <c r="D710">
        <v>203</v>
      </c>
      <c r="E710" t="s">
        <v>194</v>
      </c>
      <c r="F710">
        <v>7547</v>
      </c>
      <c r="G710" s="3">
        <v>2.9999999999999997E-4</v>
      </c>
      <c r="H710" s="3">
        <v>0.65749999999999997</v>
      </c>
      <c r="J710" s="3">
        <v>0.3422</v>
      </c>
    </row>
    <row r="711" spans="1:10">
      <c r="A711" t="s">
        <v>199</v>
      </c>
      <c r="B711" t="s">
        <v>362</v>
      </c>
      <c r="C711" t="s">
        <v>292</v>
      </c>
      <c r="D711">
        <v>210</v>
      </c>
      <c r="E711" t="s">
        <v>194</v>
      </c>
      <c r="F711">
        <v>7547</v>
      </c>
      <c r="H711" s="3">
        <v>0.69169999999999998</v>
      </c>
      <c r="J711" s="3">
        <v>0.30830000000000002</v>
      </c>
    </row>
    <row r="712" spans="1:10">
      <c r="A712" t="s">
        <v>199</v>
      </c>
      <c r="B712" t="s">
        <v>362</v>
      </c>
      <c r="C712" t="s">
        <v>293</v>
      </c>
      <c r="D712">
        <v>292</v>
      </c>
      <c r="E712" t="s">
        <v>194</v>
      </c>
      <c r="F712">
        <v>7547</v>
      </c>
      <c r="H712" s="3">
        <v>0.62570000000000003</v>
      </c>
      <c r="J712" s="3">
        <v>0.37430000000000002</v>
      </c>
    </row>
    <row r="713" spans="1:10">
      <c r="A713" t="s">
        <v>199</v>
      </c>
      <c r="B713" t="s">
        <v>361</v>
      </c>
      <c r="C713" t="s">
        <v>292</v>
      </c>
      <c r="D713">
        <v>177</v>
      </c>
      <c r="E713" t="s">
        <v>194</v>
      </c>
      <c r="F713">
        <v>7547</v>
      </c>
      <c r="H713" s="3">
        <v>0.70799999999999996</v>
      </c>
      <c r="I713" s="3">
        <v>1E-3</v>
      </c>
      <c r="J713" s="3">
        <v>0.29099999999999998</v>
      </c>
    </row>
    <row r="714" spans="1:10">
      <c r="A714" t="s">
        <v>199</v>
      </c>
      <c r="B714" t="s">
        <v>361</v>
      </c>
      <c r="C714" t="s">
        <v>293</v>
      </c>
      <c r="D714">
        <v>239</v>
      </c>
      <c r="E714" t="s">
        <v>194</v>
      </c>
      <c r="F714">
        <v>7547</v>
      </c>
      <c r="G714" s="3">
        <v>8.9999999999999998E-4</v>
      </c>
      <c r="H714" s="3">
        <v>0.64900000000000002</v>
      </c>
      <c r="I714" s="3">
        <v>3.8999999999999998E-3</v>
      </c>
      <c r="J714" s="3">
        <v>0.34610000000000002</v>
      </c>
    </row>
    <row r="715" spans="1:10">
      <c r="A715" t="s">
        <v>199</v>
      </c>
      <c r="B715" t="s">
        <v>360</v>
      </c>
      <c r="C715" t="s">
        <v>292</v>
      </c>
      <c r="D715">
        <v>151</v>
      </c>
      <c r="E715" t="s">
        <v>194</v>
      </c>
      <c r="F715">
        <v>7547</v>
      </c>
      <c r="H715" s="3">
        <v>0.60050000000000003</v>
      </c>
      <c r="I715" s="3">
        <v>1.2200000000000001E-2</v>
      </c>
      <c r="J715" s="3">
        <v>0.38719999999999999</v>
      </c>
    </row>
    <row r="716" spans="1:10">
      <c r="A716" t="s">
        <v>199</v>
      </c>
      <c r="B716" t="s">
        <v>360</v>
      </c>
      <c r="C716" t="s">
        <v>293</v>
      </c>
      <c r="D716">
        <v>182</v>
      </c>
      <c r="E716" t="s">
        <v>194</v>
      </c>
      <c r="F716">
        <v>7547</v>
      </c>
      <c r="G716" s="3">
        <v>3.3E-3</v>
      </c>
      <c r="H716" s="3">
        <v>0.6875</v>
      </c>
      <c r="I716" s="3">
        <v>1.2999999999999999E-3</v>
      </c>
      <c r="J716" s="3">
        <v>0.308</v>
      </c>
    </row>
    <row r="717" spans="1:10">
      <c r="A717" t="s">
        <v>199</v>
      </c>
      <c r="B717" t="s">
        <v>359</v>
      </c>
      <c r="C717" t="s">
        <v>292</v>
      </c>
      <c r="D717">
        <v>142</v>
      </c>
      <c r="E717" t="s">
        <v>194</v>
      </c>
      <c r="F717">
        <v>7547</v>
      </c>
      <c r="H717" s="3">
        <v>0.4254</v>
      </c>
      <c r="J717" s="3">
        <v>0.5746</v>
      </c>
    </row>
    <row r="718" spans="1:10">
      <c r="A718" t="s">
        <v>199</v>
      </c>
      <c r="B718" t="s">
        <v>359</v>
      </c>
      <c r="C718" t="s">
        <v>293</v>
      </c>
      <c r="D718">
        <v>174</v>
      </c>
      <c r="E718" t="s">
        <v>194</v>
      </c>
      <c r="F718">
        <v>7547</v>
      </c>
      <c r="H718" s="3">
        <v>0.37180000000000002</v>
      </c>
      <c r="J718" s="3">
        <v>0.62819999999999998</v>
      </c>
    </row>
    <row r="719" spans="1:10">
      <c r="A719" t="s">
        <v>199</v>
      </c>
      <c r="B719" t="s">
        <v>358</v>
      </c>
      <c r="C719" t="s">
        <v>292</v>
      </c>
      <c r="D719">
        <v>117</v>
      </c>
      <c r="E719" t="s">
        <v>194</v>
      </c>
      <c r="F719">
        <v>7547</v>
      </c>
      <c r="G719" s="3">
        <v>3.6400000000000002E-2</v>
      </c>
      <c r="H719" s="3">
        <v>0.41220000000000001</v>
      </c>
      <c r="J719" s="3">
        <v>0.5514</v>
      </c>
    </row>
    <row r="720" spans="1:10">
      <c r="A720" t="s">
        <v>199</v>
      </c>
      <c r="B720" t="s">
        <v>358</v>
      </c>
      <c r="C720" t="s">
        <v>293</v>
      </c>
      <c r="D720">
        <v>132</v>
      </c>
      <c r="E720" t="s">
        <v>194</v>
      </c>
      <c r="F720">
        <v>7547</v>
      </c>
      <c r="G720" s="3">
        <v>7.0000000000000001E-3</v>
      </c>
      <c r="H720" s="3">
        <v>0.71160000000000001</v>
      </c>
      <c r="J720" s="3">
        <v>0.28129999999999999</v>
      </c>
    </row>
    <row r="721" spans="1:10">
      <c r="A721" t="s">
        <v>199</v>
      </c>
      <c r="B721" t="s">
        <v>357</v>
      </c>
      <c r="C721" t="s">
        <v>292</v>
      </c>
      <c r="D721">
        <v>95</v>
      </c>
      <c r="E721" t="s">
        <v>194</v>
      </c>
      <c r="F721">
        <v>7547</v>
      </c>
      <c r="G721" s="3">
        <v>1.0500000000000001E-2</v>
      </c>
      <c r="H721" s="3">
        <v>0.51519999999999999</v>
      </c>
      <c r="J721" s="3">
        <v>0.4743</v>
      </c>
    </row>
    <row r="722" spans="1:10">
      <c r="A722" t="s">
        <v>199</v>
      </c>
      <c r="B722" t="s">
        <v>357</v>
      </c>
      <c r="C722" t="s">
        <v>293</v>
      </c>
      <c r="D722">
        <v>127</v>
      </c>
      <c r="E722" t="s">
        <v>194</v>
      </c>
      <c r="F722">
        <v>7547</v>
      </c>
      <c r="G722" s="3">
        <v>1.4800000000000001E-2</v>
      </c>
      <c r="H722" s="3">
        <v>0.5101</v>
      </c>
      <c r="I722" s="3">
        <v>9.1999999999999998E-3</v>
      </c>
      <c r="J722" s="3">
        <v>0.46589999999999998</v>
      </c>
    </row>
    <row r="723" spans="1:10">
      <c r="A723" t="s">
        <v>199</v>
      </c>
      <c r="B723" t="s">
        <v>289</v>
      </c>
      <c r="C723" t="s">
        <v>292</v>
      </c>
      <c r="D723">
        <v>230</v>
      </c>
      <c r="E723" t="s">
        <v>194</v>
      </c>
      <c r="F723">
        <v>7547</v>
      </c>
      <c r="G723" s="3">
        <v>8.0000000000000004E-4</v>
      </c>
      <c r="H723" s="3">
        <v>0.42470000000000002</v>
      </c>
      <c r="J723" s="3">
        <v>0.57450000000000001</v>
      </c>
    </row>
    <row r="724" spans="1:10">
      <c r="A724" t="s">
        <v>199</v>
      </c>
      <c r="B724" t="s">
        <v>356</v>
      </c>
      <c r="C724" t="s">
        <v>293</v>
      </c>
      <c r="D724">
        <v>114</v>
      </c>
      <c r="E724" t="s">
        <v>194</v>
      </c>
      <c r="F724">
        <v>7547</v>
      </c>
      <c r="H724" s="3">
        <v>0.3306</v>
      </c>
      <c r="J724" s="3">
        <v>0.6694</v>
      </c>
    </row>
    <row r="725" spans="1:10">
      <c r="A725" t="s">
        <v>199</v>
      </c>
      <c r="B725" t="s">
        <v>356</v>
      </c>
      <c r="C725" t="s">
        <v>292</v>
      </c>
      <c r="D725">
        <v>112</v>
      </c>
      <c r="E725" t="s">
        <v>194</v>
      </c>
      <c r="F725">
        <v>7547</v>
      </c>
      <c r="H725" s="3">
        <v>0.44529999999999997</v>
      </c>
      <c r="J725" s="3">
        <v>0.55469999999999997</v>
      </c>
    </row>
    <row r="726" spans="1:10">
      <c r="A726" t="s">
        <v>195</v>
      </c>
      <c r="B726" t="s">
        <v>289</v>
      </c>
      <c r="C726" t="s">
        <v>293</v>
      </c>
      <c r="D726">
        <v>405</v>
      </c>
      <c r="E726" t="s">
        <v>194</v>
      </c>
      <c r="F726">
        <v>7547</v>
      </c>
      <c r="G726" s="3">
        <v>1.9E-3</v>
      </c>
      <c r="H726" s="3">
        <v>0.31009999999999999</v>
      </c>
      <c r="J726" s="3">
        <v>0.68789999999999996</v>
      </c>
    </row>
    <row r="727" spans="1:10">
      <c r="A727" t="s">
        <v>195</v>
      </c>
      <c r="B727" t="s">
        <v>289</v>
      </c>
      <c r="C727" t="s">
        <v>292</v>
      </c>
      <c r="D727">
        <v>207</v>
      </c>
      <c r="E727" t="s">
        <v>194</v>
      </c>
      <c r="F727">
        <v>7547</v>
      </c>
      <c r="G727" s="3">
        <v>3.0000000000000001E-3</v>
      </c>
      <c r="H727" s="3">
        <v>0.34210000000000002</v>
      </c>
      <c r="J727" s="3">
        <v>0.65490000000000004</v>
      </c>
    </row>
    <row r="728" spans="1:10">
      <c r="A728" t="s">
        <v>195</v>
      </c>
      <c r="B728" t="s">
        <v>356</v>
      </c>
      <c r="C728" t="s">
        <v>293</v>
      </c>
      <c r="D728">
        <v>114</v>
      </c>
      <c r="E728" t="s">
        <v>194</v>
      </c>
      <c r="F728">
        <v>7547</v>
      </c>
      <c r="H728" s="3">
        <v>0.5796</v>
      </c>
      <c r="J728" s="3">
        <v>0.4204</v>
      </c>
    </row>
    <row r="729" spans="1:10">
      <c r="A729" t="s">
        <v>195</v>
      </c>
      <c r="B729" t="s">
        <v>366</v>
      </c>
      <c r="C729" t="s">
        <v>292</v>
      </c>
      <c r="D729">
        <v>162</v>
      </c>
      <c r="E729" t="s">
        <v>194</v>
      </c>
      <c r="F729">
        <v>7547</v>
      </c>
      <c r="H729" s="3">
        <v>0.61450000000000005</v>
      </c>
      <c r="J729" s="3">
        <v>0.38550000000000001</v>
      </c>
    </row>
    <row r="730" spans="1:10">
      <c r="A730" t="s">
        <v>195</v>
      </c>
      <c r="B730" t="s">
        <v>366</v>
      </c>
      <c r="C730" t="s">
        <v>293</v>
      </c>
      <c r="D730">
        <v>161</v>
      </c>
      <c r="E730" t="s">
        <v>194</v>
      </c>
      <c r="F730">
        <v>7547</v>
      </c>
      <c r="G730" s="3">
        <v>5.0000000000000001E-3</v>
      </c>
      <c r="H730" s="3">
        <v>0.69089999999999996</v>
      </c>
      <c r="J730" s="3">
        <v>0.30409999999999998</v>
      </c>
    </row>
    <row r="731" spans="1:10">
      <c r="A731" t="s">
        <v>195</v>
      </c>
      <c r="B731" t="s">
        <v>285</v>
      </c>
      <c r="C731" t="s">
        <v>292</v>
      </c>
      <c r="D731">
        <v>88</v>
      </c>
      <c r="E731" t="s">
        <v>194</v>
      </c>
      <c r="F731">
        <v>7547</v>
      </c>
      <c r="H731" s="3">
        <v>0.72140000000000004</v>
      </c>
      <c r="I731" s="3">
        <v>8.9999999999999993E-3</v>
      </c>
      <c r="J731" s="3">
        <v>0.26960000000000001</v>
      </c>
    </row>
    <row r="732" spans="1:10">
      <c r="A732" t="s">
        <v>195</v>
      </c>
      <c r="B732" t="s">
        <v>285</v>
      </c>
      <c r="C732" t="s">
        <v>293</v>
      </c>
      <c r="D732">
        <v>76</v>
      </c>
      <c r="E732" t="s">
        <v>194</v>
      </c>
      <c r="F732">
        <v>7547</v>
      </c>
      <c r="H732" s="3">
        <v>0.51859999999999995</v>
      </c>
      <c r="J732" s="3">
        <v>0.48139999999999999</v>
      </c>
    </row>
    <row r="733" spans="1:10">
      <c r="A733" t="s">
        <v>195</v>
      </c>
      <c r="B733" t="s">
        <v>365</v>
      </c>
      <c r="C733" t="s">
        <v>292</v>
      </c>
      <c r="D733">
        <v>79</v>
      </c>
      <c r="E733" t="s">
        <v>194</v>
      </c>
      <c r="F733">
        <v>7547</v>
      </c>
      <c r="H733" s="3">
        <v>0.77729999999999999</v>
      </c>
      <c r="J733" s="3">
        <v>0.22270000000000001</v>
      </c>
    </row>
    <row r="734" spans="1:10">
      <c r="A734" t="s">
        <v>195</v>
      </c>
      <c r="B734" t="s">
        <v>365</v>
      </c>
      <c r="C734" t="s">
        <v>293</v>
      </c>
      <c r="D734">
        <v>110</v>
      </c>
      <c r="E734" t="s">
        <v>194</v>
      </c>
      <c r="F734">
        <v>7547</v>
      </c>
      <c r="G734" s="3">
        <v>3.0000000000000001E-3</v>
      </c>
      <c r="H734" s="3">
        <v>0.69630000000000003</v>
      </c>
      <c r="J734" s="3">
        <v>0.30070000000000002</v>
      </c>
    </row>
    <row r="735" spans="1:10">
      <c r="A735" t="s">
        <v>195</v>
      </c>
      <c r="B735" t="s">
        <v>364</v>
      </c>
      <c r="C735" t="s">
        <v>292</v>
      </c>
      <c r="D735">
        <v>53</v>
      </c>
      <c r="E735" t="s">
        <v>194</v>
      </c>
      <c r="F735">
        <v>7547</v>
      </c>
      <c r="H735" s="3">
        <v>0.87109999999999999</v>
      </c>
      <c r="J735" s="3">
        <v>0.12889999999999999</v>
      </c>
    </row>
    <row r="736" spans="1:10">
      <c r="A736" t="s">
        <v>195</v>
      </c>
      <c r="B736" t="s">
        <v>364</v>
      </c>
      <c r="C736" t="s">
        <v>293</v>
      </c>
      <c r="D736">
        <v>110</v>
      </c>
      <c r="E736" t="s">
        <v>194</v>
      </c>
      <c r="F736">
        <v>7547</v>
      </c>
      <c r="H736" s="3">
        <v>0.64800000000000002</v>
      </c>
      <c r="J736" s="3">
        <v>0.35199999999999998</v>
      </c>
    </row>
    <row r="737" spans="1:10">
      <c r="A737" t="s">
        <v>195</v>
      </c>
      <c r="B737" t="s">
        <v>363</v>
      </c>
      <c r="C737" t="s">
        <v>292</v>
      </c>
      <c r="D737">
        <v>85</v>
      </c>
      <c r="E737" t="s">
        <v>194</v>
      </c>
      <c r="F737">
        <v>7547</v>
      </c>
      <c r="H737" s="3">
        <v>0.60819999999999996</v>
      </c>
      <c r="J737" s="3">
        <v>0.39179999999999998</v>
      </c>
    </row>
    <row r="738" spans="1:10">
      <c r="A738" t="s">
        <v>195</v>
      </c>
      <c r="B738" t="s">
        <v>363</v>
      </c>
      <c r="C738" t="s">
        <v>293</v>
      </c>
      <c r="D738">
        <v>158</v>
      </c>
      <c r="E738" t="s">
        <v>194</v>
      </c>
      <c r="F738">
        <v>7547</v>
      </c>
      <c r="G738" s="3">
        <v>6.6E-3</v>
      </c>
      <c r="H738" s="3">
        <v>0.72899999999999998</v>
      </c>
      <c r="J738" s="3">
        <v>0.26440000000000002</v>
      </c>
    </row>
    <row r="739" spans="1:10">
      <c r="A739" t="s">
        <v>199</v>
      </c>
      <c r="B739" t="s">
        <v>289</v>
      </c>
      <c r="C739" t="s">
        <v>293</v>
      </c>
      <c r="D739">
        <v>381</v>
      </c>
      <c r="E739" t="s">
        <v>194</v>
      </c>
      <c r="F739">
        <v>7547</v>
      </c>
      <c r="H739" s="3">
        <v>0.29780000000000001</v>
      </c>
      <c r="J739" s="3">
        <v>0.70220000000000005</v>
      </c>
    </row>
    <row r="740" spans="1:10">
      <c r="A740" t="s">
        <v>195</v>
      </c>
      <c r="B740" t="s">
        <v>362</v>
      </c>
      <c r="C740" t="s">
        <v>292</v>
      </c>
      <c r="D740">
        <v>110</v>
      </c>
      <c r="E740" t="s">
        <v>194</v>
      </c>
      <c r="F740">
        <v>7547</v>
      </c>
      <c r="H740" s="3">
        <v>0.76549999999999996</v>
      </c>
      <c r="J740" s="3">
        <v>0.23449999999999999</v>
      </c>
    </row>
    <row r="741" spans="1:10">
      <c r="A741" t="s">
        <v>195</v>
      </c>
      <c r="B741" t="s">
        <v>361</v>
      </c>
      <c r="C741" t="s">
        <v>292</v>
      </c>
      <c r="D741">
        <v>88</v>
      </c>
      <c r="E741" t="s">
        <v>194</v>
      </c>
      <c r="F741">
        <v>7547</v>
      </c>
      <c r="G741" s="3">
        <v>3.15E-2</v>
      </c>
      <c r="H741" s="3">
        <v>0.53639999999999999</v>
      </c>
      <c r="J741" s="3">
        <v>0.43209999999999998</v>
      </c>
    </row>
    <row r="742" spans="1:10">
      <c r="A742" t="s">
        <v>195</v>
      </c>
      <c r="B742" t="s">
        <v>361</v>
      </c>
      <c r="C742" t="s">
        <v>293</v>
      </c>
      <c r="D742">
        <v>178</v>
      </c>
      <c r="E742" t="s">
        <v>194</v>
      </c>
      <c r="F742">
        <v>7547</v>
      </c>
      <c r="H742" s="3">
        <v>0.65549999999999997</v>
      </c>
      <c r="I742" s="3">
        <v>8.6E-3</v>
      </c>
      <c r="J742" s="3">
        <v>0.33589999999999998</v>
      </c>
    </row>
    <row r="743" spans="1:10">
      <c r="A743" t="s">
        <v>195</v>
      </c>
      <c r="B743" t="s">
        <v>360</v>
      </c>
      <c r="C743" t="s">
        <v>292</v>
      </c>
      <c r="D743">
        <v>91</v>
      </c>
      <c r="E743" t="s">
        <v>194</v>
      </c>
      <c r="F743">
        <v>7547</v>
      </c>
      <c r="H743" s="3">
        <v>0.6552</v>
      </c>
      <c r="I743" s="3">
        <v>2.5499999999999998E-2</v>
      </c>
      <c r="J743" s="3">
        <v>0.31929999999999997</v>
      </c>
    </row>
    <row r="744" spans="1:10" s="25" customFormat="1">
      <c r="A744" s="25" t="s">
        <v>195</v>
      </c>
      <c r="B744" s="25" t="s">
        <v>360</v>
      </c>
      <c r="C744" s="25" t="s">
        <v>247</v>
      </c>
      <c r="D744" s="25">
        <v>1</v>
      </c>
      <c r="E744" s="25" t="s">
        <v>194</v>
      </c>
      <c r="F744" s="25">
        <v>7547</v>
      </c>
      <c r="H744" s="26">
        <v>1</v>
      </c>
    </row>
    <row r="745" spans="1:10">
      <c r="A745" t="s">
        <v>195</v>
      </c>
      <c r="B745" t="s">
        <v>360</v>
      </c>
      <c r="C745" t="s">
        <v>293</v>
      </c>
      <c r="D745">
        <v>131</v>
      </c>
      <c r="E745" t="s">
        <v>194</v>
      </c>
      <c r="F745">
        <v>7547</v>
      </c>
      <c r="H745" s="3">
        <v>0.46689999999999998</v>
      </c>
      <c r="J745" s="3">
        <v>0.53310000000000002</v>
      </c>
    </row>
    <row r="746" spans="1:10">
      <c r="A746" t="s">
        <v>195</v>
      </c>
      <c r="B746" t="s">
        <v>359</v>
      </c>
      <c r="C746" t="s">
        <v>292</v>
      </c>
      <c r="D746">
        <v>160</v>
      </c>
      <c r="E746" t="s">
        <v>194</v>
      </c>
      <c r="F746">
        <v>7547</v>
      </c>
      <c r="H746" s="3">
        <v>0.5454</v>
      </c>
      <c r="J746" s="3">
        <v>0.4546</v>
      </c>
    </row>
    <row r="747" spans="1:10">
      <c r="A747" t="s">
        <v>195</v>
      </c>
      <c r="B747" t="s">
        <v>359</v>
      </c>
      <c r="C747" t="s">
        <v>293</v>
      </c>
      <c r="D747">
        <v>125</v>
      </c>
      <c r="E747" t="s">
        <v>194</v>
      </c>
      <c r="F747">
        <v>7547</v>
      </c>
      <c r="H747" s="3">
        <v>0.49719999999999998</v>
      </c>
      <c r="J747" s="3">
        <v>0.50280000000000002</v>
      </c>
    </row>
    <row r="748" spans="1:10">
      <c r="A748" t="s">
        <v>195</v>
      </c>
      <c r="B748" t="s">
        <v>358</v>
      </c>
      <c r="C748" t="s">
        <v>292</v>
      </c>
      <c r="D748">
        <v>63</v>
      </c>
      <c r="E748" t="s">
        <v>194</v>
      </c>
      <c r="F748">
        <v>7547</v>
      </c>
      <c r="H748" s="3">
        <v>0.3962</v>
      </c>
      <c r="J748" s="3">
        <v>0.6038</v>
      </c>
    </row>
    <row r="749" spans="1:10">
      <c r="A749" t="s">
        <v>195</v>
      </c>
      <c r="B749" t="s">
        <v>358</v>
      </c>
      <c r="C749" t="s">
        <v>293</v>
      </c>
      <c r="D749">
        <v>108</v>
      </c>
      <c r="E749" t="s">
        <v>194</v>
      </c>
      <c r="F749">
        <v>7547</v>
      </c>
      <c r="H749" s="3">
        <v>0.43140000000000001</v>
      </c>
      <c r="J749" s="3">
        <v>0.56859999999999999</v>
      </c>
    </row>
    <row r="750" spans="1:10">
      <c r="A750" t="s">
        <v>195</v>
      </c>
      <c r="B750" t="s">
        <v>357</v>
      </c>
      <c r="C750" t="s">
        <v>292</v>
      </c>
      <c r="D750">
        <v>67</v>
      </c>
      <c r="E750" t="s">
        <v>194</v>
      </c>
      <c r="F750">
        <v>7547</v>
      </c>
      <c r="H750" s="3">
        <v>0.55200000000000005</v>
      </c>
      <c r="J750" s="3">
        <v>0.44800000000000001</v>
      </c>
    </row>
    <row r="751" spans="1:10">
      <c r="A751" t="s">
        <v>195</v>
      </c>
      <c r="B751" t="s">
        <v>357</v>
      </c>
      <c r="C751" t="s">
        <v>293</v>
      </c>
      <c r="D751">
        <v>106</v>
      </c>
      <c r="E751" t="s">
        <v>194</v>
      </c>
      <c r="F751">
        <v>7547</v>
      </c>
      <c r="H751" s="3">
        <v>0.33560000000000001</v>
      </c>
      <c r="J751" s="3">
        <v>0.66439999999999999</v>
      </c>
    </row>
    <row r="752" spans="1:10">
      <c r="A752" t="s">
        <v>195</v>
      </c>
      <c r="B752" t="s">
        <v>362</v>
      </c>
      <c r="C752" t="s">
        <v>293</v>
      </c>
      <c r="D752">
        <v>190</v>
      </c>
      <c r="E752" t="s">
        <v>194</v>
      </c>
      <c r="F752">
        <v>7547</v>
      </c>
      <c r="H752" s="3">
        <v>0.67959999999999998</v>
      </c>
      <c r="J752" s="3">
        <v>0.32040000000000002</v>
      </c>
    </row>
    <row r="753" spans="1:10">
      <c r="A753" t="s">
        <v>200</v>
      </c>
      <c r="B753" t="s">
        <v>200</v>
      </c>
      <c r="C753" t="s">
        <v>200</v>
      </c>
      <c r="D753">
        <v>7547</v>
      </c>
      <c r="E753" t="s">
        <v>200</v>
      </c>
      <c r="F753">
        <v>7547</v>
      </c>
      <c r="G753" s="3">
        <v>2.0999999999999999E-3</v>
      </c>
      <c r="H753" s="3">
        <v>0.56720000000000004</v>
      </c>
      <c r="I753" s="3">
        <v>1.1000000000000001E-3</v>
      </c>
      <c r="J753" s="3">
        <v>0.42970000000000003</v>
      </c>
    </row>
    <row r="755" spans="1:10" ht="45">
      <c r="A755" s="22" t="s">
        <v>368</v>
      </c>
    </row>
    <row r="756" spans="1:10">
      <c r="A756" t="s">
        <v>185</v>
      </c>
      <c r="B756" t="s">
        <v>186</v>
      </c>
      <c r="C756" t="s">
        <v>192</v>
      </c>
      <c r="D756" t="s">
        <v>184</v>
      </c>
      <c r="E756" t="s">
        <v>193</v>
      </c>
      <c r="F756" t="s">
        <v>257</v>
      </c>
      <c r="G756" t="s">
        <v>226</v>
      </c>
      <c r="H756" t="s">
        <v>247</v>
      </c>
      <c r="I756" t="s">
        <v>227</v>
      </c>
    </row>
    <row r="757" spans="1:10">
      <c r="A757" t="s">
        <v>195</v>
      </c>
      <c r="B757" t="s">
        <v>196</v>
      </c>
      <c r="C757">
        <v>1232</v>
      </c>
      <c r="D757" t="s">
        <v>194</v>
      </c>
      <c r="E757">
        <v>7547</v>
      </c>
      <c r="F757" s="3">
        <v>2.7000000000000001E-3</v>
      </c>
      <c r="G757" s="3">
        <v>0.59709999999999996</v>
      </c>
      <c r="I757" s="3">
        <v>0.4002</v>
      </c>
    </row>
    <row r="758" spans="1:10">
      <c r="A758" t="s">
        <v>195</v>
      </c>
      <c r="B758" t="s">
        <v>198</v>
      </c>
      <c r="C758">
        <v>2039</v>
      </c>
      <c r="D758" t="s">
        <v>194</v>
      </c>
      <c r="E758">
        <v>7547</v>
      </c>
      <c r="F758" s="3">
        <v>1.6999999999999999E-3</v>
      </c>
      <c r="G758" s="3">
        <v>0.5504</v>
      </c>
      <c r="H758" s="3">
        <v>1.9E-3</v>
      </c>
      <c r="I758" s="3">
        <v>0.44600000000000001</v>
      </c>
    </row>
    <row r="759" spans="1:10">
      <c r="A759" t="s">
        <v>199</v>
      </c>
      <c r="B759" t="s">
        <v>196</v>
      </c>
      <c r="C759">
        <v>1620</v>
      </c>
      <c r="D759" t="s">
        <v>194</v>
      </c>
      <c r="E759">
        <v>7547</v>
      </c>
      <c r="F759" s="3">
        <v>2.3999999999999998E-3</v>
      </c>
      <c r="G759" s="3">
        <v>0.55210000000000004</v>
      </c>
      <c r="H759" s="3">
        <v>2.0000000000000001E-4</v>
      </c>
      <c r="I759" s="3">
        <v>0.44529999999999997</v>
      </c>
    </row>
    <row r="760" spans="1:10">
      <c r="A760" t="s">
        <v>199</v>
      </c>
      <c r="B760" t="s">
        <v>198</v>
      </c>
      <c r="C760">
        <v>2541</v>
      </c>
      <c r="D760" t="s">
        <v>194</v>
      </c>
      <c r="E760">
        <v>7547</v>
      </c>
      <c r="F760" s="3">
        <v>2E-3</v>
      </c>
      <c r="G760" s="3">
        <v>0.57530000000000003</v>
      </c>
      <c r="H760" s="3">
        <v>1.1000000000000001E-3</v>
      </c>
      <c r="I760" s="3">
        <v>0.42149999999999999</v>
      </c>
    </row>
    <row r="761" spans="1:10">
      <c r="A761" t="s">
        <v>200</v>
      </c>
      <c r="B761" t="s">
        <v>200</v>
      </c>
      <c r="C761">
        <v>7547</v>
      </c>
      <c r="D761" t="s">
        <v>200</v>
      </c>
      <c r="E761">
        <v>7547</v>
      </c>
      <c r="F761" s="3">
        <v>2.0999999999999999E-3</v>
      </c>
      <c r="G761" s="3">
        <v>0.56720000000000004</v>
      </c>
      <c r="H761" s="3">
        <v>1.1000000000000001E-3</v>
      </c>
      <c r="I761" s="3">
        <v>0.42970000000000003</v>
      </c>
    </row>
    <row r="763" spans="1:10" ht="60">
      <c r="A763" s="22" t="s">
        <v>369</v>
      </c>
    </row>
    <row r="764" spans="1:10">
      <c r="A764" t="s">
        <v>185</v>
      </c>
      <c r="B764" t="s">
        <v>186</v>
      </c>
      <c r="C764" t="s">
        <v>192</v>
      </c>
      <c r="D764" t="s">
        <v>184</v>
      </c>
      <c r="E764" t="s">
        <v>193</v>
      </c>
      <c r="F764" t="s">
        <v>257</v>
      </c>
      <c r="G764" t="s">
        <v>226</v>
      </c>
      <c r="H764" t="s">
        <v>247</v>
      </c>
      <c r="I764" t="s">
        <v>227</v>
      </c>
    </row>
    <row r="765" spans="1:10">
      <c r="A765" t="s">
        <v>195</v>
      </c>
      <c r="B765" t="s">
        <v>202</v>
      </c>
      <c r="C765">
        <v>1461</v>
      </c>
      <c r="D765" t="s">
        <v>194</v>
      </c>
      <c r="E765">
        <v>7547</v>
      </c>
      <c r="F765" s="3">
        <v>1.5E-3</v>
      </c>
      <c r="G765" s="3">
        <v>0.54239999999999999</v>
      </c>
      <c r="H765" s="3">
        <v>2.2000000000000001E-3</v>
      </c>
      <c r="I765" s="3">
        <v>0.45390000000000003</v>
      </c>
    </row>
    <row r="766" spans="1:10">
      <c r="A766" t="s">
        <v>195</v>
      </c>
      <c r="B766" t="s">
        <v>204</v>
      </c>
      <c r="C766">
        <v>885</v>
      </c>
      <c r="D766" t="s">
        <v>194</v>
      </c>
      <c r="E766">
        <v>7547</v>
      </c>
      <c r="F766" s="3">
        <v>2E-3</v>
      </c>
      <c r="G766" s="3">
        <v>0.60340000000000005</v>
      </c>
      <c r="I766" s="3">
        <v>0.39460000000000001</v>
      </c>
    </row>
    <row r="767" spans="1:10">
      <c r="A767" t="s">
        <v>195</v>
      </c>
      <c r="B767" t="s">
        <v>205</v>
      </c>
      <c r="C767">
        <v>925</v>
      </c>
      <c r="D767" t="s">
        <v>194</v>
      </c>
      <c r="E767">
        <v>7547</v>
      </c>
      <c r="F767" s="3">
        <v>4.1999999999999997E-3</v>
      </c>
      <c r="G767" s="3">
        <v>0.59389999999999998</v>
      </c>
      <c r="I767" s="3">
        <v>0.40189999999999998</v>
      </c>
    </row>
    <row r="768" spans="1:10">
      <c r="A768" t="s">
        <v>199</v>
      </c>
      <c r="B768" t="s">
        <v>202</v>
      </c>
      <c r="C768">
        <v>1526</v>
      </c>
      <c r="D768" t="s">
        <v>194</v>
      </c>
      <c r="E768">
        <v>7547</v>
      </c>
      <c r="F768" s="3">
        <v>2.8999999999999998E-3</v>
      </c>
      <c r="G768" s="3">
        <v>0.55110000000000003</v>
      </c>
      <c r="H768" s="3">
        <v>8.0000000000000004E-4</v>
      </c>
      <c r="I768" s="3">
        <v>0.44519999999999998</v>
      </c>
    </row>
    <row r="769" spans="1:9">
      <c r="A769" t="s">
        <v>199</v>
      </c>
      <c r="B769" t="s">
        <v>204</v>
      </c>
      <c r="C769">
        <v>1191</v>
      </c>
      <c r="D769" t="s">
        <v>194</v>
      </c>
      <c r="E769">
        <v>7547</v>
      </c>
      <c r="G769" s="3">
        <v>0.62390000000000001</v>
      </c>
      <c r="H769" s="3">
        <v>2E-3</v>
      </c>
      <c r="I769" s="3">
        <v>0.374</v>
      </c>
    </row>
    <row r="770" spans="1:9">
      <c r="A770" t="s">
        <v>199</v>
      </c>
      <c r="B770" t="s">
        <v>205</v>
      </c>
      <c r="C770">
        <v>1444</v>
      </c>
      <c r="D770" t="s">
        <v>194</v>
      </c>
      <c r="E770">
        <v>7547</v>
      </c>
      <c r="F770" s="3">
        <v>1.6000000000000001E-3</v>
      </c>
      <c r="G770" s="3">
        <v>0.57979999999999998</v>
      </c>
      <c r="H770" s="3">
        <v>2.0000000000000001E-4</v>
      </c>
      <c r="I770" s="3">
        <v>0.41839999999999999</v>
      </c>
    </row>
    <row r="771" spans="1:9">
      <c r="A771" t="s">
        <v>200</v>
      </c>
      <c r="B771" t="s">
        <v>200</v>
      </c>
      <c r="C771">
        <v>7547</v>
      </c>
      <c r="D771" t="s">
        <v>200</v>
      </c>
      <c r="E771">
        <v>7547</v>
      </c>
      <c r="F771" s="3">
        <v>2.0999999999999999E-3</v>
      </c>
      <c r="G771" s="3">
        <v>0.56720000000000004</v>
      </c>
      <c r="H771" s="3">
        <v>1.1000000000000001E-3</v>
      </c>
      <c r="I771" s="3">
        <v>0.42970000000000003</v>
      </c>
    </row>
    <row r="773" spans="1:9" ht="60">
      <c r="A773" s="22" t="s">
        <v>370</v>
      </c>
    </row>
    <row r="774" spans="1:9">
      <c r="A774" t="s">
        <v>185</v>
      </c>
      <c r="B774" t="s">
        <v>186</v>
      </c>
      <c r="C774" t="s">
        <v>192</v>
      </c>
      <c r="D774" t="s">
        <v>184</v>
      </c>
      <c r="E774" t="s">
        <v>193</v>
      </c>
      <c r="F774" t="s">
        <v>257</v>
      </c>
      <c r="G774" t="s">
        <v>226</v>
      </c>
      <c r="H774" t="s">
        <v>247</v>
      </c>
      <c r="I774" t="s">
        <v>227</v>
      </c>
    </row>
    <row r="775" spans="1:9">
      <c r="A775" t="s">
        <v>195</v>
      </c>
      <c r="B775" t="s">
        <v>207</v>
      </c>
      <c r="C775">
        <v>925</v>
      </c>
      <c r="D775" t="s">
        <v>194</v>
      </c>
      <c r="E775">
        <v>7547</v>
      </c>
      <c r="F775" s="3">
        <v>4.1999999999999997E-3</v>
      </c>
      <c r="G775" s="3">
        <v>0.3921</v>
      </c>
      <c r="I775" s="3">
        <v>0.60370000000000001</v>
      </c>
    </row>
    <row r="776" spans="1:9">
      <c r="A776" t="s">
        <v>195</v>
      </c>
      <c r="B776" t="s">
        <v>209</v>
      </c>
      <c r="C776">
        <v>2408</v>
      </c>
      <c r="D776" t="s">
        <v>194</v>
      </c>
      <c r="E776">
        <v>7547</v>
      </c>
      <c r="F776" s="3">
        <v>1.1999999999999999E-3</v>
      </c>
      <c r="G776" s="3">
        <v>0.62490000000000001</v>
      </c>
      <c r="H776" s="3">
        <v>1.9E-3</v>
      </c>
      <c r="I776" s="3">
        <v>0.37209999999999999</v>
      </c>
    </row>
    <row r="777" spans="1:9">
      <c r="A777" t="s">
        <v>199</v>
      </c>
      <c r="B777" t="s">
        <v>207</v>
      </c>
      <c r="C777">
        <v>855</v>
      </c>
      <c r="D777" t="s">
        <v>194</v>
      </c>
      <c r="E777">
        <v>7547</v>
      </c>
      <c r="G777" s="3">
        <v>0.42699999999999999</v>
      </c>
      <c r="H777" s="3">
        <v>6.9999999999999999E-4</v>
      </c>
      <c r="I777" s="3">
        <v>0.57230000000000003</v>
      </c>
    </row>
    <row r="778" spans="1:9">
      <c r="A778" t="s">
        <v>199</v>
      </c>
      <c r="B778" t="s">
        <v>209</v>
      </c>
      <c r="C778">
        <v>3359</v>
      </c>
      <c r="D778" t="s">
        <v>194</v>
      </c>
      <c r="E778">
        <v>7547</v>
      </c>
      <c r="F778" s="3">
        <v>2.3999999999999998E-3</v>
      </c>
      <c r="G778" s="3">
        <v>0.59279999999999999</v>
      </c>
      <c r="H778" s="3">
        <v>1E-3</v>
      </c>
      <c r="I778" s="3">
        <v>0.40379999999999999</v>
      </c>
    </row>
    <row r="779" spans="1:9">
      <c r="A779" t="s">
        <v>200</v>
      </c>
      <c r="B779" t="s">
        <v>200</v>
      </c>
      <c r="C779">
        <v>7547</v>
      </c>
      <c r="D779" t="s">
        <v>200</v>
      </c>
      <c r="E779">
        <v>7547</v>
      </c>
      <c r="F779" s="3">
        <v>2.0999999999999999E-3</v>
      </c>
      <c r="G779" s="3">
        <v>0.56720000000000004</v>
      </c>
      <c r="H779" s="3">
        <v>1.1000000000000001E-3</v>
      </c>
      <c r="I779" s="3">
        <v>0.42970000000000003</v>
      </c>
    </row>
    <row r="781" spans="1:9" ht="60">
      <c r="A781" s="22" t="s">
        <v>371</v>
      </c>
    </row>
    <row r="782" spans="1:9">
      <c r="A782" t="s">
        <v>185</v>
      </c>
      <c r="B782" t="s">
        <v>192</v>
      </c>
      <c r="C782" t="s">
        <v>184</v>
      </c>
      <c r="D782" t="s">
        <v>193</v>
      </c>
      <c r="E782" t="s">
        <v>257</v>
      </c>
      <c r="F782" t="s">
        <v>226</v>
      </c>
      <c r="G782" t="s">
        <v>247</v>
      </c>
      <c r="H782" t="s">
        <v>227</v>
      </c>
    </row>
    <row r="783" spans="1:9">
      <c r="A783" t="s">
        <v>195</v>
      </c>
      <c r="B783">
        <v>3333</v>
      </c>
      <c r="C783" t="s">
        <v>194</v>
      </c>
      <c r="D783">
        <v>7547</v>
      </c>
      <c r="E783" s="3">
        <v>2E-3</v>
      </c>
      <c r="F783" s="3">
        <v>0.56289999999999996</v>
      </c>
      <c r="G783" s="3">
        <v>1.4E-3</v>
      </c>
      <c r="H783" s="3">
        <v>0.43380000000000002</v>
      </c>
    </row>
    <row r="784" spans="1:9">
      <c r="A784" t="s">
        <v>199</v>
      </c>
      <c r="B784">
        <v>4214</v>
      </c>
      <c r="C784" t="s">
        <v>194</v>
      </c>
      <c r="D784">
        <v>7547</v>
      </c>
      <c r="E784" s="3">
        <v>2.0999999999999999E-3</v>
      </c>
      <c r="F784" s="3">
        <v>0.5706</v>
      </c>
      <c r="G784" s="3">
        <v>8.9999999999999998E-4</v>
      </c>
      <c r="H784" s="3">
        <v>0.4264</v>
      </c>
    </row>
    <row r="785" spans="1:9">
      <c r="A785" t="s">
        <v>200</v>
      </c>
      <c r="B785">
        <v>7547</v>
      </c>
      <c r="C785" t="s">
        <v>200</v>
      </c>
      <c r="D785">
        <v>7547</v>
      </c>
      <c r="E785" s="3">
        <v>2.0999999999999999E-3</v>
      </c>
      <c r="F785" s="3">
        <v>0.56720000000000004</v>
      </c>
      <c r="G785" s="3">
        <v>1.1000000000000001E-3</v>
      </c>
      <c r="H785" s="3">
        <v>0.42970000000000003</v>
      </c>
    </row>
    <row r="787" spans="1:9" ht="45">
      <c r="A787" s="22" t="s">
        <v>372</v>
      </c>
    </row>
    <row r="788" spans="1:9">
      <c r="A788" t="s">
        <v>185</v>
      </c>
      <c r="B788" t="s">
        <v>186</v>
      </c>
      <c r="C788" t="s">
        <v>192</v>
      </c>
      <c r="D788" t="s">
        <v>184</v>
      </c>
      <c r="E788" t="s">
        <v>193</v>
      </c>
      <c r="F788" t="s">
        <v>257</v>
      </c>
      <c r="G788" t="s">
        <v>226</v>
      </c>
      <c r="H788" t="s">
        <v>247</v>
      </c>
      <c r="I788" t="s">
        <v>227</v>
      </c>
    </row>
    <row r="789" spans="1:9">
      <c r="A789" t="s">
        <v>195</v>
      </c>
      <c r="B789" t="s">
        <v>212</v>
      </c>
      <c r="C789">
        <v>2401</v>
      </c>
      <c r="D789" t="s">
        <v>194</v>
      </c>
      <c r="E789">
        <v>7547</v>
      </c>
      <c r="F789" s="3">
        <v>2.3999999999999998E-3</v>
      </c>
      <c r="G789" s="3">
        <v>0.56279999999999997</v>
      </c>
      <c r="H789" s="3">
        <v>1.6000000000000001E-3</v>
      </c>
      <c r="I789" s="3">
        <v>0.43330000000000002</v>
      </c>
    </row>
    <row r="790" spans="1:9">
      <c r="A790" t="s">
        <v>195</v>
      </c>
      <c r="B790" t="s">
        <v>214</v>
      </c>
      <c r="C790">
        <v>181</v>
      </c>
      <c r="D790" t="s">
        <v>194</v>
      </c>
      <c r="E790">
        <v>7547</v>
      </c>
      <c r="G790" s="3">
        <v>0.4768</v>
      </c>
      <c r="I790" s="3">
        <v>0.5232</v>
      </c>
    </row>
    <row r="791" spans="1:9">
      <c r="A791" t="s">
        <v>195</v>
      </c>
      <c r="B791" t="s">
        <v>215</v>
      </c>
      <c r="C791">
        <v>751</v>
      </c>
      <c r="D791" t="s">
        <v>194</v>
      </c>
      <c r="E791">
        <v>7547</v>
      </c>
      <c r="F791" s="3">
        <v>1E-3</v>
      </c>
      <c r="G791" s="3">
        <v>0.59399999999999997</v>
      </c>
      <c r="H791" s="3">
        <v>1E-3</v>
      </c>
      <c r="I791" s="3">
        <v>0.40389999999999998</v>
      </c>
    </row>
    <row r="792" spans="1:9">
      <c r="A792" t="s">
        <v>199</v>
      </c>
      <c r="B792" t="s">
        <v>212</v>
      </c>
      <c r="C792">
        <v>3077</v>
      </c>
      <c r="D792" t="s">
        <v>194</v>
      </c>
      <c r="E792">
        <v>7547</v>
      </c>
      <c r="F792" s="3">
        <v>2.7000000000000001E-3</v>
      </c>
      <c r="G792" s="3">
        <v>0.57489999999999997</v>
      </c>
      <c r="H792" s="3">
        <v>1.1000000000000001E-3</v>
      </c>
      <c r="I792" s="3">
        <v>0.42130000000000001</v>
      </c>
    </row>
    <row r="793" spans="1:9">
      <c r="A793" t="s">
        <v>199</v>
      </c>
      <c r="B793" t="s">
        <v>214</v>
      </c>
      <c r="C793">
        <v>197</v>
      </c>
      <c r="D793" t="s">
        <v>194</v>
      </c>
      <c r="E793">
        <v>7547</v>
      </c>
      <c r="G793" s="3">
        <v>0.56420000000000003</v>
      </c>
      <c r="I793" s="3">
        <v>0.43580000000000002</v>
      </c>
    </row>
    <row r="794" spans="1:9">
      <c r="A794" t="s">
        <v>199</v>
      </c>
      <c r="B794" t="s">
        <v>215</v>
      </c>
      <c r="C794">
        <v>940</v>
      </c>
      <c r="D794" t="s">
        <v>194</v>
      </c>
      <c r="E794">
        <v>7547</v>
      </c>
      <c r="F794" s="3">
        <v>2.0000000000000001E-4</v>
      </c>
      <c r="G794" s="3">
        <v>0.55259999999999998</v>
      </c>
      <c r="H794" s="3">
        <v>2.9999999999999997E-4</v>
      </c>
      <c r="I794" s="3">
        <v>0.44690000000000002</v>
      </c>
    </row>
    <row r="795" spans="1:9">
      <c r="A795" t="s">
        <v>200</v>
      </c>
      <c r="B795" t="s">
        <v>200</v>
      </c>
      <c r="C795">
        <v>7547</v>
      </c>
      <c r="D795" t="s">
        <v>200</v>
      </c>
      <c r="E795">
        <v>7547</v>
      </c>
      <c r="F795" s="3">
        <v>2.0999999999999999E-3</v>
      </c>
      <c r="G795" s="3">
        <v>0.56720000000000004</v>
      </c>
      <c r="H795" s="3">
        <v>1.1000000000000001E-3</v>
      </c>
      <c r="I795" s="3">
        <v>0.42970000000000003</v>
      </c>
    </row>
    <row r="797" spans="1:9" ht="45">
      <c r="A797" s="22" t="s">
        <v>373</v>
      </c>
    </row>
    <row r="798" spans="1:9">
      <c r="A798" t="s">
        <v>185</v>
      </c>
      <c r="B798" t="s">
        <v>186</v>
      </c>
      <c r="C798" t="s">
        <v>192</v>
      </c>
      <c r="D798" t="s">
        <v>184</v>
      </c>
      <c r="E798" t="s">
        <v>193</v>
      </c>
      <c r="F798" t="s">
        <v>257</v>
      </c>
      <c r="G798" t="s">
        <v>226</v>
      </c>
      <c r="H798" t="s">
        <v>247</v>
      </c>
      <c r="I798" t="s">
        <v>227</v>
      </c>
    </row>
    <row r="799" spans="1:9">
      <c r="A799" t="s">
        <v>195</v>
      </c>
      <c r="B799" t="s">
        <v>217</v>
      </c>
      <c r="C799">
        <v>1658</v>
      </c>
      <c r="D799" t="s">
        <v>194</v>
      </c>
      <c r="E799">
        <v>7547</v>
      </c>
      <c r="F799" s="3">
        <v>1.9E-3</v>
      </c>
      <c r="G799" s="3">
        <v>0.54249999999999998</v>
      </c>
      <c r="I799" s="3">
        <v>0.45550000000000002</v>
      </c>
    </row>
    <row r="800" spans="1:9">
      <c r="A800" t="s">
        <v>195</v>
      </c>
      <c r="B800" t="s">
        <v>219</v>
      </c>
      <c r="C800">
        <v>1189</v>
      </c>
      <c r="D800" t="s">
        <v>194</v>
      </c>
      <c r="E800">
        <v>7547</v>
      </c>
      <c r="F800" s="3">
        <v>1.6000000000000001E-3</v>
      </c>
      <c r="G800" s="3">
        <v>0.57120000000000004</v>
      </c>
      <c r="H800" s="3">
        <v>1.9E-3</v>
      </c>
      <c r="I800" s="3">
        <v>0.42530000000000001</v>
      </c>
    </row>
    <row r="801" spans="1:9">
      <c r="A801" t="s">
        <v>195</v>
      </c>
      <c r="B801" t="s">
        <v>220</v>
      </c>
      <c r="C801">
        <v>479</v>
      </c>
      <c r="D801" t="s">
        <v>194</v>
      </c>
      <c r="E801">
        <v>7547</v>
      </c>
      <c r="F801" s="3">
        <v>2.8E-3</v>
      </c>
      <c r="G801" s="3">
        <v>0.60660000000000003</v>
      </c>
      <c r="H801" s="3">
        <v>4.4000000000000003E-3</v>
      </c>
      <c r="I801" s="3">
        <v>0.38629999999999998</v>
      </c>
    </row>
    <row r="802" spans="1:9">
      <c r="A802" t="s">
        <v>199</v>
      </c>
      <c r="B802" t="s">
        <v>217</v>
      </c>
      <c r="C802">
        <v>2592</v>
      </c>
      <c r="D802" t="s">
        <v>194</v>
      </c>
      <c r="E802">
        <v>7547</v>
      </c>
      <c r="F802" s="3">
        <v>2E-3</v>
      </c>
      <c r="G802" s="3">
        <v>0.58009999999999995</v>
      </c>
      <c r="H802" s="3">
        <v>5.0000000000000001E-4</v>
      </c>
      <c r="I802" s="3">
        <v>0.41739999999999999</v>
      </c>
    </row>
    <row r="803" spans="1:9">
      <c r="A803" t="s">
        <v>199</v>
      </c>
      <c r="B803" t="s">
        <v>219</v>
      </c>
      <c r="C803">
        <v>1029</v>
      </c>
      <c r="D803" t="s">
        <v>194</v>
      </c>
      <c r="E803">
        <v>7547</v>
      </c>
      <c r="G803" s="3">
        <v>0.54200000000000004</v>
      </c>
      <c r="H803" s="3">
        <v>5.0000000000000001E-4</v>
      </c>
      <c r="I803" s="3">
        <v>0.45750000000000002</v>
      </c>
    </row>
    <row r="804" spans="1:9">
      <c r="A804" t="s">
        <v>199</v>
      </c>
      <c r="B804" t="s">
        <v>220</v>
      </c>
      <c r="C804">
        <v>593</v>
      </c>
      <c r="D804" t="s">
        <v>194</v>
      </c>
      <c r="E804">
        <v>7547</v>
      </c>
      <c r="F804" s="3">
        <v>5.3E-3</v>
      </c>
      <c r="G804" s="3">
        <v>0.56230000000000002</v>
      </c>
      <c r="H804" s="3">
        <v>3.5000000000000001E-3</v>
      </c>
      <c r="I804" s="3">
        <v>0.4289</v>
      </c>
    </row>
    <row r="805" spans="1:9">
      <c r="A805" t="s">
        <v>200</v>
      </c>
      <c r="B805" t="s">
        <v>200</v>
      </c>
      <c r="C805">
        <v>7547</v>
      </c>
      <c r="D805" t="s">
        <v>200</v>
      </c>
      <c r="E805">
        <v>7547</v>
      </c>
      <c r="F805" s="3">
        <v>2.0999999999999999E-3</v>
      </c>
      <c r="G805" s="3">
        <v>0.56720000000000004</v>
      </c>
      <c r="H805" s="3">
        <v>1.1000000000000001E-3</v>
      </c>
      <c r="I805" s="3">
        <v>0.42970000000000003</v>
      </c>
    </row>
    <row r="807" spans="1:9" ht="60">
      <c r="A807" s="22" t="s">
        <v>374</v>
      </c>
    </row>
    <row r="808" spans="1:9">
      <c r="A808" t="s">
        <v>185</v>
      </c>
      <c r="B808" t="s">
        <v>186</v>
      </c>
      <c r="C808" t="s">
        <v>192</v>
      </c>
      <c r="D808" t="s">
        <v>184</v>
      </c>
      <c r="E808" t="s">
        <v>193</v>
      </c>
      <c r="F808" t="s">
        <v>257</v>
      </c>
      <c r="G808" t="s">
        <v>226</v>
      </c>
      <c r="H808" t="s">
        <v>247</v>
      </c>
      <c r="I808" t="s">
        <v>227</v>
      </c>
    </row>
    <row r="809" spans="1:9">
      <c r="A809" t="s">
        <v>195</v>
      </c>
      <c r="B809" t="s">
        <v>351</v>
      </c>
      <c r="C809">
        <v>963</v>
      </c>
      <c r="D809" t="s">
        <v>194</v>
      </c>
      <c r="E809">
        <v>7547</v>
      </c>
      <c r="F809" s="3">
        <v>2.3E-3</v>
      </c>
      <c r="G809" s="3">
        <v>0.62380000000000002</v>
      </c>
      <c r="I809" s="3">
        <v>0.37390000000000001</v>
      </c>
    </row>
    <row r="810" spans="1:9">
      <c r="A810" t="s">
        <v>195</v>
      </c>
      <c r="B810" t="s">
        <v>352</v>
      </c>
      <c r="C810">
        <v>811</v>
      </c>
      <c r="D810" t="s">
        <v>194</v>
      </c>
      <c r="E810">
        <v>7547</v>
      </c>
      <c r="F810" s="3">
        <v>2.8999999999999998E-3</v>
      </c>
      <c r="G810" s="3">
        <v>0.52569999999999995</v>
      </c>
      <c r="I810" s="3">
        <v>0.47139999999999999</v>
      </c>
    </row>
    <row r="811" spans="1:9">
      <c r="A811" t="s">
        <v>195</v>
      </c>
      <c r="B811" t="s">
        <v>353</v>
      </c>
      <c r="C811">
        <v>697</v>
      </c>
      <c r="D811" t="s">
        <v>194</v>
      </c>
      <c r="E811">
        <v>7547</v>
      </c>
      <c r="F811" s="3">
        <v>1.5E-3</v>
      </c>
      <c r="G811" s="3">
        <v>0.48280000000000001</v>
      </c>
      <c r="H811" s="3">
        <v>2.2000000000000001E-3</v>
      </c>
      <c r="I811" s="3">
        <v>0.51359999999999995</v>
      </c>
    </row>
    <row r="812" spans="1:9">
      <c r="A812" t="s">
        <v>195</v>
      </c>
      <c r="B812" t="s">
        <v>354</v>
      </c>
      <c r="C812">
        <v>575</v>
      </c>
      <c r="D812" t="s">
        <v>194</v>
      </c>
      <c r="E812">
        <v>7547</v>
      </c>
      <c r="F812" s="3">
        <v>1.9E-3</v>
      </c>
      <c r="G812" s="3">
        <v>0.60909999999999997</v>
      </c>
      <c r="H812" s="3">
        <v>3.0000000000000001E-3</v>
      </c>
      <c r="I812" s="3">
        <v>0.38600000000000001</v>
      </c>
    </row>
    <row r="813" spans="1:9">
      <c r="A813" t="s">
        <v>199</v>
      </c>
      <c r="B813" t="s">
        <v>351</v>
      </c>
      <c r="C813">
        <v>956</v>
      </c>
      <c r="D813" t="s">
        <v>194</v>
      </c>
      <c r="E813">
        <v>7547</v>
      </c>
      <c r="F813" s="3">
        <v>6.1000000000000004E-3</v>
      </c>
      <c r="G813" s="3">
        <v>0.46949999999999997</v>
      </c>
      <c r="H813" s="3">
        <v>1.9E-3</v>
      </c>
      <c r="I813" s="3">
        <v>0.52249999999999996</v>
      </c>
    </row>
    <row r="814" spans="1:9">
      <c r="A814" t="s">
        <v>199</v>
      </c>
      <c r="B814" t="s">
        <v>352</v>
      </c>
      <c r="C814">
        <v>732</v>
      </c>
      <c r="D814" t="s">
        <v>194</v>
      </c>
      <c r="E814">
        <v>7547</v>
      </c>
      <c r="G814" s="3">
        <v>0.4803</v>
      </c>
      <c r="H814" s="3">
        <v>4.0000000000000002E-4</v>
      </c>
      <c r="I814" s="3">
        <v>0.51929999999999998</v>
      </c>
    </row>
    <row r="815" spans="1:9">
      <c r="A815" t="s">
        <v>199</v>
      </c>
      <c r="B815" t="s">
        <v>353</v>
      </c>
      <c r="C815">
        <v>932</v>
      </c>
      <c r="D815" t="s">
        <v>194</v>
      </c>
      <c r="E815">
        <v>7547</v>
      </c>
      <c r="F815" s="3">
        <v>4.0000000000000002E-4</v>
      </c>
      <c r="G815" s="3">
        <v>0.57140000000000002</v>
      </c>
      <c r="H815" s="3">
        <v>2.9999999999999997E-4</v>
      </c>
      <c r="I815" s="3">
        <v>0.4279</v>
      </c>
    </row>
    <row r="816" spans="1:9">
      <c r="A816" t="s">
        <v>199</v>
      </c>
      <c r="B816" t="s">
        <v>354</v>
      </c>
      <c r="C816">
        <v>1038</v>
      </c>
      <c r="D816" t="s">
        <v>194</v>
      </c>
      <c r="E816">
        <v>7547</v>
      </c>
      <c r="F816" s="3">
        <v>3.2000000000000002E-3</v>
      </c>
      <c r="G816" s="3">
        <v>0.58220000000000005</v>
      </c>
      <c r="H816" s="3">
        <v>1.5E-3</v>
      </c>
      <c r="I816" s="3">
        <v>0.41310000000000002</v>
      </c>
    </row>
    <row r="817" spans="1:9">
      <c r="A817" t="s">
        <v>200</v>
      </c>
      <c r="B817" t="s">
        <v>200</v>
      </c>
      <c r="C817">
        <v>7547</v>
      </c>
      <c r="D817" t="s">
        <v>200</v>
      </c>
      <c r="E817">
        <v>7547</v>
      </c>
      <c r="F817" s="3">
        <v>2.0999999999999999E-3</v>
      </c>
      <c r="G817" s="3">
        <v>0.56720000000000004</v>
      </c>
      <c r="H817" s="3">
        <v>1.1000000000000001E-3</v>
      </c>
      <c r="I817" s="3">
        <v>0.42970000000000003</v>
      </c>
    </row>
    <row r="819" spans="1:9" ht="45">
      <c r="A819" s="22" t="s">
        <v>375</v>
      </c>
    </row>
    <row r="820" spans="1:9">
      <c r="A820" t="s">
        <v>185</v>
      </c>
      <c r="B820" t="s">
        <v>186</v>
      </c>
      <c r="C820" t="s">
        <v>192</v>
      </c>
      <c r="D820" t="s">
        <v>184</v>
      </c>
      <c r="E820" t="s">
        <v>193</v>
      </c>
      <c r="F820" t="s">
        <v>257</v>
      </c>
      <c r="G820" t="s">
        <v>226</v>
      </c>
      <c r="H820" t="s">
        <v>247</v>
      </c>
      <c r="I820" t="s">
        <v>227</v>
      </c>
    </row>
    <row r="821" spans="1:9">
      <c r="A821" t="s">
        <v>195</v>
      </c>
      <c r="B821" t="s">
        <v>356</v>
      </c>
      <c r="C821">
        <v>84</v>
      </c>
      <c r="D821" t="s">
        <v>194</v>
      </c>
      <c r="E821">
        <v>3036</v>
      </c>
      <c r="G821" s="3">
        <v>0.03</v>
      </c>
      <c r="H821" s="3">
        <v>4.3E-3</v>
      </c>
      <c r="I821" s="3">
        <v>0.9657</v>
      </c>
    </row>
    <row r="822" spans="1:9">
      <c r="A822" t="s">
        <v>199</v>
      </c>
      <c r="B822" t="s">
        <v>357</v>
      </c>
      <c r="C822">
        <v>116</v>
      </c>
      <c r="D822" t="s">
        <v>194</v>
      </c>
      <c r="E822">
        <v>3036</v>
      </c>
      <c r="G822" s="3">
        <v>1.3899999999999999E-2</v>
      </c>
      <c r="I822" s="3">
        <v>0.98609999999999998</v>
      </c>
    </row>
    <row r="823" spans="1:9">
      <c r="A823" t="s">
        <v>199</v>
      </c>
      <c r="B823" t="s">
        <v>358</v>
      </c>
      <c r="C823">
        <v>119</v>
      </c>
      <c r="D823" t="s">
        <v>194</v>
      </c>
      <c r="E823">
        <v>3036</v>
      </c>
      <c r="G823" s="3">
        <v>0.1099</v>
      </c>
      <c r="I823" s="3">
        <v>0.8901</v>
      </c>
    </row>
    <row r="824" spans="1:9">
      <c r="A824" t="s">
        <v>199</v>
      </c>
      <c r="B824" t="s">
        <v>359</v>
      </c>
      <c r="C824">
        <v>142</v>
      </c>
      <c r="D824" t="s">
        <v>194</v>
      </c>
      <c r="E824">
        <v>3036</v>
      </c>
      <c r="G824" s="3">
        <v>9.5999999999999992E-3</v>
      </c>
      <c r="I824" s="3">
        <v>0.99039999999999995</v>
      </c>
    </row>
    <row r="825" spans="1:9">
      <c r="A825" t="s">
        <v>199</v>
      </c>
      <c r="B825" t="s">
        <v>360</v>
      </c>
      <c r="C825">
        <v>131</v>
      </c>
      <c r="D825" t="s">
        <v>194</v>
      </c>
      <c r="E825">
        <v>3036</v>
      </c>
      <c r="G825" s="3">
        <v>0.13089999999999999</v>
      </c>
      <c r="H825" s="3">
        <v>1.5E-3</v>
      </c>
      <c r="I825" s="3">
        <v>0.86760000000000004</v>
      </c>
    </row>
    <row r="826" spans="1:9">
      <c r="A826" t="s">
        <v>199</v>
      </c>
      <c r="B826" t="s">
        <v>361</v>
      </c>
      <c r="C826">
        <v>137</v>
      </c>
      <c r="D826" t="s">
        <v>194</v>
      </c>
      <c r="E826">
        <v>3036</v>
      </c>
      <c r="F826" s="3">
        <v>2.7000000000000001E-3</v>
      </c>
      <c r="G826" s="3">
        <v>9.4899999999999998E-2</v>
      </c>
      <c r="H826" s="3">
        <v>1.2999999999999999E-3</v>
      </c>
      <c r="I826" s="3">
        <v>0.90110000000000001</v>
      </c>
    </row>
    <row r="827" spans="1:9">
      <c r="A827" t="s">
        <v>199</v>
      </c>
      <c r="B827" t="s">
        <v>362</v>
      </c>
      <c r="C827">
        <v>177</v>
      </c>
      <c r="D827" t="s">
        <v>194</v>
      </c>
      <c r="E827">
        <v>3036</v>
      </c>
      <c r="G827" s="3">
        <v>2.8400000000000002E-2</v>
      </c>
      <c r="H827" s="3">
        <v>2.2000000000000001E-3</v>
      </c>
      <c r="I827" s="3">
        <v>0.96940000000000004</v>
      </c>
    </row>
    <row r="828" spans="1:9">
      <c r="A828" t="s">
        <v>199</v>
      </c>
      <c r="B828" t="s">
        <v>363</v>
      </c>
      <c r="C828">
        <v>99</v>
      </c>
      <c r="D828" t="s">
        <v>194</v>
      </c>
      <c r="E828">
        <v>3036</v>
      </c>
      <c r="F828" s="3">
        <v>5.1000000000000004E-3</v>
      </c>
      <c r="G828" s="3">
        <v>7.0699999999999999E-2</v>
      </c>
      <c r="I828" s="3">
        <v>0.92420000000000002</v>
      </c>
    </row>
    <row r="829" spans="1:9">
      <c r="A829" t="s">
        <v>199</v>
      </c>
      <c r="B829" t="s">
        <v>364</v>
      </c>
      <c r="C829">
        <v>53</v>
      </c>
      <c r="D829" t="s">
        <v>194</v>
      </c>
      <c r="E829">
        <v>3036</v>
      </c>
      <c r="F829" s="3">
        <v>4.7000000000000002E-3</v>
      </c>
      <c r="G829" s="3">
        <v>9.1600000000000001E-2</v>
      </c>
      <c r="I829" s="3">
        <v>0.90380000000000005</v>
      </c>
    </row>
    <row r="830" spans="1:9">
      <c r="A830" t="s">
        <v>199</v>
      </c>
      <c r="B830" t="s">
        <v>365</v>
      </c>
      <c r="C830">
        <v>54</v>
      </c>
      <c r="D830" t="s">
        <v>194</v>
      </c>
      <c r="E830">
        <v>3036</v>
      </c>
      <c r="G830" s="3">
        <v>8.9999999999999998E-4</v>
      </c>
      <c r="I830" s="3">
        <v>0.99909999999999999</v>
      </c>
    </row>
    <row r="831" spans="1:9">
      <c r="A831" t="s">
        <v>199</v>
      </c>
      <c r="B831" t="s">
        <v>285</v>
      </c>
      <c r="C831">
        <v>58</v>
      </c>
      <c r="D831" t="s">
        <v>194</v>
      </c>
      <c r="E831">
        <v>3036</v>
      </c>
      <c r="G831" s="3">
        <v>2.86E-2</v>
      </c>
      <c r="I831" s="3">
        <v>0.97140000000000004</v>
      </c>
    </row>
    <row r="832" spans="1:9">
      <c r="A832" t="s">
        <v>199</v>
      </c>
      <c r="B832" t="s">
        <v>366</v>
      </c>
      <c r="C832">
        <v>133</v>
      </c>
      <c r="D832" t="s">
        <v>194</v>
      </c>
      <c r="E832">
        <v>3036</v>
      </c>
      <c r="G832" s="3">
        <v>1.55E-2</v>
      </c>
      <c r="I832" s="3">
        <v>0.98450000000000004</v>
      </c>
    </row>
    <row r="833" spans="1:9">
      <c r="A833" t="s">
        <v>199</v>
      </c>
      <c r="B833" t="s">
        <v>289</v>
      </c>
      <c r="C833">
        <v>389</v>
      </c>
      <c r="D833" t="s">
        <v>194</v>
      </c>
      <c r="E833">
        <v>3036</v>
      </c>
      <c r="G833" s="3">
        <v>0.10539999999999999</v>
      </c>
      <c r="I833" s="3">
        <v>0.89459999999999995</v>
      </c>
    </row>
    <row r="834" spans="1:9">
      <c r="A834" t="s">
        <v>199</v>
      </c>
      <c r="B834" t="s">
        <v>356</v>
      </c>
      <c r="C834">
        <v>99</v>
      </c>
      <c r="D834" t="s">
        <v>194</v>
      </c>
      <c r="E834">
        <v>3036</v>
      </c>
      <c r="G834" s="3">
        <v>1.0200000000000001E-2</v>
      </c>
      <c r="I834" s="3">
        <v>0.98980000000000001</v>
      </c>
    </row>
    <row r="835" spans="1:9">
      <c r="A835" t="s">
        <v>195</v>
      </c>
      <c r="B835" t="s">
        <v>357</v>
      </c>
      <c r="C835">
        <v>87</v>
      </c>
      <c r="D835" t="s">
        <v>194</v>
      </c>
      <c r="E835">
        <v>3036</v>
      </c>
      <c r="G835" s="3">
        <v>0.11840000000000001</v>
      </c>
      <c r="I835" s="3">
        <v>0.88160000000000005</v>
      </c>
    </row>
    <row r="836" spans="1:9">
      <c r="A836" t="s">
        <v>195</v>
      </c>
      <c r="B836" t="s">
        <v>358</v>
      </c>
      <c r="C836">
        <v>80</v>
      </c>
      <c r="D836" t="s">
        <v>194</v>
      </c>
      <c r="E836">
        <v>3036</v>
      </c>
      <c r="F836" s="3">
        <v>2.1899999999999999E-2</v>
      </c>
      <c r="G836" s="3">
        <v>0.1459</v>
      </c>
      <c r="H836" s="3">
        <v>5.4699999999999999E-2</v>
      </c>
      <c r="I836" s="3">
        <v>0.77749999999999997</v>
      </c>
    </row>
    <row r="837" spans="1:9">
      <c r="A837" t="s">
        <v>195</v>
      </c>
      <c r="B837" t="s">
        <v>359</v>
      </c>
      <c r="C837">
        <v>114</v>
      </c>
      <c r="D837" t="s">
        <v>194</v>
      </c>
      <c r="E837">
        <v>3036</v>
      </c>
      <c r="G837" s="3">
        <v>3.5400000000000001E-2</v>
      </c>
      <c r="H837" s="3">
        <v>3.3999999999999998E-3</v>
      </c>
      <c r="I837" s="3">
        <v>0.96109999999999995</v>
      </c>
    </row>
    <row r="838" spans="1:9">
      <c r="A838" t="s">
        <v>195</v>
      </c>
      <c r="B838" t="s">
        <v>360</v>
      </c>
      <c r="C838">
        <v>94</v>
      </c>
      <c r="D838" t="s">
        <v>194</v>
      </c>
      <c r="E838">
        <v>3036</v>
      </c>
      <c r="G838" s="3">
        <v>7.5899999999999995E-2</v>
      </c>
      <c r="I838" s="3">
        <v>0.92410000000000003</v>
      </c>
    </row>
    <row r="839" spans="1:9">
      <c r="A839" t="s">
        <v>195</v>
      </c>
      <c r="B839" t="s">
        <v>361</v>
      </c>
      <c r="C839">
        <v>93</v>
      </c>
      <c r="D839" t="s">
        <v>194</v>
      </c>
      <c r="E839">
        <v>3036</v>
      </c>
      <c r="F839" s="3">
        <v>8.0000000000000004E-4</v>
      </c>
      <c r="G839" s="3">
        <v>0.12809999999999999</v>
      </c>
      <c r="I839" s="3">
        <v>0.871</v>
      </c>
    </row>
    <row r="840" spans="1:9">
      <c r="A840" t="s">
        <v>195</v>
      </c>
      <c r="B840" t="s">
        <v>362</v>
      </c>
      <c r="C840">
        <v>81</v>
      </c>
      <c r="D840" t="s">
        <v>194</v>
      </c>
      <c r="E840">
        <v>3036</v>
      </c>
      <c r="G840" s="3">
        <v>0.1255</v>
      </c>
      <c r="H840" s="3">
        <v>5.0000000000000001E-4</v>
      </c>
      <c r="I840" s="3">
        <v>0.87409999999999999</v>
      </c>
    </row>
    <row r="841" spans="1:9">
      <c r="A841" t="s">
        <v>195</v>
      </c>
      <c r="B841" t="s">
        <v>363</v>
      </c>
      <c r="C841">
        <v>72</v>
      </c>
      <c r="D841" t="s">
        <v>194</v>
      </c>
      <c r="E841">
        <v>3036</v>
      </c>
      <c r="F841" s="3">
        <v>1.9599999999999999E-2</v>
      </c>
      <c r="G841" s="3">
        <v>0.14499999999999999</v>
      </c>
      <c r="H841" s="3">
        <v>5.0000000000000001E-4</v>
      </c>
      <c r="I841" s="3">
        <v>0.83489999999999998</v>
      </c>
    </row>
    <row r="842" spans="1:9">
      <c r="A842" t="s">
        <v>195</v>
      </c>
      <c r="B842" t="s">
        <v>364</v>
      </c>
      <c r="C842">
        <v>51</v>
      </c>
      <c r="D842" t="s">
        <v>194</v>
      </c>
      <c r="E842">
        <v>3036</v>
      </c>
      <c r="G842" s="3">
        <v>0.15140000000000001</v>
      </c>
      <c r="I842" s="3">
        <v>0.84860000000000002</v>
      </c>
    </row>
    <row r="843" spans="1:9">
      <c r="A843" t="s">
        <v>195</v>
      </c>
      <c r="B843" t="s">
        <v>365</v>
      </c>
      <c r="C843">
        <v>50</v>
      </c>
      <c r="D843" t="s">
        <v>194</v>
      </c>
      <c r="E843">
        <v>3036</v>
      </c>
      <c r="G843" s="3">
        <v>4.41E-2</v>
      </c>
      <c r="I843" s="3">
        <v>0.95589999999999997</v>
      </c>
    </row>
    <row r="844" spans="1:9">
      <c r="A844" t="s">
        <v>195</v>
      </c>
      <c r="B844" t="s">
        <v>285</v>
      </c>
      <c r="C844">
        <v>48</v>
      </c>
      <c r="D844" t="s">
        <v>194</v>
      </c>
      <c r="E844">
        <v>3036</v>
      </c>
      <c r="F844" s="3">
        <v>1.8E-3</v>
      </c>
      <c r="G844" s="3">
        <v>2.6100000000000002E-2</v>
      </c>
      <c r="I844" s="3">
        <v>0.97209999999999996</v>
      </c>
    </row>
    <row r="845" spans="1:9">
      <c r="A845" t="s">
        <v>195</v>
      </c>
      <c r="B845" t="s">
        <v>366</v>
      </c>
      <c r="C845">
        <v>98</v>
      </c>
      <c r="D845" t="s">
        <v>194</v>
      </c>
      <c r="E845">
        <v>3036</v>
      </c>
      <c r="G845" s="3">
        <v>3.3500000000000002E-2</v>
      </c>
      <c r="I845" s="3">
        <v>0.96650000000000003</v>
      </c>
    </row>
    <row r="846" spans="1:9">
      <c r="A846" t="s">
        <v>195</v>
      </c>
      <c r="B846" t="s">
        <v>289</v>
      </c>
      <c r="C846">
        <v>377</v>
      </c>
      <c r="D846" t="s">
        <v>194</v>
      </c>
      <c r="E846">
        <v>3036</v>
      </c>
      <c r="G846" s="3">
        <v>0.17510000000000001</v>
      </c>
      <c r="I846" s="3">
        <v>0.82489999999999997</v>
      </c>
    </row>
    <row r="847" spans="1:9">
      <c r="A847" t="s">
        <v>200</v>
      </c>
      <c r="B847" t="s">
        <v>200</v>
      </c>
      <c r="C847">
        <v>3036</v>
      </c>
      <c r="D847" t="s">
        <v>200</v>
      </c>
      <c r="E847">
        <v>3036</v>
      </c>
      <c r="F847" s="3">
        <v>1.5E-3</v>
      </c>
      <c r="G847" s="3">
        <v>8.14E-2</v>
      </c>
      <c r="H847" s="3">
        <v>2E-3</v>
      </c>
      <c r="I847" s="3">
        <v>0.91500000000000004</v>
      </c>
    </row>
    <row r="849" spans="1:10" ht="45">
      <c r="A849" s="22" t="s">
        <v>376</v>
      </c>
    </row>
    <row r="850" spans="1:10">
      <c r="A850" t="s">
        <v>185</v>
      </c>
      <c r="B850" t="s">
        <v>291</v>
      </c>
      <c r="C850" t="s">
        <v>186</v>
      </c>
      <c r="D850" t="s">
        <v>192</v>
      </c>
      <c r="E850" t="s">
        <v>184</v>
      </c>
      <c r="F850" t="s">
        <v>193</v>
      </c>
      <c r="G850" t="s">
        <v>257</v>
      </c>
      <c r="H850" t="s">
        <v>226</v>
      </c>
      <c r="I850" t="s">
        <v>247</v>
      </c>
      <c r="J850" t="s">
        <v>227</v>
      </c>
    </row>
    <row r="851" spans="1:10">
      <c r="A851" t="s">
        <v>195</v>
      </c>
      <c r="B851" t="s">
        <v>356</v>
      </c>
      <c r="C851" t="s">
        <v>292</v>
      </c>
      <c r="D851">
        <v>40</v>
      </c>
      <c r="E851" t="s">
        <v>194</v>
      </c>
      <c r="F851">
        <v>3036</v>
      </c>
      <c r="H851" s="3">
        <v>5.8999999999999999E-3</v>
      </c>
      <c r="J851" s="3">
        <v>0.99409999999999998</v>
      </c>
    </row>
    <row r="852" spans="1:10">
      <c r="A852" t="s">
        <v>199</v>
      </c>
      <c r="B852" t="s">
        <v>366</v>
      </c>
      <c r="C852" t="s">
        <v>292</v>
      </c>
      <c r="D852">
        <v>69</v>
      </c>
      <c r="E852" t="s">
        <v>194</v>
      </c>
      <c r="F852">
        <v>3036</v>
      </c>
      <c r="H852" s="3">
        <v>4.8999999999999998E-3</v>
      </c>
      <c r="J852" s="3">
        <v>0.99509999999999998</v>
      </c>
    </row>
    <row r="853" spans="1:10">
      <c r="A853" t="s">
        <v>199</v>
      </c>
      <c r="B853" t="s">
        <v>366</v>
      </c>
      <c r="C853" t="s">
        <v>293</v>
      </c>
      <c r="D853">
        <v>64</v>
      </c>
      <c r="E853" t="s">
        <v>194</v>
      </c>
      <c r="F853">
        <v>3036</v>
      </c>
      <c r="H853" s="3">
        <v>2.9899999999999999E-2</v>
      </c>
      <c r="J853" s="3">
        <v>0.97009999999999996</v>
      </c>
    </row>
    <row r="854" spans="1:10" s="25" customFormat="1">
      <c r="A854" s="25" t="s">
        <v>199</v>
      </c>
      <c r="B854" s="25" t="s">
        <v>285</v>
      </c>
      <c r="C854" s="25" t="s">
        <v>292</v>
      </c>
      <c r="D854" s="25">
        <v>17</v>
      </c>
      <c r="E854" s="25" t="s">
        <v>194</v>
      </c>
      <c r="F854" s="25">
        <v>3036</v>
      </c>
      <c r="H854" s="26">
        <v>1.52E-2</v>
      </c>
      <c r="J854" s="26">
        <v>0.98480000000000001</v>
      </c>
    </row>
    <row r="855" spans="1:10">
      <c r="A855" t="s">
        <v>199</v>
      </c>
      <c r="B855" t="s">
        <v>285</v>
      </c>
      <c r="C855" t="s">
        <v>293</v>
      </c>
      <c r="D855">
        <v>41</v>
      </c>
      <c r="E855" t="s">
        <v>194</v>
      </c>
      <c r="F855">
        <v>3036</v>
      </c>
      <c r="H855" s="3">
        <v>3.5099999999999999E-2</v>
      </c>
      <c r="J855" s="3">
        <v>0.96489999999999998</v>
      </c>
    </row>
    <row r="856" spans="1:10" s="25" customFormat="1">
      <c r="A856" s="25" t="s">
        <v>199</v>
      </c>
      <c r="B856" s="25" t="s">
        <v>365</v>
      </c>
      <c r="C856" s="25" t="s">
        <v>292</v>
      </c>
      <c r="D856" s="25">
        <v>25</v>
      </c>
      <c r="E856" s="25" t="s">
        <v>194</v>
      </c>
      <c r="F856" s="25">
        <v>3036</v>
      </c>
      <c r="H856" s="26">
        <v>2E-3</v>
      </c>
      <c r="J856" s="26">
        <v>0.998</v>
      </c>
    </row>
    <row r="857" spans="1:10" s="25" customFormat="1">
      <c r="A857" s="25" t="s">
        <v>199</v>
      </c>
      <c r="B857" s="25" t="s">
        <v>365</v>
      </c>
      <c r="C857" s="25" t="s">
        <v>293</v>
      </c>
      <c r="D857" s="25">
        <v>29</v>
      </c>
      <c r="E857" s="25" t="s">
        <v>194</v>
      </c>
      <c r="F857" s="25">
        <v>3036</v>
      </c>
      <c r="J857" s="26">
        <v>1</v>
      </c>
    </row>
    <row r="858" spans="1:10" s="25" customFormat="1">
      <c r="A858" s="25" t="s">
        <v>199</v>
      </c>
      <c r="B858" s="25" t="s">
        <v>364</v>
      </c>
      <c r="C858" s="25" t="s">
        <v>292</v>
      </c>
      <c r="D858" s="25">
        <v>10</v>
      </c>
      <c r="E858" s="25" t="s">
        <v>194</v>
      </c>
      <c r="F858" s="25">
        <v>3036</v>
      </c>
      <c r="H858" s="26">
        <v>2.0999999999999999E-3</v>
      </c>
      <c r="J858" s="26">
        <v>0.99790000000000001</v>
      </c>
    </row>
    <row r="859" spans="1:10">
      <c r="A859" t="s">
        <v>199</v>
      </c>
      <c r="B859" t="s">
        <v>364</v>
      </c>
      <c r="C859" t="s">
        <v>293</v>
      </c>
      <c r="D859">
        <v>43</v>
      </c>
      <c r="E859" t="s">
        <v>194</v>
      </c>
      <c r="F859">
        <v>3036</v>
      </c>
      <c r="G859" s="3">
        <v>5.8999999999999999E-3</v>
      </c>
      <c r="H859" s="3">
        <v>0.1157</v>
      </c>
      <c r="J859" s="3">
        <v>0.87839999999999996</v>
      </c>
    </row>
    <row r="860" spans="1:10">
      <c r="A860" t="s">
        <v>199</v>
      </c>
      <c r="B860" t="s">
        <v>363</v>
      </c>
      <c r="C860" t="s">
        <v>292</v>
      </c>
      <c r="D860">
        <v>31</v>
      </c>
      <c r="E860" t="s">
        <v>194</v>
      </c>
      <c r="F860">
        <v>3036</v>
      </c>
      <c r="H860" s="3">
        <v>0.18690000000000001</v>
      </c>
      <c r="J860" s="3">
        <v>0.81310000000000004</v>
      </c>
    </row>
    <row r="861" spans="1:10">
      <c r="A861" t="s">
        <v>199</v>
      </c>
      <c r="B861" t="s">
        <v>363</v>
      </c>
      <c r="C861" t="s">
        <v>293</v>
      </c>
      <c r="D861">
        <v>68</v>
      </c>
      <c r="E861" t="s">
        <v>194</v>
      </c>
      <c r="F861">
        <v>3036</v>
      </c>
      <c r="G861" s="3">
        <v>7.7000000000000002E-3</v>
      </c>
      <c r="H861" s="3">
        <v>1.0800000000000001E-2</v>
      </c>
      <c r="J861" s="3">
        <v>0.98150000000000004</v>
      </c>
    </row>
    <row r="862" spans="1:10">
      <c r="A862" t="s">
        <v>199</v>
      </c>
      <c r="B862" t="s">
        <v>362</v>
      </c>
      <c r="C862" t="s">
        <v>292</v>
      </c>
      <c r="D862">
        <v>73</v>
      </c>
      <c r="E862" t="s">
        <v>194</v>
      </c>
      <c r="F862">
        <v>3036</v>
      </c>
      <c r="H862" s="3">
        <v>4.1200000000000001E-2</v>
      </c>
      <c r="J862" s="3">
        <v>0.95879999999999999</v>
      </c>
    </row>
    <row r="863" spans="1:10">
      <c r="A863" t="s">
        <v>199</v>
      </c>
      <c r="B863" t="s">
        <v>362</v>
      </c>
      <c r="C863" t="s">
        <v>293</v>
      </c>
      <c r="D863">
        <v>104</v>
      </c>
      <c r="E863" t="s">
        <v>194</v>
      </c>
      <c r="F863">
        <v>3036</v>
      </c>
      <c r="H863" s="3">
        <v>2.0199999999999999E-2</v>
      </c>
      <c r="I863" s="3">
        <v>3.5999999999999999E-3</v>
      </c>
      <c r="J863" s="3">
        <v>0.97619999999999996</v>
      </c>
    </row>
    <row r="864" spans="1:10">
      <c r="A864" t="s">
        <v>199</v>
      </c>
      <c r="B864" t="s">
        <v>361</v>
      </c>
      <c r="C864" t="s">
        <v>292</v>
      </c>
      <c r="D864">
        <v>54</v>
      </c>
      <c r="E864" t="s">
        <v>194</v>
      </c>
      <c r="F864">
        <v>3036</v>
      </c>
      <c r="H864" s="3">
        <v>4.1300000000000003E-2</v>
      </c>
      <c r="I864" s="3">
        <v>3.0999999999999999E-3</v>
      </c>
      <c r="J864" s="3">
        <v>0.95569999999999999</v>
      </c>
    </row>
    <row r="865" spans="1:10">
      <c r="A865" t="s">
        <v>199</v>
      </c>
      <c r="B865" t="s">
        <v>361</v>
      </c>
      <c r="C865" t="s">
        <v>293</v>
      </c>
      <c r="D865">
        <v>83</v>
      </c>
      <c r="E865" t="s">
        <v>194</v>
      </c>
      <c r="F865">
        <v>3036</v>
      </c>
      <c r="G865" s="3">
        <v>4.5999999999999999E-3</v>
      </c>
      <c r="H865" s="3">
        <v>0.13400000000000001</v>
      </c>
      <c r="J865" s="3">
        <v>0.86140000000000005</v>
      </c>
    </row>
    <row r="866" spans="1:10">
      <c r="A866" t="s">
        <v>199</v>
      </c>
      <c r="B866" t="s">
        <v>360</v>
      </c>
      <c r="C866" t="s">
        <v>292</v>
      </c>
      <c r="D866">
        <v>65</v>
      </c>
      <c r="E866" t="s">
        <v>194</v>
      </c>
      <c r="F866">
        <v>3036</v>
      </c>
      <c r="H866" s="3">
        <v>0.13869999999999999</v>
      </c>
      <c r="I866" s="3">
        <v>2.5999999999999999E-3</v>
      </c>
      <c r="J866" s="3">
        <v>0.85870000000000002</v>
      </c>
    </row>
    <row r="867" spans="1:10">
      <c r="A867" t="s">
        <v>199</v>
      </c>
      <c r="B867" t="s">
        <v>360</v>
      </c>
      <c r="C867" t="s">
        <v>293</v>
      </c>
      <c r="D867">
        <v>66</v>
      </c>
      <c r="E867" t="s">
        <v>194</v>
      </c>
      <c r="F867">
        <v>3036</v>
      </c>
      <c r="H867" s="3">
        <v>0.1208</v>
      </c>
      <c r="J867" s="3">
        <v>0.87919999999999998</v>
      </c>
    </row>
    <row r="868" spans="1:10">
      <c r="A868" t="s">
        <v>199</v>
      </c>
      <c r="B868" t="s">
        <v>359</v>
      </c>
      <c r="C868" t="s">
        <v>292</v>
      </c>
      <c r="D868">
        <v>63</v>
      </c>
      <c r="E868" t="s">
        <v>194</v>
      </c>
      <c r="F868">
        <v>3036</v>
      </c>
      <c r="H868" s="3">
        <v>0.01</v>
      </c>
      <c r="J868" s="3">
        <v>0.99</v>
      </c>
    </row>
    <row r="869" spans="1:10">
      <c r="A869" t="s">
        <v>199</v>
      </c>
      <c r="B869" t="s">
        <v>359</v>
      </c>
      <c r="C869" t="s">
        <v>293</v>
      </c>
      <c r="D869">
        <v>79</v>
      </c>
      <c r="E869" t="s">
        <v>194</v>
      </c>
      <c r="F869">
        <v>3036</v>
      </c>
      <c r="H869" s="3">
        <v>9.4000000000000004E-3</v>
      </c>
      <c r="J869" s="3">
        <v>0.99060000000000004</v>
      </c>
    </row>
    <row r="870" spans="1:10">
      <c r="A870" t="s">
        <v>199</v>
      </c>
      <c r="B870" t="s">
        <v>358</v>
      </c>
      <c r="C870" t="s">
        <v>292</v>
      </c>
      <c r="D870">
        <v>55</v>
      </c>
      <c r="E870" t="s">
        <v>194</v>
      </c>
      <c r="F870">
        <v>3036</v>
      </c>
      <c r="H870" s="3">
        <v>8.5199999999999998E-2</v>
      </c>
      <c r="J870" s="3">
        <v>0.91479999999999995</v>
      </c>
    </row>
    <row r="871" spans="1:10">
      <c r="A871" t="s">
        <v>199</v>
      </c>
      <c r="B871" t="s">
        <v>358</v>
      </c>
      <c r="C871" t="s">
        <v>293</v>
      </c>
      <c r="D871">
        <v>64</v>
      </c>
      <c r="E871" t="s">
        <v>194</v>
      </c>
      <c r="F871">
        <v>3036</v>
      </c>
      <c r="H871" s="3">
        <v>0.14130000000000001</v>
      </c>
      <c r="J871" s="3">
        <v>0.85870000000000002</v>
      </c>
    </row>
    <row r="872" spans="1:10">
      <c r="A872" t="s">
        <v>199</v>
      </c>
      <c r="B872" t="s">
        <v>357</v>
      </c>
      <c r="C872" t="s">
        <v>292</v>
      </c>
      <c r="D872">
        <v>54</v>
      </c>
      <c r="E872" t="s">
        <v>194</v>
      </c>
      <c r="F872">
        <v>3036</v>
      </c>
      <c r="H872" s="3">
        <v>1.77E-2</v>
      </c>
      <c r="J872" s="3">
        <v>0.98229999999999995</v>
      </c>
    </row>
    <row r="873" spans="1:10">
      <c r="A873" t="s">
        <v>199</v>
      </c>
      <c r="B873" t="s">
        <v>357</v>
      </c>
      <c r="C873" t="s">
        <v>293</v>
      </c>
      <c r="D873">
        <v>62</v>
      </c>
      <c r="E873" t="s">
        <v>194</v>
      </c>
      <c r="F873">
        <v>3036</v>
      </c>
      <c r="H873" s="3">
        <v>1.1299999999999999E-2</v>
      </c>
      <c r="J873" s="3">
        <v>0.98870000000000002</v>
      </c>
    </row>
    <row r="874" spans="1:10">
      <c r="A874" t="s">
        <v>199</v>
      </c>
      <c r="B874" t="s">
        <v>289</v>
      </c>
      <c r="C874" t="s">
        <v>292</v>
      </c>
      <c r="D874">
        <v>132</v>
      </c>
      <c r="E874" t="s">
        <v>194</v>
      </c>
      <c r="F874">
        <v>3036</v>
      </c>
      <c r="H874" s="3">
        <v>8.4500000000000006E-2</v>
      </c>
      <c r="J874" s="3">
        <v>0.91549999999999998</v>
      </c>
    </row>
    <row r="875" spans="1:10">
      <c r="A875" t="s">
        <v>199</v>
      </c>
      <c r="B875" t="s">
        <v>356</v>
      </c>
      <c r="C875" t="s">
        <v>293</v>
      </c>
      <c r="D875">
        <v>46</v>
      </c>
      <c r="E875" t="s">
        <v>194</v>
      </c>
      <c r="F875">
        <v>3036</v>
      </c>
      <c r="J875" s="3">
        <v>1</v>
      </c>
    </row>
    <row r="876" spans="1:10">
      <c r="A876" t="s">
        <v>199</v>
      </c>
      <c r="B876" t="s">
        <v>289</v>
      </c>
      <c r="C876" t="s">
        <v>293</v>
      </c>
      <c r="D876">
        <v>257</v>
      </c>
      <c r="E876" t="s">
        <v>194</v>
      </c>
      <c r="F876">
        <v>3036</v>
      </c>
      <c r="H876" s="3">
        <v>0.1158</v>
      </c>
      <c r="J876" s="3">
        <v>0.88419999999999999</v>
      </c>
    </row>
    <row r="877" spans="1:10">
      <c r="A877" t="s">
        <v>199</v>
      </c>
      <c r="B877" t="s">
        <v>356</v>
      </c>
      <c r="C877" t="s">
        <v>292</v>
      </c>
      <c r="D877">
        <v>53</v>
      </c>
      <c r="E877" t="s">
        <v>194</v>
      </c>
      <c r="F877">
        <v>3036</v>
      </c>
      <c r="H877" s="3">
        <v>2.1899999999999999E-2</v>
      </c>
      <c r="J877" s="3">
        <v>0.97809999999999997</v>
      </c>
    </row>
    <row r="878" spans="1:10">
      <c r="A878" t="s">
        <v>195</v>
      </c>
      <c r="B878" t="s">
        <v>289</v>
      </c>
      <c r="C878" t="s">
        <v>292</v>
      </c>
      <c r="D878">
        <v>122</v>
      </c>
      <c r="E878" t="s">
        <v>194</v>
      </c>
      <c r="F878">
        <v>3036</v>
      </c>
      <c r="H878" s="3">
        <v>0.1789</v>
      </c>
      <c r="J878" s="3">
        <v>0.82110000000000005</v>
      </c>
    </row>
    <row r="879" spans="1:10">
      <c r="A879" t="s">
        <v>195</v>
      </c>
      <c r="B879" t="s">
        <v>356</v>
      </c>
      <c r="C879" t="s">
        <v>293</v>
      </c>
      <c r="D879">
        <v>44</v>
      </c>
      <c r="E879" t="s">
        <v>194</v>
      </c>
      <c r="F879">
        <v>3036</v>
      </c>
      <c r="H879" s="3">
        <v>5.4300000000000001E-2</v>
      </c>
      <c r="I879" s="3">
        <v>8.6E-3</v>
      </c>
      <c r="J879" s="3">
        <v>0.93710000000000004</v>
      </c>
    </row>
    <row r="880" spans="1:10">
      <c r="A880" t="s">
        <v>195</v>
      </c>
      <c r="B880" t="s">
        <v>366</v>
      </c>
      <c r="C880" t="s">
        <v>292</v>
      </c>
      <c r="D880">
        <v>52</v>
      </c>
      <c r="E880" t="s">
        <v>194</v>
      </c>
      <c r="F880">
        <v>3036</v>
      </c>
      <c r="H880" s="3">
        <v>7.4999999999999997E-3</v>
      </c>
      <c r="J880" s="3">
        <v>0.99250000000000005</v>
      </c>
    </row>
    <row r="881" spans="1:10">
      <c r="A881" t="s">
        <v>195</v>
      </c>
      <c r="B881" t="s">
        <v>366</v>
      </c>
      <c r="C881" t="s">
        <v>293</v>
      </c>
      <c r="D881">
        <v>46</v>
      </c>
      <c r="E881" t="s">
        <v>194</v>
      </c>
      <c r="F881">
        <v>3036</v>
      </c>
      <c r="H881" s="3">
        <v>6.2600000000000003E-2</v>
      </c>
      <c r="J881" s="3">
        <v>0.93740000000000001</v>
      </c>
    </row>
    <row r="882" spans="1:10" s="25" customFormat="1">
      <c r="A882" s="25" t="s">
        <v>195</v>
      </c>
      <c r="B882" s="25" t="s">
        <v>285</v>
      </c>
      <c r="C882" s="25" t="s">
        <v>292</v>
      </c>
      <c r="D882" s="25">
        <v>20</v>
      </c>
      <c r="E882" s="25" t="s">
        <v>194</v>
      </c>
      <c r="F882" s="25">
        <v>3036</v>
      </c>
      <c r="H882" s="26">
        <v>2.24E-2</v>
      </c>
      <c r="J882" s="26">
        <v>0.97760000000000002</v>
      </c>
    </row>
    <row r="883" spans="1:10" s="25" customFormat="1">
      <c r="A883" s="25" t="s">
        <v>195</v>
      </c>
      <c r="B883" s="25" t="s">
        <v>285</v>
      </c>
      <c r="C883" s="25" t="s">
        <v>293</v>
      </c>
      <c r="D883" s="25">
        <v>28</v>
      </c>
      <c r="E883" s="25" t="s">
        <v>194</v>
      </c>
      <c r="F883" s="25">
        <v>3036</v>
      </c>
      <c r="G883" s="26">
        <v>2.8E-3</v>
      </c>
      <c r="H883" s="26">
        <v>2.8199999999999999E-2</v>
      </c>
      <c r="J883" s="26">
        <v>0.96899999999999997</v>
      </c>
    </row>
    <row r="884" spans="1:10" s="25" customFormat="1">
      <c r="A884" s="25" t="s">
        <v>195</v>
      </c>
      <c r="B884" s="25" t="s">
        <v>365</v>
      </c>
      <c r="C884" s="25" t="s">
        <v>292</v>
      </c>
      <c r="D884" s="25">
        <v>18</v>
      </c>
      <c r="E884" s="25" t="s">
        <v>194</v>
      </c>
      <c r="F884" s="25">
        <v>3036</v>
      </c>
      <c r="H884" s="26">
        <v>5.3900000000000003E-2</v>
      </c>
      <c r="J884" s="26">
        <v>0.94610000000000005</v>
      </c>
    </row>
    <row r="885" spans="1:10">
      <c r="A885" t="s">
        <v>195</v>
      </c>
      <c r="B885" t="s">
        <v>365</v>
      </c>
      <c r="C885" t="s">
        <v>293</v>
      </c>
      <c r="D885">
        <v>32</v>
      </c>
      <c r="E885" t="s">
        <v>194</v>
      </c>
      <c r="F885">
        <v>3036</v>
      </c>
      <c r="H885" s="3">
        <v>4.0099999999999997E-2</v>
      </c>
      <c r="J885" s="3">
        <v>0.95989999999999998</v>
      </c>
    </row>
    <row r="886" spans="1:10" s="25" customFormat="1">
      <c r="A886" s="25" t="s">
        <v>195</v>
      </c>
      <c r="B886" s="25" t="s">
        <v>364</v>
      </c>
      <c r="C886" s="25" t="s">
        <v>292</v>
      </c>
      <c r="D886" s="25">
        <v>12</v>
      </c>
      <c r="E886" s="25" t="s">
        <v>194</v>
      </c>
      <c r="F886" s="25">
        <v>3036</v>
      </c>
      <c r="H886" s="26">
        <v>0.11849999999999999</v>
      </c>
      <c r="J886" s="26">
        <v>0.88149999999999995</v>
      </c>
    </row>
    <row r="887" spans="1:10">
      <c r="A887" t="s">
        <v>195</v>
      </c>
      <c r="B887" t="s">
        <v>364</v>
      </c>
      <c r="C887" t="s">
        <v>293</v>
      </c>
      <c r="D887">
        <v>39</v>
      </c>
      <c r="E887" t="s">
        <v>194</v>
      </c>
      <c r="F887">
        <v>3036</v>
      </c>
      <c r="H887" s="3">
        <v>0.16059999999999999</v>
      </c>
      <c r="J887" s="3">
        <v>0.83940000000000003</v>
      </c>
    </row>
    <row r="888" spans="1:10" s="25" customFormat="1">
      <c r="A888" s="25" t="s">
        <v>195</v>
      </c>
      <c r="B888" s="25" t="s">
        <v>363</v>
      </c>
      <c r="C888" s="25" t="s">
        <v>292</v>
      </c>
      <c r="D888" s="25">
        <v>26</v>
      </c>
      <c r="E888" s="25" t="s">
        <v>194</v>
      </c>
      <c r="F888" s="25">
        <v>3036</v>
      </c>
      <c r="H888" s="26">
        <v>0.1023</v>
      </c>
      <c r="J888" s="26">
        <v>0.89770000000000005</v>
      </c>
    </row>
    <row r="889" spans="1:10">
      <c r="A889" t="s">
        <v>195</v>
      </c>
      <c r="B889" t="s">
        <v>363</v>
      </c>
      <c r="C889" t="s">
        <v>293</v>
      </c>
      <c r="D889">
        <v>46</v>
      </c>
      <c r="E889" t="s">
        <v>194</v>
      </c>
      <c r="F889">
        <v>3036</v>
      </c>
      <c r="G889" s="3">
        <v>3.7199999999999997E-2</v>
      </c>
      <c r="H889" s="3">
        <v>0.18329999999999999</v>
      </c>
      <c r="I889" s="3">
        <v>1E-3</v>
      </c>
      <c r="J889" s="3">
        <v>0.77849999999999997</v>
      </c>
    </row>
    <row r="890" spans="1:10" s="25" customFormat="1">
      <c r="A890" s="25" t="s">
        <v>195</v>
      </c>
      <c r="B890" s="25" t="s">
        <v>362</v>
      </c>
      <c r="C890" s="25" t="s">
        <v>292</v>
      </c>
      <c r="D890" s="25">
        <v>26</v>
      </c>
      <c r="E890" s="25" t="s">
        <v>194</v>
      </c>
      <c r="F890" s="25">
        <v>3036</v>
      </c>
      <c r="H890" s="26">
        <v>6.5199999999999994E-2</v>
      </c>
      <c r="I890" s="26">
        <v>1.4E-3</v>
      </c>
      <c r="J890" s="26">
        <v>0.93340000000000001</v>
      </c>
    </row>
    <row r="891" spans="1:10">
      <c r="A891" t="s">
        <v>195</v>
      </c>
      <c r="B891" t="s">
        <v>362</v>
      </c>
      <c r="C891" t="s">
        <v>293</v>
      </c>
      <c r="D891">
        <v>55</v>
      </c>
      <c r="E891" t="s">
        <v>194</v>
      </c>
      <c r="F891">
        <v>3036</v>
      </c>
      <c r="H891" s="3">
        <v>0.1537</v>
      </c>
      <c r="J891" s="3">
        <v>0.84630000000000005</v>
      </c>
    </row>
    <row r="892" spans="1:10">
      <c r="A892" t="s">
        <v>195</v>
      </c>
      <c r="B892" t="s">
        <v>361</v>
      </c>
      <c r="C892" t="s">
        <v>292</v>
      </c>
      <c r="D892">
        <v>31</v>
      </c>
      <c r="E892" t="s">
        <v>194</v>
      </c>
      <c r="F892">
        <v>3036</v>
      </c>
      <c r="H892" s="3">
        <v>0.1278</v>
      </c>
      <c r="J892" s="3">
        <v>0.87219999999999998</v>
      </c>
    </row>
    <row r="893" spans="1:10">
      <c r="A893" t="s">
        <v>195</v>
      </c>
      <c r="B893" t="s">
        <v>361</v>
      </c>
      <c r="C893" t="s">
        <v>293</v>
      </c>
      <c r="D893">
        <v>62</v>
      </c>
      <c r="E893" t="s">
        <v>194</v>
      </c>
      <c r="F893">
        <v>3036</v>
      </c>
      <c r="G893" s="3">
        <v>1.4E-3</v>
      </c>
      <c r="H893" s="3">
        <v>0.12839999999999999</v>
      </c>
      <c r="J893" s="3">
        <v>0.87019999999999997</v>
      </c>
    </row>
    <row r="894" spans="1:10">
      <c r="A894" t="s">
        <v>195</v>
      </c>
      <c r="B894" t="s">
        <v>360</v>
      </c>
      <c r="C894" t="s">
        <v>292</v>
      </c>
      <c r="D894">
        <v>33</v>
      </c>
      <c r="E894" t="s">
        <v>194</v>
      </c>
      <c r="F894">
        <v>3036</v>
      </c>
      <c r="H894" s="3">
        <v>6.4199999999999993E-2</v>
      </c>
      <c r="J894" s="3">
        <v>0.93579999999999997</v>
      </c>
    </row>
    <row r="895" spans="1:10">
      <c r="A895" t="s">
        <v>195</v>
      </c>
      <c r="B895" t="s">
        <v>360</v>
      </c>
      <c r="C895" t="s">
        <v>293</v>
      </c>
      <c r="D895">
        <v>61</v>
      </c>
      <c r="E895" t="s">
        <v>194</v>
      </c>
      <c r="F895">
        <v>3036</v>
      </c>
      <c r="H895" s="3">
        <v>8.1799999999999998E-2</v>
      </c>
      <c r="J895" s="3">
        <v>0.91820000000000002</v>
      </c>
    </row>
    <row r="896" spans="1:10">
      <c r="A896" t="s">
        <v>195</v>
      </c>
      <c r="B896" t="s">
        <v>359</v>
      </c>
      <c r="C896" t="s">
        <v>292</v>
      </c>
      <c r="D896">
        <v>65</v>
      </c>
      <c r="E896" t="s">
        <v>194</v>
      </c>
      <c r="F896">
        <v>3036</v>
      </c>
      <c r="H896" s="3">
        <v>6.4999999999999997E-3</v>
      </c>
      <c r="J896" s="3">
        <v>0.99350000000000005</v>
      </c>
    </row>
    <row r="897" spans="1:10">
      <c r="A897" t="s">
        <v>195</v>
      </c>
      <c r="B897" t="s">
        <v>359</v>
      </c>
      <c r="C897" t="s">
        <v>293</v>
      </c>
      <c r="D897">
        <v>49</v>
      </c>
      <c r="E897" t="s">
        <v>194</v>
      </c>
      <c r="F897">
        <v>3036</v>
      </c>
      <c r="H897" s="3">
        <v>6.7799999999999999E-2</v>
      </c>
      <c r="I897" s="3">
        <v>7.1999999999999998E-3</v>
      </c>
      <c r="J897" s="3">
        <v>0.92500000000000004</v>
      </c>
    </row>
    <row r="898" spans="1:10">
      <c r="A898" t="s">
        <v>195</v>
      </c>
      <c r="B898" t="s">
        <v>358</v>
      </c>
      <c r="C898" t="s">
        <v>292</v>
      </c>
      <c r="D898">
        <v>33</v>
      </c>
      <c r="E898" t="s">
        <v>194</v>
      </c>
      <c r="F898">
        <v>3036</v>
      </c>
      <c r="H898" s="3">
        <v>0.18590000000000001</v>
      </c>
      <c r="I898" s="3">
        <v>6.8699999999999997E-2</v>
      </c>
      <c r="J898" s="3">
        <v>0.74539999999999995</v>
      </c>
    </row>
    <row r="899" spans="1:10">
      <c r="A899" t="s">
        <v>195</v>
      </c>
      <c r="B899" t="s">
        <v>358</v>
      </c>
      <c r="C899" t="s">
        <v>293</v>
      </c>
      <c r="D899">
        <v>47</v>
      </c>
      <c r="E899" t="s">
        <v>194</v>
      </c>
      <c r="F899">
        <v>3036</v>
      </c>
      <c r="G899" s="3">
        <v>3.6400000000000002E-2</v>
      </c>
      <c r="H899" s="3">
        <v>0.1195</v>
      </c>
      <c r="I899" s="3">
        <v>4.5400000000000003E-2</v>
      </c>
      <c r="J899" s="3">
        <v>0.79859999999999998</v>
      </c>
    </row>
    <row r="900" spans="1:10" s="25" customFormat="1">
      <c r="A900" s="25" t="s">
        <v>195</v>
      </c>
      <c r="B900" s="25" t="s">
        <v>357</v>
      </c>
      <c r="C900" s="25" t="s">
        <v>292</v>
      </c>
      <c r="D900" s="25">
        <v>29</v>
      </c>
      <c r="E900" s="25" t="s">
        <v>194</v>
      </c>
      <c r="F900" s="25">
        <v>3036</v>
      </c>
      <c r="H900" s="26">
        <v>0.22600000000000001</v>
      </c>
      <c r="J900" s="26">
        <v>0.77400000000000002</v>
      </c>
    </row>
    <row r="901" spans="1:10">
      <c r="A901" t="s">
        <v>195</v>
      </c>
      <c r="B901" t="s">
        <v>357</v>
      </c>
      <c r="C901" t="s">
        <v>293</v>
      </c>
      <c r="D901">
        <v>58</v>
      </c>
      <c r="E901" t="s">
        <v>194</v>
      </c>
      <c r="F901">
        <v>3036</v>
      </c>
      <c r="H901" s="3">
        <v>7.2599999999999998E-2</v>
      </c>
      <c r="J901" s="3">
        <v>0.9274</v>
      </c>
    </row>
    <row r="902" spans="1:10">
      <c r="A902" t="s">
        <v>195</v>
      </c>
      <c r="B902" t="s">
        <v>289</v>
      </c>
      <c r="C902" t="s">
        <v>293</v>
      </c>
      <c r="D902">
        <v>255</v>
      </c>
      <c r="E902" t="s">
        <v>194</v>
      </c>
      <c r="F902">
        <v>3036</v>
      </c>
      <c r="H902" s="3">
        <v>0.1734</v>
      </c>
      <c r="J902" s="3">
        <v>0.8266</v>
      </c>
    </row>
    <row r="903" spans="1:10">
      <c r="A903" t="s">
        <v>200</v>
      </c>
      <c r="B903" t="s">
        <v>200</v>
      </c>
      <c r="C903" t="s">
        <v>200</v>
      </c>
      <c r="D903">
        <v>3036</v>
      </c>
      <c r="E903" t="s">
        <v>200</v>
      </c>
      <c r="F903">
        <v>3036</v>
      </c>
      <c r="G903" s="3">
        <v>1.5E-3</v>
      </c>
      <c r="H903" s="3">
        <v>8.14E-2</v>
      </c>
      <c r="I903" s="3">
        <v>2E-3</v>
      </c>
      <c r="J903" s="3">
        <v>0.91500000000000004</v>
      </c>
    </row>
    <row r="905" spans="1:10" ht="45">
      <c r="A905" s="22" t="s">
        <v>377</v>
      </c>
    </row>
    <row r="906" spans="1:10">
      <c r="A906" t="s">
        <v>185</v>
      </c>
      <c r="B906" t="s">
        <v>186</v>
      </c>
      <c r="C906" t="s">
        <v>192</v>
      </c>
      <c r="D906" t="s">
        <v>184</v>
      </c>
      <c r="E906" t="s">
        <v>193</v>
      </c>
      <c r="F906" t="s">
        <v>257</v>
      </c>
      <c r="G906" t="s">
        <v>226</v>
      </c>
      <c r="H906" t="s">
        <v>247</v>
      </c>
      <c r="I906" t="s">
        <v>227</v>
      </c>
    </row>
    <row r="907" spans="1:10">
      <c r="A907" t="s">
        <v>195</v>
      </c>
      <c r="B907" t="s">
        <v>196</v>
      </c>
      <c r="C907">
        <v>454</v>
      </c>
      <c r="D907" t="s">
        <v>194</v>
      </c>
      <c r="E907">
        <v>3036</v>
      </c>
      <c r="F907" s="3">
        <v>5.0000000000000001E-4</v>
      </c>
      <c r="G907" s="3">
        <v>0.16239999999999999</v>
      </c>
      <c r="H907" s="3">
        <v>1.61E-2</v>
      </c>
      <c r="I907" s="3">
        <v>0.82110000000000005</v>
      </c>
    </row>
    <row r="908" spans="1:10">
      <c r="A908" t="s">
        <v>195</v>
      </c>
      <c r="B908" t="s">
        <v>198</v>
      </c>
      <c r="C908">
        <v>848</v>
      </c>
      <c r="D908" t="s">
        <v>194</v>
      </c>
      <c r="E908">
        <v>3036</v>
      </c>
      <c r="F908" s="3">
        <v>3.2000000000000002E-3</v>
      </c>
      <c r="G908" s="3">
        <v>9.5200000000000007E-2</v>
      </c>
      <c r="I908" s="3">
        <v>0.90149999999999997</v>
      </c>
    </row>
    <row r="909" spans="1:10">
      <c r="A909" t="s">
        <v>199</v>
      </c>
      <c r="B909" t="s">
        <v>196</v>
      </c>
      <c r="C909">
        <v>641</v>
      </c>
      <c r="D909" t="s">
        <v>194</v>
      </c>
      <c r="E909">
        <v>3036</v>
      </c>
      <c r="F909" s="3">
        <v>1.8E-3</v>
      </c>
      <c r="G909" s="3">
        <v>6.9900000000000004E-2</v>
      </c>
      <c r="H909" s="3">
        <v>1.1999999999999999E-3</v>
      </c>
      <c r="I909" s="3">
        <v>0.92710000000000004</v>
      </c>
    </row>
    <row r="910" spans="1:10">
      <c r="A910" t="s">
        <v>199</v>
      </c>
      <c r="B910" t="s">
        <v>198</v>
      </c>
      <c r="C910">
        <v>1048</v>
      </c>
      <c r="D910" t="s">
        <v>194</v>
      </c>
      <c r="E910">
        <v>3036</v>
      </c>
      <c r="F910" s="3">
        <v>4.0000000000000002E-4</v>
      </c>
      <c r="G910" s="3">
        <v>5.2900000000000003E-2</v>
      </c>
      <c r="H910" s="3">
        <v>2.0000000000000001E-4</v>
      </c>
      <c r="I910" s="3">
        <v>0.94640000000000002</v>
      </c>
    </row>
    <row r="911" spans="1:10">
      <c r="A911" t="s">
        <v>200</v>
      </c>
      <c r="B911" t="s">
        <v>200</v>
      </c>
      <c r="C911">
        <v>3036</v>
      </c>
      <c r="D911" t="s">
        <v>200</v>
      </c>
      <c r="E911">
        <v>3036</v>
      </c>
      <c r="F911" s="3">
        <v>1.5E-3</v>
      </c>
      <c r="G911" s="3">
        <v>8.14E-2</v>
      </c>
      <c r="H911" s="3">
        <v>2E-3</v>
      </c>
      <c r="I911" s="3">
        <v>0.91500000000000004</v>
      </c>
    </row>
    <row r="913" spans="1:9" ht="45">
      <c r="A913" s="22" t="s">
        <v>378</v>
      </c>
    </row>
    <row r="914" spans="1:9">
      <c r="A914" t="s">
        <v>185</v>
      </c>
      <c r="B914" t="s">
        <v>186</v>
      </c>
      <c r="C914" t="s">
        <v>192</v>
      </c>
      <c r="D914" t="s">
        <v>184</v>
      </c>
      <c r="E914" t="s">
        <v>193</v>
      </c>
      <c r="F914" t="s">
        <v>257</v>
      </c>
      <c r="G914" t="s">
        <v>226</v>
      </c>
      <c r="H914" t="s">
        <v>247</v>
      </c>
      <c r="I914" t="s">
        <v>227</v>
      </c>
    </row>
    <row r="915" spans="1:9">
      <c r="A915" t="s">
        <v>195</v>
      </c>
      <c r="B915" t="s">
        <v>202</v>
      </c>
      <c r="C915">
        <v>632</v>
      </c>
      <c r="D915" t="s">
        <v>194</v>
      </c>
      <c r="E915">
        <v>3036</v>
      </c>
      <c r="F915" s="3">
        <v>3.5999999999999999E-3</v>
      </c>
      <c r="G915" s="3">
        <v>9.2700000000000005E-2</v>
      </c>
      <c r="H915" s="3">
        <v>5.0000000000000001E-3</v>
      </c>
      <c r="I915" s="3">
        <v>0.89870000000000005</v>
      </c>
    </row>
    <row r="916" spans="1:9">
      <c r="A916" t="s">
        <v>195</v>
      </c>
      <c r="B916" t="s">
        <v>204</v>
      </c>
      <c r="C916">
        <v>342</v>
      </c>
      <c r="D916" t="s">
        <v>194</v>
      </c>
      <c r="E916">
        <v>3036</v>
      </c>
      <c r="G916" s="3">
        <v>0.14990000000000001</v>
      </c>
      <c r="H916" s="3">
        <v>2.9999999999999997E-4</v>
      </c>
      <c r="I916" s="3">
        <v>0.8498</v>
      </c>
    </row>
    <row r="917" spans="1:9">
      <c r="A917" t="s">
        <v>195</v>
      </c>
      <c r="B917" t="s">
        <v>205</v>
      </c>
      <c r="C917">
        <v>328</v>
      </c>
      <c r="D917" t="s">
        <v>194</v>
      </c>
      <c r="E917">
        <v>3036</v>
      </c>
      <c r="F917" s="3">
        <v>8.9999999999999998E-4</v>
      </c>
      <c r="G917" s="3">
        <v>0.1535</v>
      </c>
      <c r="H917" s="3">
        <v>4.4999999999999997E-3</v>
      </c>
      <c r="I917" s="3">
        <v>0.84109999999999996</v>
      </c>
    </row>
    <row r="918" spans="1:9">
      <c r="A918" t="s">
        <v>199</v>
      </c>
      <c r="B918" t="s">
        <v>202</v>
      </c>
      <c r="C918">
        <v>652</v>
      </c>
      <c r="D918" t="s">
        <v>194</v>
      </c>
      <c r="E918">
        <v>3036</v>
      </c>
      <c r="F918" s="3">
        <v>5.9999999999999995E-4</v>
      </c>
      <c r="G918" s="3">
        <v>4.5699999999999998E-2</v>
      </c>
      <c r="H918" s="3">
        <v>1E-4</v>
      </c>
      <c r="I918" s="3">
        <v>0.9536</v>
      </c>
    </row>
    <row r="919" spans="1:9">
      <c r="A919" t="s">
        <v>199</v>
      </c>
      <c r="B919" t="s">
        <v>204</v>
      </c>
      <c r="C919">
        <v>473</v>
      </c>
      <c r="D919" t="s">
        <v>194</v>
      </c>
      <c r="E919">
        <v>3036</v>
      </c>
      <c r="G919" s="3">
        <v>5.8999999999999997E-2</v>
      </c>
      <c r="I919" s="3">
        <v>0.94099999999999995</v>
      </c>
    </row>
    <row r="920" spans="1:9">
      <c r="A920" t="s">
        <v>199</v>
      </c>
      <c r="B920" t="s">
        <v>205</v>
      </c>
      <c r="C920">
        <v>564</v>
      </c>
      <c r="D920" t="s">
        <v>194</v>
      </c>
      <c r="E920">
        <v>3036</v>
      </c>
      <c r="F920" s="3">
        <v>2.0999999999999999E-3</v>
      </c>
      <c r="G920" s="3">
        <v>9.8400000000000001E-2</v>
      </c>
      <c r="H920" s="3">
        <v>2.2000000000000001E-3</v>
      </c>
      <c r="I920" s="3">
        <v>0.89729999999999999</v>
      </c>
    </row>
    <row r="921" spans="1:9">
      <c r="A921" t="s">
        <v>200</v>
      </c>
      <c r="B921" t="s">
        <v>200</v>
      </c>
      <c r="C921">
        <v>3036</v>
      </c>
      <c r="D921" t="s">
        <v>200</v>
      </c>
      <c r="E921">
        <v>3036</v>
      </c>
      <c r="F921" s="3">
        <v>1.5E-3</v>
      </c>
      <c r="G921" s="3">
        <v>8.14E-2</v>
      </c>
      <c r="H921" s="3">
        <v>2E-3</v>
      </c>
      <c r="I921" s="3">
        <v>0.91500000000000004</v>
      </c>
    </row>
    <row r="923" spans="1:9" ht="45">
      <c r="A923" s="22" t="s">
        <v>379</v>
      </c>
    </row>
    <row r="924" spans="1:9">
      <c r="A924" t="s">
        <v>185</v>
      </c>
      <c r="B924" t="s">
        <v>186</v>
      </c>
      <c r="C924" t="s">
        <v>192</v>
      </c>
      <c r="D924" t="s">
        <v>184</v>
      </c>
      <c r="E924" t="s">
        <v>193</v>
      </c>
      <c r="F924" t="s">
        <v>257</v>
      </c>
      <c r="G924" t="s">
        <v>226</v>
      </c>
      <c r="H924" t="s">
        <v>247</v>
      </c>
      <c r="I924" t="s">
        <v>227</v>
      </c>
    </row>
    <row r="925" spans="1:9">
      <c r="A925" t="s">
        <v>195</v>
      </c>
      <c r="B925" t="s">
        <v>207</v>
      </c>
      <c r="C925">
        <v>509</v>
      </c>
      <c r="D925" t="s">
        <v>194</v>
      </c>
      <c r="E925">
        <v>3036</v>
      </c>
      <c r="F925" s="3">
        <v>3.2000000000000002E-3</v>
      </c>
      <c r="G925" s="3">
        <v>0.15870000000000001</v>
      </c>
      <c r="H925" s="3">
        <v>8.9999999999999993E-3</v>
      </c>
      <c r="I925" s="3">
        <v>0.82909999999999995</v>
      </c>
    </row>
    <row r="926" spans="1:9">
      <c r="A926" t="s">
        <v>195</v>
      </c>
      <c r="B926" t="s">
        <v>209</v>
      </c>
      <c r="C926">
        <v>820</v>
      </c>
      <c r="D926" t="s">
        <v>194</v>
      </c>
      <c r="E926">
        <v>3036</v>
      </c>
      <c r="F926" s="3">
        <v>2.0999999999999999E-3</v>
      </c>
      <c r="G926" s="3">
        <v>8.4199999999999997E-2</v>
      </c>
      <c r="H926" s="3">
        <v>1E-3</v>
      </c>
      <c r="I926" s="3">
        <v>0.91259999999999997</v>
      </c>
    </row>
    <row r="927" spans="1:9">
      <c r="A927" t="s">
        <v>199</v>
      </c>
      <c r="B927" t="s">
        <v>207</v>
      </c>
      <c r="C927">
        <v>450</v>
      </c>
      <c r="D927" t="s">
        <v>194</v>
      </c>
      <c r="E927">
        <v>3036</v>
      </c>
      <c r="G927" s="3">
        <v>0.15029999999999999</v>
      </c>
      <c r="H927" s="3">
        <v>5.0000000000000001E-4</v>
      </c>
      <c r="I927" s="3">
        <v>0.84919999999999995</v>
      </c>
    </row>
    <row r="928" spans="1:9">
      <c r="A928" t="s">
        <v>199</v>
      </c>
      <c r="B928" t="s">
        <v>209</v>
      </c>
      <c r="C928">
        <v>1257</v>
      </c>
      <c r="D928" t="s">
        <v>194</v>
      </c>
      <c r="E928">
        <v>3036</v>
      </c>
      <c r="F928" s="3">
        <v>8.9999999999999998E-4</v>
      </c>
      <c r="G928" s="3">
        <v>3.6200000000000003E-2</v>
      </c>
      <c r="H928" s="3">
        <v>4.0000000000000002E-4</v>
      </c>
      <c r="I928" s="3">
        <v>0.96250000000000002</v>
      </c>
    </row>
    <row r="929" spans="1:9">
      <c r="A929" t="s">
        <v>200</v>
      </c>
      <c r="B929" t="s">
        <v>200</v>
      </c>
      <c r="C929">
        <v>3036</v>
      </c>
      <c r="D929" t="s">
        <v>200</v>
      </c>
      <c r="E929">
        <v>3036</v>
      </c>
      <c r="F929" s="3">
        <v>1.5E-3</v>
      </c>
      <c r="G929" s="3">
        <v>8.14E-2</v>
      </c>
      <c r="H929" s="3">
        <v>2E-3</v>
      </c>
      <c r="I929" s="3">
        <v>0.91500000000000004</v>
      </c>
    </row>
    <row r="931" spans="1:9" ht="45">
      <c r="A931" s="22" t="s">
        <v>380</v>
      </c>
    </row>
    <row r="932" spans="1:9">
      <c r="A932" t="s">
        <v>185</v>
      </c>
      <c r="B932" t="s">
        <v>192</v>
      </c>
      <c r="C932" t="s">
        <v>184</v>
      </c>
      <c r="D932" t="s">
        <v>193</v>
      </c>
      <c r="E932" t="s">
        <v>257</v>
      </c>
      <c r="F932" t="s">
        <v>226</v>
      </c>
      <c r="G932" t="s">
        <v>247</v>
      </c>
      <c r="H932" t="s">
        <v>227</v>
      </c>
    </row>
    <row r="933" spans="1:9">
      <c r="A933" t="s">
        <v>195</v>
      </c>
      <c r="B933">
        <v>1329</v>
      </c>
      <c r="C933" t="s">
        <v>194</v>
      </c>
      <c r="D933">
        <v>3036</v>
      </c>
      <c r="E933" s="3">
        <v>2.5000000000000001E-3</v>
      </c>
      <c r="F933" s="3">
        <v>0.1118</v>
      </c>
      <c r="G933" s="3">
        <v>4.0000000000000001E-3</v>
      </c>
      <c r="H933" s="3">
        <v>0.88160000000000005</v>
      </c>
    </row>
    <row r="934" spans="1:9">
      <c r="A934" t="s">
        <v>199</v>
      </c>
      <c r="B934">
        <v>1707</v>
      </c>
      <c r="C934" t="s">
        <v>194</v>
      </c>
      <c r="D934">
        <v>3036</v>
      </c>
      <c r="E934" s="3">
        <v>6.9999999999999999E-4</v>
      </c>
      <c r="F934" s="3">
        <v>5.67E-2</v>
      </c>
      <c r="G934" s="3">
        <v>4.0000000000000002E-4</v>
      </c>
      <c r="H934" s="3">
        <v>0.94220000000000004</v>
      </c>
    </row>
    <row r="935" spans="1:9">
      <c r="A935" t="s">
        <v>200</v>
      </c>
      <c r="B935">
        <v>3036</v>
      </c>
      <c r="C935" t="s">
        <v>200</v>
      </c>
      <c r="D935">
        <v>3036</v>
      </c>
      <c r="E935" s="3">
        <v>1.5E-3</v>
      </c>
      <c r="F935" s="3">
        <v>8.14E-2</v>
      </c>
      <c r="G935" s="3">
        <v>2E-3</v>
      </c>
      <c r="H935" s="3">
        <v>0.91500000000000004</v>
      </c>
    </row>
    <row r="937" spans="1:9" ht="45">
      <c r="A937" s="22" t="s">
        <v>381</v>
      </c>
    </row>
    <row r="938" spans="1:9">
      <c r="A938" t="s">
        <v>185</v>
      </c>
      <c r="B938" t="s">
        <v>186</v>
      </c>
      <c r="C938" t="s">
        <v>192</v>
      </c>
      <c r="D938" t="s">
        <v>184</v>
      </c>
      <c r="E938" t="s">
        <v>193</v>
      </c>
      <c r="F938" t="s">
        <v>257</v>
      </c>
      <c r="G938" t="s">
        <v>226</v>
      </c>
      <c r="H938" t="s">
        <v>247</v>
      </c>
      <c r="I938" t="s">
        <v>227</v>
      </c>
    </row>
    <row r="939" spans="1:9">
      <c r="A939" t="s">
        <v>195</v>
      </c>
      <c r="B939" t="s">
        <v>212</v>
      </c>
      <c r="C939">
        <v>954</v>
      </c>
      <c r="D939" t="s">
        <v>194</v>
      </c>
      <c r="E939">
        <v>3036</v>
      </c>
      <c r="F939" s="3">
        <v>3.2000000000000002E-3</v>
      </c>
      <c r="G939" s="3">
        <v>0.1174</v>
      </c>
      <c r="H939" s="3">
        <v>4.4000000000000003E-3</v>
      </c>
      <c r="I939" s="3">
        <v>0.875</v>
      </c>
    </row>
    <row r="940" spans="1:9">
      <c r="A940" t="s">
        <v>195</v>
      </c>
      <c r="B940" t="s">
        <v>214</v>
      </c>
      <c r="C940">
        <v>97</v>
      </c>
      <c r="D940" t="s">
        <v>194</v>
      </c>
      <c r="E940">
        <v>3036</v>
      </c>
      <c r="G940" s="3">
        <v>0.14149999999999999</v>
      </c>
      <c r="I940" s="3">
        <v>0.85850000000000004</v>
      </c>
    </row>
    <row r="941" spans="1:9">
      <c r="A941" t="s">
        <v>195</v>
      </c>
      <c r="B941" t="s">
        <v>215</v>
      </c>
      <c r="C941">
        <v>278</v>
      </c>
      <c r="D941" t="s">
        <v>194</v>
      </c>
      <c r="E941">
        <v>3036</v>
      </c>
      <c r="F941" s="3">
        <v>6.9999999999999999E-4</v>
      </c>
      <c r="G941" s="3">
        <v>7.1300000000000002E-2</v>
      </c>
      <c r="H941" s="3">
        <v>3.7000000000000002E-3</v>
      </c>
      <c r="I941" s="3">
        <v>0.92430000000000001</v>
      </c>
    </row>
    <row r="942" spans="1:9">
      <c r="A942" t="s">
        <v>199</v>
      </c>
      <c r="B942" t="s">
        <v>212</v>
      </c>
      <c r="C942">
        <v>1251</v>
      </c>
      <c r="D942" t="s">
        <v>194</v>
      </c>
      <c r="E942">
        <v>3036</v>
      </c>
      <c r="F942" s="3">
        <v>4.0000000000000002E-4</v>
      </c>
      <c r="G942" s="3">
        <v>5.79E-2</v>
      </c>
      <c r="H942" s="3">
        <v>5.0000000000000001E-4</v>
      </c>
      <c r="I942" s="3">
        <v>0.94110000000000005</v>
      </c>
    </row>
    <row r="943" spans="1:9">
      <c r="A943" t="s">
        <v>199</v>
      </c>
      <c r="B943" t="s">
        <v>214</v>
      </c>
      <c r="C943">
        <v>105</v>
      </c>
      <c r="D943" t="s">
        <v>194</v>
      </c>
      <c r="E943">
        <v>3036</v>
      </c>
      <c r="G943" s="3">
        <v>9.8599999999999993E-2</v>
      </c>
      <c r="I943" s="3">
        <v>0.90139999999999998</v>
      </c>
    </row>
    <row r="944" spans="1:9">
      <c r="A944" t="s">
        <v>199</v>
      </c>
      <c r="B944" t="s">
        <v>215</v>
      </c>
      <c r="C944">
        <v>351</v>
      </c>
      <c r="D944" t="s">
        <v>194</v>
      </c>
      <c r="E944">
        <v>3036</v>
      </c>
      <c r="F944" s="3">
        <v>2.2000000000000001E-3</v>
      </c>
      <c r="G944" s="3">
        <v>3.7600000000000001E-2</v>
      </c>
      <c r="I944" s="3">
        <v>0.96020000000000005</v>
      </c>
    </row>
    <row r="945" spans="1:9">
      <c r="A945" t="s">
        <v>200</v>
      </c>
      <c r="B945" t="s">
        <v>200</v>
      </c>
      <c r="C945">
        <v>3036</v>
      </c>
      <c r="D945" t="s">
        <v>200</v>
      </c>
      <c r="E945">
        <v>3036</v>
      </c>
      <c r="F945" s="3">
        <v>1.5E-3</v>
      </c>
      <c r="G945" s="3">
        <v>8.14E-2</v>
      </c>
      <c r="H945" s="3">
        <v>2E-3</v>
      </c>
      <c r="I945" s="3">
        <v>0.91500000000000004</v>
      </c>
    </row>
    <row r="947" spans="1:9" ht="45">
      <c r="A947" s="22" t="s">
        <v>382</v>
      </c>
    </row>
    <row r="948" spans="1:9">
      <c r="A948" t="s">
        <v>185</v>
      </c>
      <c r="B948" t="s">
        <v>186</v>
      </c>
      <c r="C948" t="s">
        <v>192</v>
      </c>
      <c r="D948" t="s">
        <v>184</v>
      </c>
      <c r="E948" t="s">
        <v>193</v>
      </c>
      <c r="F948" t="s">
        <v>257</v>
      </c>
      <c r="G948" t="s">
        <v>226</v>
      </c>
      <c r="H948" t="s">
        <v>247</v>
      </c>
      <c r="I948" t="s">
        <v>227</v>
      </c>
    </row>
    <row r="949" spans="1:9">
      <c r="A949" t="s">
        <v>195</v>
      </c>
      <c r="B949" t="s">
        <v>217</v>
      </c>
      <c r="C949">
        <v>690</v>
      </c>
      <c r="D949" t="s">
        <v>194</v>
      </c>
      <c r="E949">
        <v>3036</v>
      </c>
      <c r="F949" s="3">
        <v>4.5999999999999999E-3</v>
      </c>
      <c r="G949" s="3">
        <v>9.7000000000000003E-2</v>
      </c>
      <c r="H949" s="3">
        <v>1.1000000000000001E-3</v>
      </c>
      <c r="I949" s="3">
        <v>0.8972</v>
      </c>
    </row>
    <row r="950" spans="1:9">
      <c r="A950" t="s">
        <v>195</v>
      </c>
      <c r="B950" t="s">
        <v>219</v>
      </c>
      <c r="C950">
        <v>454</v>
      </c>
      <c r="D950" t="s">
        <v>194</v>
      </c>
      <c r="E950">
        <v>3036</v>
      </c>
      <c r="F950" s="3">
        <v>4.0000000000000002E-4</v>
      </c>
      <c r="G950" s="3">
        <v>0.1178</v>
      </c>
      <c r="I950" s="3">
        <v>0.88180000000000003</v>
      </c>
    </row>
    <row r="951" spans="1:9">
      <c r="A951" t="s">
        <v>195</v>
      </c>
      <c r="B951" t="s">
        <v>220</v>
      </c>
      <c r="C951">
        <v>185</v>
      </c>
      <c r="D951" t="s">
        <v>194</v>
      </c>
      <c r="E951">
        <v>3036</v>
      </c>
      <c r="G951" s="3">
        <v>0.15060000000000001</v>
      </c>
      <c r="H951" s="3">
        <v>2.2800000000000001E-2</v>
      </c>
      <c r="I951" s="3">
        <v>0.8266</v>
      </c>
    </row>
    <row r="952" spans="1:9">
      <c r="A952" t="s">
        <v>199</v>
      </c>
      <c r="B952" t="s">
        <v>217</v>
      </c>
      <c r="C952">
        <v>1044</v>
      </c>
      <c r="D952" t="s">
        <v>194</v>
      </c>
      <c r="E952">
        <v>3036</v>
      </c>
      <c r="F952" s="3">
        <v>8.0000000000000004E-4</v>
      </c>
      <c r="G952" s="3">
        <v>4.5499999999999999E-2</v>
      </c>
      <c r="H952" s="3">
        <v>2.0000000000000001E-4</v>
      </c>
      <c r="I952" s="3">
        <v>0.95340000000000003</v>
      </c>
    </row>
    <row r="953" spans="1:9">
      <c r="A953" t="s">
        <v>199</v>
      </c>
      <c r="B953" t="s">
        <v>219</v>
      </c>
      <c r="C953">
        <v>435</v>
      </c>
      <c r="D953" t="s">
        <v>194</v>
      </c>
      <c r="E953">
        <v>3036</v>
      </c>
      <c r="F953" s="3">
        <v>1E-3</v>
      </c>
      <c r="G953" s="3">
        <v>0.11169999999999999</v>
      </c>
      <c r="H953" s="3">
        <v>1.1999999999999999E-3</v>
      </c>
      <c r="I953" s="3">
        <v>0.8861</v>
      </c>
    </row>
    <row r="954" spans="1:9">
      <c r="A954" t="s">
        <v>199</v>
      </c>
      <c r="B954" t="s">
        <v>220</v>
      </c>
      <c r="C954">
        <v>228</v>
      </c>
      <c r="D954" t="s">
        <v>194</v>
      </c>
      <c r="E954">
        <v>3036</v>
      </c>
      <c r="G954" s="3">
        <v>3.5000000000000003E-2</v>
      </c>
      <c r="H954" s="3">
        <v>1E-4</v>
      </c>
      <c r="I954" s="3">
        <v>0.96479999999999999</v>
      </c>
    </row>
    <row r="955" spans="1:9">
      <c r="A955" t="s">
        <v>200</v>
      </c>
      <c r="B955" t="s">
        <v>200</v>
      </c>
      <c r="C955">
        <v>3036</v>
      </c>
      <c r="D955" t="s">
        <v>200</v>
      </c>
      <c r="E955">
        <v>3036</v>
      </c>
      <c r="F955" s="3">
        <v>1.5E-3</v>
      </c>
      <c r="G955" s="3">
        <v>8.14E-2</v>
      </c>
      <c r="H955" s="3">
        <v>2E-3</v>
      </c>
      <c r="I955" s="3">
        <v>0.91500000000000004</v>
      </c>
    </row>
    <row r="957" spans="1:9" ht="45">
      <c r="A957" s="22" t="s">
        <v>383</v>
      </c>
    </row>
    <row r="958" spans="1:9">
      <c r="A958" t="s">
        <v>185</v>
      </c>
      <c r="B958" t="s">
        <v>186</v>
      </c>
      <c r="C958" t="s">
        <v>192</v>
      </c>
      <c r="D958" t="s">
        <v>184</v>
      </c>
      <c r="E958" t="s">
        <v>193</v>
      </c>
      <c r="F958" t="s">
        <v>257</v>
      </c>
      <c r="G958" t="s">
        <v>226</v>
      </c>
      <c r="H958" t="s">
        <v>247</v>
      </c>
      <c r="I958" t="s">
        <v>227</v>
      </c>
    </row>
    <row r="959" spans="1:9">
      <c r="A959" t="s">
        <v>195</v>
      </c>
      <c r="B959" t="s">
        <v>351</v>
      </c>
      <c r="C959">
        <v>313</v>
      </c>
      <c r="D959" t="s">
        <v>194</v>
      </c>
      <c r="E959">
        <v>3036</v>
      </c>
      <c r="F959" s="3">
        <v>5.9999999999999995E-4</v>
      </c>
      <c r="G959" s="3">
        <v>8.5199999999999998E-2</v>
      </c>
      <c r="H959" s="3">
        <v>2.9999999999999997E-4</v>
      </c>
      <c r="I959" s="3">
        <v>0.91400000000000003</v>
      </c>
    </row>
    <row r="960" spans="1:9">
      <c r="A960" t="s">
        <v>195</v>
      </c>
      <c r="B960" t="s">
        <v>352</v>
      </c>
      <c r="C960">
        <v>366</v>
      </c>
      <c r="D960" t="s">
        <v>194</v>
      </c>
      <c r="E960">
        <v>3036</v>
      </c>
      <c r="F960" s="3">
        <v>4.3E-3</v>
      </c>
      <c r="G960" s="3">
        <v>0.18529999999999999</v>
      </c>
      <c r="H960" s="3">
        <v>2.3999999999999998E-3</v>
      </c>
      <c r="I960" s="3">
        <v>0.80800000000000005</v>
      </c>
    </row>
    <row r="961" spans="1:16">
      <c r="A961" t="s">
        <v>195</v>
      </c>
      <c r="B961" t="s">
        <v>353</v>
      </c>
      <c r="C961">
        <v>321</v>
      </c>
      <c r="D961" t="s">
        <v>194</v>
      </c>
      <c r="E961">
        <v>3036</v>
      </c>
      <c r="F961" s="3">
        <v>5.3E-3</v>
      </c>
      <c r="G961" s="3">
        <v>7.9299999999999995E-2</v>
      </c>
      <c r="H961" s="3">
        <v>1.3299999999999999E-2</v>
      </c>
      <c r="I961" s="3">
        <v>0.90200000000000002</v>
      </c>
    </row>
    <row r="962" spans="1:16">
      <c r="A962" t="s">
        <v>195</v>
      </c>
      <c r="B962" t="s">
        <v>354</v>
      </c>
      <c r="C962">
        <v>222</v>
      </c>
      <c r="D962" t="s">
        <v>194</v>
      </c>
      <c r="E962">
        <v>3036</v>
      </c>
      <c r="G962" s="3">
        <v>0.1008</v>
      </c>
      <c r="I962" s="3">
        <v>0.8992</v>
      </c>
    </row>
    <row r="963" spans="1:16">
      <c r="A963" t="s">
        <v>199</v>
      </c>
      <c r="B963" t="s">
        <v>351</v>
      </c>
      <c r="C963">
        <v>389</v>
      </c>
      <c r="D963" t="s">
        <v>194</v>
      </c>
      <c r="E963">
        <v>3036</v>
      </c>
      <c r="F963" s="3">
        <v>1.1999999999999999E-3</v>
      </c>
      <c r="G963" s="3">
        <v>7.9600000000000004E-2</v>
      </c>
      <c r="H963" s="3">
        <v>1.5E-3</v>
      </c>
      <c r="I963" s="3">
        <v>0.91769999999999996</v>
      </c>
    </row>
    <row r="964" spans="1:16">
      <c r="A964" t="s">
        <v>199</v>
      </c>
      <c r="B964" t="s">
        <v>352</v>
      </c>
      <c r="C964">
        <v>342</v>
      </c>
      <c r="D964" t="s">
        <v>194</v>
      </c>
      <c r="E964">
        <v>3036</v>
      </c>
      <c r="G964" s="3">
        <v>0.15590000000000001</v>
      </c>
      <c r="I964" s="3">
        <v>0.84409999999999996</v>
      </c>
    </row>
    <row r="965" spans="1:16">
      <c r="A965" t="s">
        <v>199</v>
      </c>
      <c r="B965" t="s">
        <v>353</v>
      </c>
      <c r="C965">
        <v>392</v>
      </c>
      <c r="D965" t="s">
        <v>194</v>
      </c>
      <c r="E965">
        <v>3036</v>
      </c>
      <c r="F965" s="3">
        <v>8.0000000000000004E-4</v>
      </c>
      <c r="G965" s="3">
        <v>2.1000000000000001E-2</v>
      </c>
      <c r="H965" s="3">
        <v>2.0000000000000001E-4</v>
      </c>
      <c r="I965" s="3">
        <v>0.97789999999999999</v>
      </c>
    </row>
    <row r="966" spans="1:16">
      <c r="A966" t="s">
        <v>199</v>
      </c>
      <c r="B966" t="s">
        <v>354</v>
      </c>
      <c r="C966">
        <v>400</v>
      </c>
      <c r="D966" t="s">
        <v>194</v>
      </c>
      <c r="E966">
        <v>3036</v>
      </c>
      <c r="F966" s="3">
        <v>8.9999999999999998E-4</v>
      </c>
      <c r="G966" s="3">
        <v>4.4600000000000001E-2</v>
      </c>
      <c r="I966" s="3">
        <v>0.95440000000000003</v>
      </c>
    </row>
    <row r="967" spans="1:16">
      <c r="A967" t="s">
        <v>200</v>
      </c>
      <c r="B967" t="s">
        <v>200</v>
      </c>
      <c r="C967">
        <v>3036</v>
      </c>
      <c r="D967" t="s">
        <v>200</v>
      </c>
      <c r="E967">
        <v>3036</v>
      </c>
      <c r="F967" s="3">
        <v>1.5E-3</v>
      </c>
      <c r="G967" s="3">
        <v>8.14E-2</v>
      </c>
      <c r="H967" s="3">
        <v>2E-3</v>
      </c>
      <c r="I967" s="3">
        <v>0.91500000000000004</v>
      </c>
    </row>
    <row r="969" spans="1:16" ht="45">
      <c r="A969" s="22" t="s">
        <v>384</v>
      </c>
    </row>
    <row r="970" spans="1:16">
      <c r="A970" t="s">
        <v>185</v>
      </c>
      <c r="B970" t="s">
        <v>186</v>
      </c>
      <c r="C970" t="s">
        <v>192</v>
      </c>
      <c r="D970" t="s">
        <v>184</v>
      </c>
      <c r="E970" t="s">
        <v>193</v>
      </c>
      <c r="F970" t="s">
        <v>385</v>
      </c>
      <c r="G970" t="s">
        <v>386</v>
      </c>
      <c r="H970" t="s">
        <v>387</v>
      </c>
      <c r="I970" t="s">
        <v>388</v>
      </c>
      <c r="J970" t="s">
        <v>257</v>
      </c>
      <c r="K970" t="s">
        <v>389</v>
      </c>
      <c r="L970" t="s">
        <v>390</v>
      </c>
      <c r="M970" t="s">
        <v>247</v>
      </c>
      <c r="N970" t="s">
        <v>391</v>
      </c>
      <c r="O970" t="s">
        <v>392</v>
      </c>
      <c r="P970" t="s">
        <v>393</v>
      </c>
    </row>
    <row r="971" spans="1:16">
      <c r="A971" t="s">
        <v>195</v>
      </c>
      <c r="B971" t="s">
        <v>356</v>
      </c>
      <c r="C971">
        <v>84</v>
      </c>
      <c r="D971" t="s">
        <v>194</v>
      </c>
      <c r="E971">
        <v>3027</v>
      </c>
      <c r="G971" s="3">
        <v>0.68769999999999998</v>
      </c>
      <c r="H971" s="3">
        <v>1.2E-2</v>
      </c>
      <c r="I971" s="3">
        <v>6.3600000000000004E-2</v>
      </c>
      <c r="K971" s="3">
        <v>2.9000000000000001E-2</v>
      </c>
      <c r="L971" s="3">
        <v>3.09E-2</v>
      </c>
      <c r="N971" s="3">
        <v>0.26910000000000001</v>
      </c>
      <c r="P971" s="3">
        <v>1.54E-2</v>
      </c>
    </row>
    <row r="972" spans="1:16">
      <c r="A972" t="s">
        <v>199</v>
      </c>
      <c r="B972" t="s">
        <v>357</v>
      </c>
      <c r="C972">
        <v>116</v>
      </c>
      <c r="D972" t="s">
        <v>194</v>
      </c>
      <c r="E972">
        <v>3027</v>
      </c>
      <c r="G972" s="3">
        <v>8.2600000000000007E-2</v>
      </c>
      <c r="H972" s="3">
        <v>0.5605</v>
      </c>
      <c r="I972" s="3">
        <v>0.39689999999999998</v>
      </c>
      <c r="K972" s="3">
        <v>3.6999999999999998E-2</v>
      </c>
      <c r="L972" s="3">
        <v>2.9999999999999997E-4</v>
      </c>
      <c r="M972" s="3">
        <v>2.9999999999999997E-4</v>
      </c>
      <c r="N972" s="3">
        <v>0.2177</v>
      </c>
      <c r="P972" s="3">
        <v>4.3799999999999999E-2</v>
      </c>
    </row>
    <row r="973" spans="1:16">
      <c r="A973" t="s">
        <v>199</v>
      </c>
      <c r="B973" t="s">
        <v>358</v>
      </c>
      <c r="C973">
        <v>118</v>
      </c>
      <c r="D973" t="s">
        <v>194</v>
      </c>
      <c r="E973">
        <v>3027</v>
      </c>
      <c r="G973" s="3">
        <v>0.2034</v>
      </c>
      <c r="H973" s="3">
        <v>0.40460000000000002</v>
      </c>
      <c r="I973" s="3">
        <v>0.15770000000000001</v>
      </c>
      <c r="J973" s="3">
        <v>2.7000000000000001E-3</v>
      </c>
      <c r="K973" s="3">
        <v>7.5600000000000001E-2</v>
      </c>
      <c r="L973" s="3">
        <v>4.1999999999999997E-3</v>
      </c>
      <c r="N973" s="3">
        <v>0.1988</v>
      </c>
      <c r="P973" s="3">
        <v>9.9299999999999999E-2</v>
      </c>
    </row>
    <row r="974" spans="1:16">
      <c r="A974" t="s">
        <v>199</v>
      </c>
      <c r="B974" t="s">
        <v>359</v>
      </c>
      <c r="C974">
        <v>142</v>
      </c>
      <c r="D974" t="s">
        <v>194</v>
      </c>
      <c r="E974">
        <v>3027</v>
      </c>
      <c r="G974" s="3">
        <v>0.76200000000000001</v>
      </c>
      <c r="H974" s="3">
        <v>5.0500000000000003E-2</v>
      </c>
      <c r="I974" s="3">
        <v>6.9599999999999995E-2</v>
      </c>
      <c r="K974" s="3">
        <v>4.8999999999999998E-3</v>
      </c>
      <c r="L974" s="3">
        <v>5.0000000000000001E-4</v>
      </c>
      <c r="N974" s="3">
        <v>0.2026</v>
      </c>
      <c r="P974" s="3">
        <v>1.7899999999999999E-2</v>
      </c>
    </row>
    <row r="975" spans="1:16">
      <c r="A975" t="s">
        <v>199</v>
      </c>
      <c r="B975" t="s">
        <v>360</v>
      </c>
      <c r="C975">
        <v>131</v>
      </c>
      <c r="D975" t="s">
        <v>194</v>
      </c>
      <c r="E975">
        <v>3027</v>
      </c>
      <c r="G975" s="3">
        <v>0.19850000000000001</v>
      </c>
      <c r="H975" s="3">
        <v>0.3372</v>
      </c>
      <c r="I975" s="3">
        <v>0.37040000000000001</v>
      </c>
      <c r="K975" s="3">
        <v>1.7299999999999999E-2</v>
      </c>
      <c r="L975" s="3">
        <v>2.8E-3</v>
      </c>
      <c r="N975" s="3">
        <v>0.39350000000000002</v>
      </c>
      <c r="P975" s="3">
        <v>3.3399999999999999E-2</v>
      </c>
    </row>
    <row r="976" spans="1:16">
      <c r="A976" t="s">
        <v>199</v>
      </c>
      <c r="B976" t="s">
        <v>361</v>
      </c>
      <c r="C976">
        <v>136</v>
      </c>
      <c r="D976" t="s">
        <v>194</v>
      </c>
      <c r="E976">
        <v>3027</v>
      </c>
      <c r="G976" s="3">
        <v>0.19719999999999999</v>
      </c>
      <c r="H976" s="3">
        <v>0.1133</v>
      </c>
      <c r="I976" s="3">
        <v>0.36099999999999999</v>
      </c>
      <c r="J976" s="3">
        <v>8.3000000000000001E-3</v>
      </c>
      <c r="K976" s="3">
        <v>4.1200000000000001E-2</v>
      </c>
      <c r="L976" s="3">
        <v>6.1999999999999998E-3</v>
      </c>
      <c r="N976" s="3">
        <v>0.30499999999999999</v>
      </c>
      <c r="P976" s="3">
        <v>7.5899999999999995E-2</v>
      </c>
    </row>
    <row r="977" spans="1:16">
      <c r="A977" t="s">
        <v>199</v>
      </c>
      <c r="B977" t="s">
        <v>362</v>
      </c>
      <c r="C977">
        <v>175</v>
      </c>
      <c r="D977" t="s">
        <v>194</v>
      </c>
      <c r="E977">
        <v>3027</v>
      </c>
      <c r="F977" s="3">
        <v>4.9399999999999999E-2</v>
      </c>
      <c r="G977" s="3">
        <v>0.31979999999999997</v>
      </c>
      <c r="H977" s="3">
        <v>0.1711</v>
      </c>
      <c r="I977" s="3">
        <v>0.22689999999999999</v>
      </c>
      <c r="K977" s="3">
        <v>2.5399999999999999E-2</v>
      </c>
      <c r="L977" s="3">
        <v>6.0699999999999997E-2</v>
      </c>
      <c r="M977" s="3">
        <v>2.2000000000000001E-3</v>
      </c>
      <c r="N977" s="3">
        <v>0.29949999999999999</v>
      </c>
      <c r="O977" s="3">
        <v>1.8E-3</v>
      </c>
      <c r="P977" s="3">
        <v>3.9399999999999998E-2</v>
      </c>
    </row>
    <row r="978" spans="1:16">
      <c r="A978" t="s">
        <v>199</v>
      </c>
      <c r="B978" t="s">
        <v>363</v>
      </c>
      <c r="C978">
        <v>98</v>
      </c>
      <c r="D978" t="s">
        <v>194</v>
      </c>
      <c r="E978">
        <v>3027</v>
      </c>
      <c r="F978" s="3">
        <v>7.9200000000000007E-2</v>
      </c>
      <c r="G978" s="3">
        <v>0.30149999999999999</v>
      </c>
      <c r="H978" s="3">
        <v>9.9199999999999997E-2</v>
      </c>
      <c r="I978" s="3">
        <v>0.31680000000000003</v>
      </c>
      <c r="J978" s="3">
        <v>1.04E-2</v>
      </c>
      <c r="K978" s="3">
        <v>2.8299999999999999E-2</v>
      </c>
      <c r="L978" s="3">
        <v>3.5000000000000003E-2</v>
      </c>
      <c r="N978" s="3">
        <v>0.34350000000000003</v>
      </c>
      <c r="O978" s="3">
        <v>1.6999999999999999E-3</v>
      </c>
      <c r="P978" s="3">
        <v>3.5200000000000002E-2</v>
      </c>
    </row>
    <row r="979" spans="1:16">
      <c r="A979" t="s">
        <v>199</v>
      </c>
      <c r="B979" t="s">
        <v>364</v>
      </c>
      <c r="C979">
        <v>53</v>
      </c>
      <c r="D979" t="s">
        <v>194</v>
      </c>
      <c r="E979">
        <v>3027</v>
      </c>
      <c r="F979" s="3">
        <v>5.3699999999999998E-2</v>
      </c>
      <c r="G979" s="3">
        <v>0.1431</v>
      </c>
      <c r="H979" s="3">
        <v>0.18740000000000001</v>
      </c>
      <c r="I979" s="3">
        <v>0.25640000000000002</v>
      </c>
      <c r="K979" s="3">
        <v>7.9699999999999993E-2</v>
      </c>
      <c r="L979" s="3">
        <v>5.9499999999999997E-2</v>
      </c>
      <c r="N979" s="3">
        <v>0.33639999999999998</v>
      </c>
      <c r="P979" s="3">
        <v>9.4399999999999998E-2</v>
      </c>
    </row>
    <row r="980" spans="1:16">
      <c r="A980" t="s">
        <v>199</v>
      </c>
      <c r="B980" t="s">
        <v>365</v>
      </c>
      <c r="C980">
        <v>54</v>
      </c>
      <c r="D980" t="s">
        <v>194</v>
      </c>
      <c r="E980">
        <v>3027</v>
      </c>
      <c r="F980" s="3">
        <v>2.52E-2</v>
      </c>
      <c r="G980" s="3">
        <v>0.17899999999999999</v>
      </c>
      <c r="H980" s="3">
        <v>0.2165</v>
      </c>
      <c r="I980" s="3">
        <v>0.40279999999999999</v>
      </c>
      <c r="L980" s="3">
        <v>3.3999999999999998E-3</v>
      </c>
      <c r="N980" s="3">
        <v>0.2838</v>
      </c>
      <c r="P980" s="3">
        <v>3.39E-2</v>
      </c>
    </row>
    <row r="981" spans="1:16">
      <c r="A981" t="s">
        <v>199</v>
      </c>
      <c r="B981" t="s">
        <v>285</v>
      </c>
      <c r="C981">
        <v>58</v>
      </c>
      <c r="D981" t="s">
        <v>194</v>
      </c>
      <c r="E981">
        <v>3027</v>
      </c>
      <c r="F981" s="3">
        <v>1.15E-2</v>
      </c>
      <c r="G981" s="3">
        <v>0.4839</v>
      </c>
      <c r="H981" s="3">
        <v>0.1348</v>
      </c>
      <c r="I981" s="3">
        <v>0.1053</v>
      </c>
      <c r="K981" s="3">
        <v>8.0199999999999994E-2</v>
      </c>
      <c r="L981" s="3">
        <v>8.6E-3</v>
      </c>
      <c r="N981" s="3">
        <v>0.3846</v>
      </c>
      <c r="O981" s="3">
        <v>1.15E-2</v>
      </c>
      <c r="P981" s="3">
        <v>1.3299999999999999E-2</v>
      </c>
    </row>
    <row r="982" spans="1:16">
      <c r="A982" t="s">
        <v>199</v>
      </c>
      <c r="B982" t="s">
        <v>366</v>
      </c>
      <c r="C982">
        <v>133</v>
      </c>
      <c r="D982" t="s">
        <v>194</v>
      </c>
      <c r="E982">
        <v>3027</v>
      </c>
      <c r="G982" s="3">
        <v>0.55710000000000004</v>
      </c>
      <c r="H982" s="3">
        <v>6.25E-2</v>
      </c>
      <c r="I982" s="3">
        <v>0.1183</v>
      </c>
      <c r="K982" s="3">
        <v>3.39E-2</v>
      </c>
      <c r="L982" s="3">
        <v>1.5E-3</v>
      </c>
      <c r="N982" s="3">
        <v>0.30530000000000002</v>
      </c>
      <c r="P982" s="3">
        <v>3.4599999999999999E-2</v>
      </c>
    </row>
    <row r="983" spans="1:16">
      <c r="A983" t="s">
        <v>199</v>
      </c>
      <c r="B983" t="s">
        <v>289</v>
      </c>
      <c r="C983">
        <v>387</v>
      </c>
      <c r="D983" t="s">
        <v>194</v>
      </c>
      <c r="E983">
        <v>3027</v>
      </c>
      <c r="G983" s="3">
        <v>9.7199999999999995E-2</v>
      </c>
      <c r="H983" s="3">
        <v>0.66930000000000001</v>
      </c>
      <c r="I983" s="3">
        <v>0.14649999999999999</v>
      </c>
      <c r="J983" s="3">
        <v>5.9999999999999995E-4</v>
      </c>
      <c r="K983" s="3">
        <v>3.3300000000000003E-2</v>
      </c>
      <c r="L983" s="3">
        <v>4.9299999999999997E-2</v>
      </c>
      <c r="N983" s="3">
        <v>0.1991</v>
      </c>
      <c r="P983" s="3">
        <v>2.92E-2</v>
      </c>
    </row>
    <row r="984" spans="1:16">
      <c r="A984" t="s">
        <v>199</v>
      </c>
      <c r="B984" t="s">
        <v>356</v>
      </c>
      <c r="C984">
        <v>99</v>
      </c>
      <c r="D984" t="s">
        <v>194</v>
      </c>
      <c r="E984">
        <v>3027</v>
      </c>
      <c r="G984" s="3">
        <v>0.68589999999999995</v>
      </c>
      <c r="H984" s="3">
        <v>1.2800000000000001E-2</v>
      </c>
      <c r="I984" s="3">
        <v>7.0699999999999999E-2</v>
      </c>
      <c r="K984" s="3">
        <v>1.7000000000000001E-2</v>
      </c>
      <c r="N984" s="3">
        <v>0.41660000000000003</v>
      </c>
      <c r="P984" s="3">
        <v>4.1799999999999997E-2</v>
      </c>
    </row>
    <row r="985" spans="1:16">
      <c r="A985" t="s">
        <v>195</v>
      </c>
      <c r="B985" t="s">
        <v>357</v>
      </c>
      <c r="C985">
        <v>87</v>
      </c>
      <c r="D985" t="s">
        <v>194</v>
      </c>
      <c r="E985">
        <v>3027</v>
      </c>
      <c r="G985" s="3">
        <v>0.15310000000000001</v>
      </c>
      <c r="H985" s="3">
        <v>0.46210000000000001</v>
      </c>
      <c r="I985" s="3">
        <v>0.224</v>
      </c>
      <c r="K985" s="3">
        <v>2.5999999999999999E-3</v>
      </c>
      <c r="L985" s="3">
        <v>5.8799999999999998E-2</v>
      </c>
      <c r="M985" s="3">
        <v>2.2200000000000001E-2</v>
      </c>
      <c r="N985" s="3">
        <v>0.34229999999999999</v>
      </c>
      <c r="P985" s="3">
        <v>0.03</v>
      </c>
    </row>
    <row r="986" spans="1:16">
      <c r="A986" t="s">
        <v>195</v>
      </c>
      <c r="B986" t="s">
        <v>358</v>
      </c>
      <c r="C986">
        <v>80</v>
      </c>
      <c r="D986" t="s">
        <v>194</v>
      </c>
      <c r="E986">
        <v>3027</v>
      </c>
      <c r="G986" s="3">
        <v>0.17599999999999999</v>
      </c>
      <c r="H986" s="3">
        <v>0.41470000000000001</v>
      </c>
      <c r="I986" s="3">
        <v>0.1862</v>
      </c>
      <c r="J986" s="3">
        <v>6.6E-3</v>
      </c>
      <c r="K986" s="3">
        <v>2.1899999999999999E-2</v>
      </c>
      <c r="L986" s="3">
        <v>9.7000000000000003E-2</v>
      </c>
      <c r="N986" s="3">
        <v>0.1661</v>
      </c>
      <c r="P986" s="3">
        <v>0.1467</v>
      </c>
    </row>
    <row r="987" spans="1:16">
      <c r="A987" t="s">
        <v>195</v>
      </c>
      <c r="B987" t="s">
        <v>359</v>
      </c>
      <c r="C987">
        <v>112</v>
      </c>
      <c r="D987" t="s">
        <v>194</v>
      </c>
      <c r="E987">
        <v>3027</v>
      </c>
      <c r="G987" s="3">
        <v>0.52210000000000001</v>
      </c>
      <c r="H987" s="3">
        <v>0.1414</v>
      </c>
      <c r="I987" s="3">
        <v>0.28010000000000002</v>
      </c>
      <c r="K987" s="3">
        <v>2.0400000000000001E-2</v>
      </c>
      <c r="L987" s="3">
        <v>1.2500000000000001E-2</v>
      </c>
      <c r="N987" s="3">
        <v>0.183</v>
      </c>
    </row>
    <row r="988" spans="1:16">
      <c r="A988" t="s">
        <v>195</v>
      </c>
      <c r="B988" t="s">
        <v>360</v>
      </c>
      <c r="C988">
        <v>94</v>
      </c>
      <c r="D988" t="s">
        <v>194</v>
      </c>
      <c r="E988">
        <v>3027</v>
      </c>
      <c r="G988" s="3">
        <v>0.24460000000000001</v>
      </c>
      <c r="H988" s="3">
        <v>0.3014</v>
      </c>
      <c r="I988" s="3">
        <v>0.29070000000000001</v>
      </c>
      <c r="K988" s="3">
        <v>3.6700000000000003E-2</v>
      </c>
      <c r="N988" s="3">
        <v>0.41339999999999999</v>
      </c>
      <c r="P988" s="3">
        <v>4.58E-2</v>
      </c>
    </row>
    <row r="989" spans="1:16">
      <c r="A989" t="s">
        <v>195</v>
      </c>
      <c r="B989" t="s">
        <v>361</v>
      </c>
      <c r="C989">
        <v>93</v>
      </c>
      <c r="D989" t="s">
        <v>194</v>
      </c>
      <c r="E989">
        <v>3027</v>
      </c>
      <c r="F989" s="3">
        <v>2.6700000000000002E-2</v>
      </c>
      <c r="G989" s="3">
        <v>9.7299999999999998E-2</v>
      </c>
      <c r="H989" s="3">
        <v>0.3649</v>
      </c>
      <c r="I989" s="3">
        <v>0.308</v>
      </c>
      <c r="K989" s="3">
        <v>4.6699999999999998E-2</v>
      </c>
      <c r="L989" s="3">
        <v>1.7100000000000001E-2</v>
      </c>
      <c r="M989" s="3">
        <v>2.7000000000000001E-3</v>
      </c>
      <c r="N989" s="3">
        <v>0.47789999999999999</v>
      </c>
      <c r="P989" s="3">
        <v>6.4199999999999993E-2</v>
      </c>
    </row>
    <row r="990" spans="1:16">
      <c r="A990" t="s">
        <v>195</v>
      </c>
      <c r="B990" t="s">
        <v>362</v>
      </c>
      <c r="C990">
        <v>81</v>
      </c>
      <c r="D990" t="s">
        <v>194</v>
      </c>
      <c r="E990">
        <v>3027</v>
      </c>
      <c r="F990" s="3">
        <v>5.5599999999999997E-2</v>
      </c>
      <c r="G990" s="3">
        <v>0.1794</v>
      </c>
      <c r="H990" s="3">
        <v>0.2697</v>
      </c>
      <c r="I990" s="3">
        <v>0.27810000000000001</v>
      </c>
      <c r="K990" s="3">
        <v>4.8099999999999997E-2</v>
      </c>
      <c r="L990" s="3">
        <v>1.9199999999999998E-2</v>
      </c>
      <c r="M990" s="3">
        <v>1.7999999999999999E-2</v>
      </c>
      <c r="N990" s="3">
        <v>0.31609999999999999</v>
      </c>
      <c r="O990" s="3">
        <v>5.5599999999999997E-2</v>
      </c>
      <c r="P990" s="3">
        <v>8.8900000000000007E-2</v>
      </c>
    </row>
    <row r="991" spans="1:16">
      <c r="A991" t="s">
        <v>195</v>
      </c>
      <c r="B991" t="s">
        <v>363</v>
      </c>
      <c r="C991">
        <v>72</v>
      </c>
      <c r="D991" t="s">
        <v>194</v>
      </c>
      <c r="E991">
        <v>3027</v>
      </c>
      <c r="F991" s="3">
        <v>2.18E-2</v>
      </c>
      <c r="G991" s="3">
        <v>0.21560000000000001</v>
      </c>
      <c r="H991" s="3">
        <v>0.2261</v>
      </c>
      <c r="I991" s="3">
        <v>0.15029999999999999</v>
      </c>
      <c r="K991" s="3">
        <v>5.62E-2</v>
      </c>
      <c r="L991" s="3">
        <v>0.13730000000000001</v>
      </c>
      <c r="N991" s="3">
        <v>0.21429999999999999</v>
      </c>
      <c r="P991" s="3">
        <v>4.1700000000000001E-2</v>
      </c>
    </row>
    <row r="992" spans="1:16">
      <c r="A992" t="s">
        <v>195</v>
      </c>
      <c r="B992" t="s">
        <v>364</v>
      </c>
      <c r="C992">
        <v>51</v>
      </c>
      <c r="D992" t="s">
        <v>194</v>
      </c>
      <c r="E992">
        <v>3027</v>
      </c>
      <c r="F992" s="3">
        <v>0.1515</v>
      </c>
      <c r="G992" s="3">
        <v>0.18329999999999999</v>
      </c>
      <c r="H992" s="3">
        <v>0.2218</v>
      </c>
      <c r="I992" s="3">
        <v>0.31540000000000001</v>
      </c>
      <c r="K992" s="3">
        <v>2.4899999999999999E-2</v>
      </c>
      <c r="L992" s="3">
        <v>5.7099999999999998E-2</v>
      </c>
      <c r="N992" s="3">
        <v>0.24440000000000001</v>
      </c>
      <c r="O992" s="3">
        <v>4.2999999999999997E-2</v>
      </c>
      <c r="P992" s="3">
        <v>5.8799999999999998E-2</v>
      </c>
    </row>
    <row r="993" spans="1:17">
      <c r="A993" t="s">
        <v>195</v>
      </c>
      <c r="B993" t="s">
        <v>365</v>
      </c>
      <c r="C993">
        <v>50</v>
      </c>
      <c r="D993" t="s">
        <v>194</v>
      </c>
      <c r="E993">
        <v>3027</v>
      </c>
      <c r="F993" s="3">
        <v>5.8599999999999999E-2</v>
      </c>
      <c r="G993" s="3">
        <v>0.20860000000000001</v>
      </c>
      <c r="H993" s="3">
        <v>0.14549999999999999</v>
      </c>
      <c r="I993" s="3">
        <v>0.3266</v>
      </c>
      <c r="K993" s="3">
        <v>6.0100000000000001E-2</v>
      </c>
      <c r="L993" s="3">
        <v>1.24E-2</v>
      </c>
      <c r="N993" s="3">
        <v>0.29480000000000001</v>
      </c>
      <c r="P993" s="3">
        <v>4.7000000000000002E-3</v>
      </c>
    </row>
    <row r="994" spans="1:17">
      <c r="A994" t="s">
        <v>195</v>
      </c>
      <c r="B994" t="s">
        <v>285</v>
      </c>
      <c r="C994">
        <v>48</v>
      </c>
      <c r="D994" t="s">
        <v>194</v>
      </c>
      <c r="E994">
        <v>3027</v>
      </c>
      <c r="G994" s="3">
        <v>0.33389999999999997</v>
      </c>
      <c r="H994" s="3">
        <v>0.1477</v>
      </c>
      <c r="I994" s="3">
        <v>0.17879999999999999</v>
      </c>
      <c r="K994" s="3">
        <v>1.2200000000000001E-2</v>
      </c>
      <c r="L994" s="3">
        <v>3.2500000000000001E-2</v>
      </c>
      <c r="N994" s="3">
        <v>0.39889999999999998</v>
      </c>
      <c r="P994" s="3">
        <v>6.5299999999999997E-2</v>
      </c>
    </row>
    <row r="995" spans="1:17">
      <c r="A995" t="s">
        <v>195</v>
      </c>
      <c r="B995" t="s">
        <v>366</v>
      </c>
      <c r="C995">
        <v>98</v>
      </c>
      <c r="D995" t="s">
        <v>194</v>
      </c>
      <c r="E995">
        <v>3027</v>
      </c>
      <c r="G995" s="3">
        <v>0.32590000000000002</v>
      </c>
      <c r="H995" s="3">
        <v>7.17E-2</v>
      </c>
      <c r="I995" s="3">
        <v>0.3251</v>
      </c>
      <c r="K995" s="3">
        <v>5.8999999999999999E-3</v>
      </c>
      <c r="L995" s="3">
        <v>1.37E-2</v>
      </c>
      <c r="N995" s="3">
        <v>0.36270000000000002</v>
      </c>
      <c r="P995" s="3">
        <v>6.3200000000000006E-2</v>
      </c>
    </row>
    <row r="996" spans="1:17">
      <c r="A996" t="s">
        <v>195</v>
      </c>
      <c r="B996" t="s">
        <v>289</v>
      </c>
      <c r="C996">
        <v>377</v>
      </c>
      <c r="D996" t="s">
        <v>194</v>
      </c>
      <c r="E996">
        <v>3027</v>
      </c>
      <c r="G996" s="3">
        <v>5.6099999999999997E-2</v>
      </c>
      <c r="H996" s="3">
        <v>0.59360000000000002</v>
      </c>
      <c r="I996" s="3">
        <v>0.23730000000000001</v>
      </c>
      <c r="J996" s="3">
        <v>2.9999999999999997E-4</v>
      </c>
      <c r="K996" s="3">
        <v>6.0100000000000001E-2</v>
      </c>
      <c r="L996" s="3">
        <v>2.3199999999999998E-2</v>
      </c>
      <c r="M996" s="3">
        <v>6.9999999999999999E-4</v>
      </c>
      <c r="N996" s="3">
        <v>0.25169999999999998</v>
      </c>
      <c r="P996" s="3">
        <v>6.1899999999999997E-2</v>
      </c>
    </row>
    <row r="997" spans="1:17">
      <c r="A997" t="s">
        <v>200</v>
      </c>
      <c r="B997" t="s">
        <v>200</v>
      </c>
      <c r="C997">
        <v>3027</v>
      </c>
      <c r="D997" t="s">
        <v>200</v>
      </c>
      <c r="E997">
        <v>3027</v>
      </c>
      <c r="F997" s="3">
        <v>1.44E-2</v>
      </c>
      <c r="G997" s="3">
        <v>0.28870000000000001</v>
      </c>
      <c r="H997" s="3">
        <v>0.2964</v>
      </c>
      <c r="I997" s="3">
        <v>0.21909999999999999</v>
      </c>
      <c r="J997" s="3">
        <v>1.1000000000000001E-3</v>
      </c>
      <c r="K997" s="3">
        <v>3.39E-2</v>
      </c>
      <c r="L997" s="3">
        <v>2.81E-2</v>
      </c>
      <c r="M997" s="3">
        <v>1.5E-3</v>
      </c>
      <c r="N997" s="3">
        <v>0.28660000000000002</v>
      </c>
      <c r="O997" s="3">
        <v>2.5999999999999999E-3</v>
      </c>
      <c r="P997" s="3">
        <v>4.6800000000000001E-2</v>
      </c>
    </row>
    <row r="999" spans="1:17" ht="45">
      <c r="A999" s="22" t="s">
        <v>394</v>
      </c>
    </row>
    <row r="1000" spans="1:17">
      <c r="A1000" t="s">
        <v>185</v>
      </c>
      <c r="B1000" t="s">
        <v>291</v>
      </c>
      <c r="C1000" t="s">
        <v>186</v>
      </c>
      <c r="D1000" t="s">
        <v>192</v>
      </c>
      <c r="E1000" t="s">
        <v>184</v>
      </c>
      <c r="F1000" t="s">
        <v>193</v>
      </c>
      <c r="G1000" t="s">
        <v>385</v>
      </c>
      <c r="H1000" t="s">
        <v>386</v>
      </c>
      <c r="I1000" t="s">
        <v>387</v>
      </c>
      <c r="J1000" t="s">
        <v>388</v>
      </c>
      <c r="K1000" t="s">
        <v>257</v>
      </c>
      <c r="L1000" t="s">
        <v>389</v>
      </c>
      <c r="M1000" t="s">
        <v>390</v>
      </c>
      <c r="N1000" t="s">
        <v>247</v>
      </c>
      <c r="O1000" t="s">
        <v>391</v>
      </c>
      <c r="P1000" t="s">
        <v>392</v>
      </c>
      <c r="Q1000" t="s">
        <v>393</v>
      </c>
    </row>
    <row r="1001" spans="1:17">
      <c r="A1001" t="s">
        <v>195</v>
      </c>
      <c r="B1001" t="s">
        <v>356</v>
      </c>
      <c r="C1001" t="s">
        <v>292</v>
      </c>
      <c r="D1001">
        <v>40</v>
      </c>
      <c r="E1001" t="s">
        <v>194</v>
      </c>
      <c r="F1001">
        <v>3027</v>
      </c>
      <c r="H1001" s="3">
        <v>0.63490000000000002</v>
      </c>
      <c r="I1001" s="3">
        <v>2.3900000000000001E-2</v>
      </c>
      <c r="J1001" s="3">
        <v>4.2799999999999998E-2</v>
      </c>
      <c r="M1001" s="3">
        <v>3.0800000000000001E-2</v>
      </c>
      <c r="O1001" s="3">
        <v>0.30830000000000002</v>
      </c>
    </row>
    <row r="1002" spans="1:17">
      <c r="A1002" t="s">
        <v>199</v>
      </c>
      <c r="B1002" t="s">
        <v>366</v>
      </c>
      <c r="C1002" t="s">
        <v>292</v>
      </c>
      <c r="D1002">
        <v>69</v>
      </c>
      <c r="E1002" t="s">
        <v>194</v>
      </c>
      <c r="F1002">
        <v>3027</v>
      </c>
      <c r="H1002" s="3">
        <v>0.50580000000000003</v>
      </c>
      <c r="I1002" s="3">
        <v>3.9399999999999998E-2</v>
      </c>
      <c r="J1002" s="3">
        <v>0.14599999999999999</v>
      </c>
      <c r="L1002" s="3">
        <v>1.9599999999999999E-2</v>
      </c>
      <c r="M1002" s="3">
        <v>2.5999999999999999E-3</v>
      </c>
      <c r="O1002" s="3">
        <v>0.36630000000000001</v>
      </c>
      <c r="Q1002" s="3">
        <v>1.4999999999999999E-2</v>
      </c>
    </row>
    <row r="1003" spans="1:17">
      <c r="A1003" t="s">
        <v>199</v>
      </c>
      <c r="B1003" t="s">
        <v>366</v>
      </c>
      <c r="C1003" t="s">
        <v>293</v>
      </c>
      <c r="D1003">
        <v>64</v>
      </c>
      <c r="E1003" t="s">
        <v>194</v>
      </c>
      <c r="F1003">
        <v>3027</v>
      </c>
      <c r="H1003" s="3">
        <v>0.62709999999999999</v>
      </c>
      <c r="I1003" s="3">
        <v>9.4100000000000003E-2</v>
      </c>
      <c r="J1003" s="3">
        <v>8.0500000000000002E-2</v>
      </c>
      <c r="L1003" s="3">
        <v>5.3400000000000003E-2</v>
      </c>
      <c r="O1003" s="3">
        <v>0.22209999999999999</v>
      </c>
      <c r="Q1003" s="3">
        <v>6.1199999999999997E-2</v>
      </c>
    </row>
    <row r="1004" spans="1:17" s="25" customFormat="1">
      <c r="A1004" s="25" t="s">
        <v>199</v>
      </c>
      <c r="B1004" s="25" t="s">
        <v>285</v>
      </c>
      <c r="C1004" s="25" t="s">
        <v>292</v>
      </c>
      <c r="D1004" s="25">
        <v>17</v>
      </c>
      <c r="E1004" s="25" t="s">
        <v>194</v>
      </c>
      <c r="F1004" s="25">
        <v>3027</v>
      </c>
      <c r="H1004" s="26">
        <v>0.59209999999999996</v>
      </c>
      <c r="I1004" s="26">
        <v>0.1822</v>
      </c>
      <c r="J1004" s="26">
        <v>5.9299999999999999E-2</v>
      </c>
      <c r="L1004" s="26">
        <v>0.2467</v>
      </c>
      <c r="M1004" s="26">
        <v>2.64E-2</v>
      </c>
      <c r="O1004" s="26">
        <v>0.26140000000000002</v>
      </c>
      <c r="Q1004" s="26">
        <v>1.4999999999999999E-2</v>
      </c>
    </row>
    <row r="1005" spans="1:17">
      <c r="A1005" t="s">
        <v>199</v>
      </c>
      <c r="B1005" t="s">
        <v>285</v>
      </c>
      <c r="C1005" t="s">
        <v>293</v>
      </c>
      <c r="D1005">
        <v>41</v>
      </c>
      <c r="E1005" t="s">
        <v>194</v>
      </c>
      <c r="F1005">
        <v>3027</v>
      </c>
      <c r="G1005" s="3">
        <v>1.7100000000000001E-2</v>
      </c>
      <c r="H1005" s="3">
        <v>0.43180000000000002</v>
      </c>
      <c r="I1005" s="3">
        <v>0.112</v>
      </c>
      <c r="J1005" s="3">
        <v>0.12740000000000001</v>
      </c>
      <c r="O1005" s="3">
        <v>0.44390000000000002</v>
      </c>
      <c r="P1005" s="3">
        <v>1.7100000000000001E-2</v>
      </c>
      <c r="Q1005" s="3">
        <v>1.26E-2</v>
      </c>
    </row>
    <row r="1006" spans="1:17" s="25" customFormat="1">
      <c r="A1006" s="25" t="s">
        <v>199</v>
      </c>
      <c r="B1006" s="25" t="s">
        <v>365</v>
      </c>
      <c r="C1006" s="25" t="s">
        <v>292</v>
      </c>
      <c r="D1006" s="25">
        <v>25</v>
      </c>
      <c r="E1006" s="25" t="s">
        <v>194</v>
      </c>
      <c r="F1006" s="25">
        <v>3027</v>
      </c>
      <c r="H1006" s="26">
        <v>0.1041</v>
      </c>
      <c r="I1006" s="26">
        <v>0.34710000000000002</v>
      </c>
      <c r="J1006" s="26">
        <v>0.4405</v>
      </c>
      <c r="O1006" s="26">
        <v>0.15809999999999999</v>
      </c>
      <c r="Q1006" s="26">
        <v>1.9099999999999999E-2</v>
      </c>
    </row>
    <row r="1007" spans="1:17" s="25" customFormat="1">
      <c r="A1007" s="25" t="s">
        <v>199</v>
      </c>
      <c r="B1007" s="25" t="s">
        <v>365</v>
      </c>
      <c r="C1007" s="25" t="s">
        <v>293</v>
      </c>
      <c r="D1007" s="25">
        <v>29</v>
      </c>
      <c r="E1007" s="25" t="s">
        <v>194</v>
      </c>
      <c r="F1007" s="25">
        <v>3027</v>
      </c>
      <c r="G1007" s="26">
        <v>4.6699999999999998E-2</v>
      </c>
      <c r="H1007" s="26">
        <v>0.24299999999999999</v>
      </c>
      <c r="I1007" s="26">
        <v>0.10489999999999999</v>
      </c>
      <c r="J1007" s="26">
        <v>0.37059999999999998</v>
      </c>
      <c r="M1007" s="26">
        <v>6.1999999999999998E-3</v>
      </c>
      <c r="O1007" s="26">
        <v>0.3911</v>
      </c>
      <c r="Q1007" s="26">
        <v>4.6600000000000003E-2</v>
      </c>
    </row>
    <row r="1008" spans="1:17" s="25" customFormat="1">
      <c r="A1008" s="25" t="s">
        <v>199</v>
      </c>
      <c r="B1008" s="25" t="s">
        <v>364</v>
      </c>
      <c r="C1008" s="25" t="s">
        <v>292</v>
      </c>
      <c r="D1008" s="25">
        <v>10</v>
      </c>
      <c r="E1008" s="25" t="s">
        <v>194</v>
      </c>
      <c r="F1008" s="25">
        <v>3027</v>
      </c>
      <c r="H1008" s="26">
        <v>8.0299999999999996E-2</v>
      </c>
      <c r="I1008" s="26">
        <v>8.8800000000000004E-2</v>
      </c>
      <c r="J1008" s="26">
        <v>0.19089999999999999</v>
      </c>
      <c r="L1008" s="26">
        <v>0.16039999999999999</v>
      </c>
      <c r="O1008" s="26">
        <v>0.35549999999999998</v>
      </c>
      <c r="Q1008" s="26">
        <v>0.44490000000000002</v>
      </c>
    </row>
    <row r="1009" spans="1:17">
      <c r="A1009" t="s">
        <v>199</v>
      </c>
      <c r="B1009" t="s">
        <v>364</v>
      </c>
      <c r="C1009" t="s">
        <v>293</v>
      </c>
      <c r="D1009">
        <v>43</v>
      </c>
      <c r="E1009" t="s">
        <v>194</v>
      </c>
      <c r="F1009">
        <v>3027</v>
      </c>
      <c r="G1009" s="3">
        <v>6.8199999999999997E-2</v>
      </c>
      <c r="H1009" s="3">
        <v>0.16</v>
      </c>
      <c r="I1009" s="3">
        <v>0.21390000000000001</v>
      </c>
      <c r="J1009" s="3">
        <v>0.27400000000000002</v>
      </c>
      <c r="L1009" s="3">
        <v>5.79E-2</v>
      </c>
      <c r="M1009" s="3">
        <v>7.5499999999999998E-2</v>
      </c>
      <c r="O1009" s="3">
        <v>0.33129999999999998</v>
      </c>
    </row>
    <row r="1010" spans="1:17">
      <c r="A1010" t="s">
        <v>199</v>
      </c>
      <c r="B1010" t="s">
        <v>363</v>
      </c>
      <c r="C1010" t="s">
        <v>292</v>
      </c>
      <c r="D1010">
        <v>31</v>
      </c>
      <c r="E1010" t="s">
        <v>194</v>
      </c>
      <c r="F1010">
        <v>3027</v>
      </c>
      <c r="H1010" s="3">
        <v>0.47799999999999998</v>
      </c>
      <c r="I1010" s="3">
        <v>0.11020000000000001</v>
      </c>
      <c r="J1010" s="3">
        <v>0.45800000000000002</v>
      </c>
      <c r="L1010" s="3">
        <v>4.4000000000000003E-3</v>
      </c>
      <c r="M1010" s="3">
        <v>4.7000000000000002E-3</v>
      </c>
      <c r="O1010" s="3">
        <v>0.25409999999999999</v>
      </c>
      <c r="Q1010" s="3">
        <v>2.6800000000000001E-2</v>
      </c>
    </row>
    <row r="1011" spans="1:17">
      <c r="A1011" t="s">
        <v>199</v>
      </c>
      <c r="B1011" t="s">
        <v>363</v>
      </c>
      <c r="C1011" t="s">
        <v>293</v>
      </c>
      <c r="D1011">
        <v>67</v>
      </c>
      <c r="E1011" t="s">
        <v>194</v>
      </c>
      <c r="F1011">
        <v>3027</v>
      </c>
      <c r="G1011" s="3">
        <v>0.1202</v>
      </c>
      <c r="H1011" s="3">
        <v>0.21</v>
      </c>
      <c r="I1011" s="3">
        <v>9.35E-2</v>
      </c>
      <c r="J1011" s="3">
        <v>0.24349999999999999</v>
      </c>
      <c r="K1011" s="3">
        <v>1.5800000000000002E-2</v>
      </c>
      <c r="L1011" s="3">
        <v>4.0599999999999997E-2</v>
      </c>
      <c r="M1011" s="3">
        <v>5.0599999999999999E-2</v>
      </c>
      <c r="O1011" s="3">
        <v>0.38979999999999998</v>
      </c>
      <c r="P1011" s="3">
        <v>2.5999999999999999E-3</v>
      </c>
      <c r="Q1011" s="3">
        <v>3.9600000000000003E-2</v>
      </c>
    </row>
    <row r="1012" spans="1:17">
      <c r="A1012" t="s">
        <v>199</v>
      </c>
      <c r="B1012" t="s">
        <v>362</v>
      </c>
      <c r="C1012" t="s">
        <v>292</v>
      </c>
      <c r="D1012">
        <v>72</v>
      </c>
      <c r="E1012" t="s">
        <v>194</v>
      </c>
      <c r="F1012">
        <v>3027</v>
      </c>
      <c r="H1012" s="3">
        <v>0.37709999999999999</v>
      </c>
      <c r="I1012" s="3">
        <v>0.2681</v>
      </c>
      <c r="J1012" s="3">
        <v>0.16950000000000001</v>
      </c>
      <c r="L1012" s="3">
        <v>3.0000000000000001E-3</v>
      </c>
      <c r="M1012" s="3">
        <v>0.1047</v>
      </c>
      <c r="O1012" s="3">
        <v>0.15409999999999999</v>
      </c>
      <c r="Q1012" s="3">
        <v>6.7900000000000002E-2</v>
      </c>
    </row>
    <row r="1013" spans="1:17">
      <c r="A1013" t="s">
        <v>199</v>
      </c>
      <c r="B1013" t="s">
        <v>362</v>
      </c>
      <c r="C1013" t="s">
        <v>293</v>
      </c>
      <c r="D1013">
        <v>103</v>
      </c>
      <c r="E1013" t="s">
        <v>194</v>
      </c>
      <c r="F1013">
        <v>3027</v>
      </c>
      <c r="G1013" s="3">
        <v>8.0600000000000005E-2</v>
      </c>
      <c r="H1013" s="3">
        <v>0.28370000000000001</v>
      </c>
      <c r="I1013" s="3">
        <v>0.1101</v>
      </c>
      <c r="J1013" s="3">
        <v>0.26290000000000002</v>
      </c>
      <c r="L1013" s="3">
        <v>3.95E-2</v>
      </c>
      <c r="M1013" s="3">
        <v>3.3000000000000002E-2</v>
      </c>
      <c r="N1013" s="3">
        <v>3.5999999999999999E-3</v>
      </c>
      <c r="O1013" s="3">
        <v>0.3911</v>
      </c>
      <c r="P1013" s="3">
        <v>2.8999999999999998E-3</v>
      </c>
      <c r="Q1013" s="3">
        <v>2.1499999999999998E-2</v>
      </c>
    </row>
    <row r="1014" spans="1:17">
      <c r="A1014" t="s">
        <v>199</v>
      </c>
      <c r="B1014" t="s">
        <v>361</v>
      </c>
      <c r="C1014" t="s">
        <v>292</v>
      </c>
      <c r="D1014">
        <v>53</v>
      </c>
      <c r="E1014" t="s">
        <v>194</v>
      </c>
      <c r="F1014">
        <v>3027</v>
      </c>
      <c r="H1014" s="3">
        <v>0.25940000000000002</v>
      </c>
      <c r="I1014" s="3">
        <v>7.1300000000000002E-2</v>
      </c>
      <c r="J1014" s="3">
        <v>0.33950000000000002</v>
      </c>
      <c r="K1014" s="3">
        <v>5.9999999999999995E-4</v>
      </c>
      <c r="L1014" s="3">
        <v>3.1600000000000003E-2</v>
      </c>
      <c r="M1014" s="3">
        <v>7.7999999999999996E-3</v>
      </c>
      <c r="O1014" s="3">
        <v>0.31859999999999999</v>
      </c>
      <c r="Q1014" s="3">
        <v>0.16639999999999999</v>
      </c>
    </row>
    <row r="1015" spans="1:17">
      <c r="A1015" t="s">
        <v>199</v>
      </c>
      <c r="B1015" t="s">
        <v>361</v>
      </c>
      <c r="C1015" t="s">
        <v>293</v>
      </c>
      <c r="D1015">
        <v>83</v>
      </c>
      <c r="E1015" t="s">
        <v>194</v>
      </c>
      <c r="F1015">
        <v>3027</v>
      </c>
      <c r="H1015" s="3">
        <v>0.15190000000000001</v>
      </c>
      <c r="I1015" s="3">
        <v>0.14380000000000001</v>
      </c>
      <c r="J1015" s="3">
        <v>0.37669999999999998</v>
      </c>
      <c r="K1015" s="3">
        <v>1.4E-2</v>
      </c>
      <c r="L1015" s="3">
        <v>4.82E-2</v>
      </c>
      <c r="M1015" s="3">
        <v>5.1000000000000004E-3</v>
      </c>
      <c r="O1015" s="3">
        <v>0.29509999999999997</v>
      </c>
      <c r="Q1015" s="3">
        <v>0.01</v>
      </c>
    </row>
    <row r="1016" spans="1:17">
      <c r="A1016" t="s">
        <v>199</v>
      </c>
      <c r="B1016" t="s">
        <v>360</v>
      </c>
      <c r="C1016" t="s">
        <v>292</v>
      </c>
      <c r="D1016">
        <v>65</v>
      </c>
      <c r="E1016" t="s">
        <v>194</v>
      </c>
      <c r="F1016">
        <v>3027</v>
      </c>
      <c r="H1016" s="3">
        <v>0.29160000000000003</v>
      </c>
      <c r="I1016" s="3">
        <v>0.33610000000000001</v>
      </c>
      <c r="J1016" s="3">
        <v>0.25650000000000001</v>
      </c>
      <c r="L1016" s="3">
        <v>2.3900000000000001E-2</v>
      </c>
      <c r="O1016" s="3">
        <v>0.3488</v>
      </c>
      <c r="Q1016" s="3">
        <v>5.8900000000000001E-2</v>
      </c>
    </row>
    <row r="1017" spans="1:17">
      <c r="A1017" t="s">
        <v>199</v>
      </c>
      <c r="B1017" t="s">
        <v>360</v>
      </c>
      <c r="C1017" t="s">
        <v>293</v>
      </c>
      <c r="D1017">
        <v>66</v>
      </c>
      <c r="E1017" t="s">
        <v>194</v>
      </c>
      <c r="F1017">
        <v>3027</v>
      </c>
      <c r="H1017" s="3">
        <v>7.6700000000000004E-2</v>
      </c>
      <c r="I1017" s="3">
        <v>0.33860000000000001</v>
      </c>
      <c r="J1017" s="3">
        <v>0.51929999999999998</v>
      </c>
      <c r="L1017" s="3">
        <v>8.6E-3</v>
      </c>
      <c r="M1017" s="3">
        <v>6.4999999999999997E-3</v>
      </c>
      <c r="O1017" s="3">
        <v>0.45179999999999998</v>
      </c>
    </row>
    <row r="1018" spans="1:17">
      <c r="A1018" t="s">
        <v>199</v>
      </c>
      <c r="B1018" t="s">
        <v>359</v>
      </c>
      <c r="C1018" t="s">
        <v>292</v>
      </c>
      <c r="D1018">
        <v>63</v>
      </c>
      <c r="E1018" t="s">
        <v>194</v>
      </c>
      <c r="F1018">
        <v>3027</v>
      </c>
      <c r="H1018" s="3">
        <v>0.66239999999999999</v>
      </c>
      <c r="I1018" s="3">
        <v>4.8599999999999997E-2</v>
      </c>
      <c r="J1018" s="3">
        <v>0.12640000000000001</v>
      </c>
      <c r="M1018" s="3">
        <v>1E-3</v>
      </c>
      <c r="O1018" s="3">
        <v>0.1893</v>
      </c>
      <c r="Q1018" s="3">
        <v>3.3999999999999998E-3</v>
      </c>
    </row>
    <row r="1019" spans="1:17">
      <c r="A1019" t="s">
        <v>199</v>
      </c>
      <c r="B1019" t="s">
        <v>359</v>
      </c>
      <c r="C1019" t="s">
        <v>293</v>
      </c>
      <c r="D1019">
        <v>79</v>
      </c>
      <c r="E1019" t="s">
        <v>194</v>
      </c>
      <c r="F1019">
        <v>3027</v>
      </c>
      <c r="H1019" s="3">
        <v>0.84489999999999998</v>
      </c>
      <c r="I1019" s="3">
        <v>5.21E-2</v>
      </c>
      <c r="J1019" s="3">
        <v>2.2200000000000001E-2</v>
      </c>
      <c r="L1019" s="3">
        <v>8.9999999999999993E-3</v>
      </c>
      <c r="O1019" s="3">
        <v>0.2137</v>
      </c>
      <c r="Q1019" s="3">
        <v>0.03</v>
      </c>
    </row>
    <row r="1020" spans="1:17">
      <c r="A1020" t="s">
        <v>199</v>
      </c>
      <c r="B1020" t="s">
        <v>358</v>
      </c>
      <c r="C1020" t="s">
        <v>292</v>
      </c>
      <c r="D1020">
        <v>55</v>
      </c>
      <c r="E1020" t="s">
        <v>194</v>
      </c>
      <c r="F1020">
        <v>3027</v>
      </c>
      <c r="H1020" s="3">
        <v>0.25330000000000003</v>
      </c>
      <c r="I1020" s="3">
        <v>0.28499999999999998</v>
      </c>
      <c r="J1020" s="3">
        <v>0.11070000000000001</v>
      </c>
      <c r="K1020" s="3">
        <v>4.7999999999999996E-3</v>
      </c>
      <c r="L1020" s="3">
        <v>8.9899999999999994E-2</v>
      </c>
      <c r="O1020" s="3">
        <v>0.16839999999999999</v>
      </c>
      <c r="Q1020" s="3">
        <v>0.16550000000000001</v>
      </c>
    </row>
    <row r="1021" spans="1:17">
      <c r="A1021" t="s">
        <v>199</v>
      </c>
      <c r="B1021" t="s">
        <v>358</v>
      </c>
      <c r="C1021" t="s">
        <v>293</v>
      </c>
      <c r="D1021">
        <v>63</v>
      </c>
      <c r="E1021" t="s">
        <v>194</v>
      </c>
      <c r="F1021">
        <v>3027</v>
      </c>
      <c r="H1021" s="3">
        <v>0.13780000000000001</v>
      </c>
      <c r="I1021" s="3">
        <v>0.56179999999999997</v>
      </c>
      <c r="J1021" s="3">
        <v>0.2195</v>
      </c>
      <c r="L1021" s="3">
        <v>5.6899999999999999E-2</v>
      </c>
      <c r="M1021" s="3">
        <v>9.5999999999999992E-3</v>
      </c>
      <c r="O1021" s="3">
        <v>0.23880000000000001</v>
      </c>
      <c r="Q1021" s="3">
        <v>1.23E-2</v>
      </c>
    </row>
    <row r="1022" spans="1:17">
      <c r="A1022" t="s">
        <v>199</v>
      </c>
      <c r="B1022" t="s">
        <v>357</v>
      </c>
      <c r="C1022" t="s">
        <v>292</v>
      </c>
      <c r="D1022">
        <v>54</v>
      </c>
      <c r="E1022" t="s">
        <v>194</v>
      </c>
      <c r="F1022">
        <v>3027</v>
      </c>
      <c r="H1022" s="3">
        <v>0.1341</v>
      </c>
      <c r="I1022" s="3">
        <v>0.43609999999999999</v>
      </c>
      <c r="J1022" s="3">
        <v>0.47170000000000001</v>
      </c>
      <c r="L1022" s="3">
        <v>1.4999999999999999E-2</v>
      </c>
      <c r="N1022" s="3">
        <v>8.0000000000000004E-4</v>
      </c>
      <c r="O1022" s="3">
        <v>0.15590000000000001</v>
      </c>
      <c r="Q1022" s="3">
        <v>4.7100000000000003E-2</v>
      </c>
    </row>
    <row r="1023" spans="1:17">
      <c r="A1023" t="s">
        <v>199</v>
      </c>
      <c r="B1023" t="s">
        <v>357</v>
      </c>
      <c r="C1023" t="s">
        <v>293</v>
      </c>
      <c r="D1023">
        <v>62</v>
      </c>
      <c r="E1023" t="s">
        <v>194</v>
      </c>
      <c r="F1023">
        <v>3027</v>
      </c>
      <c r="H1023" s="3">
        <v>4.5999999999999999E-2</v>
      </c>
      <c r="I1023" s="3">
        <v>0.64890000000000003</v>
      </c>
      <c r="J1023" s="3">
        <v>0.34370000000000001</v>
      </c>
      <c r="L1023" s="3">
        <v>5.2699999999999997E-2</v>
      </c>
      <c r="M1023" s="3">
        <v>5.9999999999999995E-4</v>
      </c>
      <c r="O1023" s="3">
        <v>0.2616</v>
      </c>
      <c r="Q1023" s="3">
        <v>4.1399999999999999E-2</v>
      </c>
    </row>
    <row r="1024" spans="1:17">
      <c r="A1024" t="s">
        <v>199</v>
      </c>
      <c r="B1024" t="s">
        <v>289</v>
      </c>
      <c r="C1024" t="s">
        <v>292</v>
      </c>
      <c r="D1024">
        <v>131</v>
      </c>
      <c r="E1024" t="s">
        <v>194</v>
      </c>
      <c r="F1024">
        <v>3027</v>
      </c>
      <c r="H1024" s="3">
        <v>6.9900000000000004E-2</v>
      </c>
      <c r="I1024" s="3">
        <v>0.6714</v>
      </c>
      <c r="J1024" s="3">
        <v>0.18809999999999999</v>
      </c>
      <c r="L1024" s="3">
        <v>4.4699999999999997E-2</v>
      </c>
      <c r="M1024" s="3">
        <v>5.2900000000000003E-2</v>
      </c>
      <c r="O1024" s="3">
        <v>0.23549999999999999</v>
      </c>
      <c r="Q1024" s="3">
        <v>1.77E-2</v>
      </c>
    </row>
    <row r="1025" spans="1:17">
      <c r="A1025" t="s">
        <v>199</v>
      </c>
      <c r="B1025" t="s">
        <v>356</v>
      </c>
      <c r="C1025" t="s">
        <v>293</v>
      </c>
      <c r="D1025">
        <v>46</v>
      </c>
      <c r="E1025" t="s">
        <v>194</v>
      </c>
      <c r="F1025">
        <v>3027</v>
      </c>
      <c r="H1025" s="3">
        <v>0.5968</v>
      </c>
      <c r="J1025" s="3">
        <v>9.3899999999999997E-2</v>
      </c>
      <c r="L1025" s="3">
        <v>3.1699999999999999E-2</v>
      </c>
      <c r="O1025" s="3">
        <v>0.47089999999999999</v>
      </c>
      <c r="Q1025" s="3">
        <v>4.5999999999999999E-3</v>
      </c>
    </row>
    <row r="1026" spans="1:17">
      <c r="A1026" t="s">
        <v>199</v>
      </c>
      <c r="B1026" t="s">
        <v>289</v>
      </c>
      <c r="C1026" t="s">
        <v>293</v>
      </c>
      <c r="D1026">
        <v>256</v>
      </c>
      <c r="E1026" t="s">
        <v>194</v>
      </c>
      <c r="F1026">
        <v>3027</v>
      </c>
      <c r="H1026" s="3">
        <v>0.1108</v>
      </c>
      <c r="I1026" s="3">
        <v>0.66830000000000001</v>
      </c>
      <c r="J1026" s="3">
        <v>0.1258</v>
      </c>
      <c r="K1026" s="3">
        <v>8.9999999999999998E-4</v>
      </c>
      <c r="L1026" s="3">
        <v>2.76E-2</v>
      </c>
      <c r="M1026" s="3">
        <v>4.7500000000000001E-2</v>
      </c>
      <c r="O1026" s="3">
        <v>0.18090000000000001</v>
      </c>
      <c r="Q1026" s="3">
        <v>3.49E-2</v>
      </c>
    </row>
    <row r="1027" spans="1:17">
      <c r="A1027" t="s">
        <v>199</v>
      </c>
      <c r="B1027" t="s">
        <v>356</v>
      </c>
      <c r="C1027" t="s">
        <v>292</v>
      </c>
      <c r="D1027">
        <v>53</v>
      </c>
      <c r="E1027" t="s">
        <v>194</v>
      </c>
      <c r="F1027">
        <v>3027</v>
      </c>
      <c r="H1027" s="3">
        <v>0.78879999999999995</v>
      </c>
      <c r="I1027" s="3">
        <v>2.75E-2</v>
      </c>
      <c r="J1027" s="3">
        <v>4.3999999999999997E-2</v>
      </c>
      <c r="O1027" s="3">
        <v>0.35389999999999999</v>
      </c>
      <c r="Q1027" s="3">
        <v>8.4699999999999998E-2</v>
      </c>
    </row>
    <row r="1028" spans="1:17">
      <c r="A1028" t="s">
        <v>195</v>
      </c>
      <c r="B1028" t="s">
        <v>289</v>
      </c>
      <c r="C1028" t="s">
        <v>292</v>
      </c>
      <c r="D1028">
        <v>122</v>
      </c>
      <c r="E1028" t="s">
        <v>194</v>
      </c>
      <c r="F1028">
        <v>3027</v>
      </c>
      <c r="H1028" s="3">
        <v>6.8599999999999994E-2</v>
      </c>
      <c r="I1028" s="3">
        <v>0.63500000000000001</v>
      </c>
      <c r="J1028" s="3">
        <v>0.1323</v>
      </c>
      <c r="L1028" s="3">
        <v>3.5900000000000001E-2</v>
      </c>
      <c r="M1028" s="3">
        <v>4.9099999999999998E-2</v>
      </c>
      <c r="O1028" s="3">
        <v>0.3009</v>
      </c>
      <c r="Q1028" s="3">
        <v>6.9400000000000003E-2</v>
      </c>
    </row>
    <row r="1029" spans="1:17">
      <c r="A1029" t="s">
        <v>195</v>
      </c>
      <c r="B1029" t="s">
        <v>356</v>
      </c>
      <c r="C1029" t="s">
        <v>293</v>
      </c>
      <c r="D1029">
        <v>44</v>
      </c>
      <c r="E1029" t="s">
        <v>194</v>
      </c>
      <c r="F1029">
        <v>3027</v>
      </c>
      <c r="H1029" s="3">
        <v>0.7409</v>
      </c>
      <c r="J1029" s="3">
        <v>8.4500000000000006E-2</v>
      </c>
      <c r="L1029" s="3">
        <v>5.8099999999999999E-2</v>
      </c>
      <c r="M1029" s="3">
        <v>3.1E-2</v>
      </c>
      <c r="O1029" s="3">
        <v>0.22969999999999999</v>
      </c>
      <c r="Q1029" s="3">
        <v>3.1E-2</v>
      </c>
    </row>
    <row r="1030" spans="1:17">
      <c r="A1030" t="s">
        <v>195</v>
      </c>
      <c r="B1030" t="s">
        <v>366</v>
      </c>
      <c r="C1030" t="s">
        <v>292</v>
      </c>
      <c r="D1030">
        <v>52</v>
      </c>
      <c r="E1030" t="s">
        <v>194</v>
      </c>
      <c r="F1030">
        <v>3027</v>
      </c>
      <c r="H1030" s="3">
        <v>0.27179999999999999</v>
      </c>
      <c r="I1030" s="3">
        <v>7.17E-2</v>
      </c>
      <c r="J1030" s="3">
        <v>0.36959999999999998</v>
      </c>
      <c r="L1030" s="3">
        <v>1.12E-2</v>
      </c>
      <c r="M1030" s="3">
        <v>2.5899999999999999E-2</v>
      </c>
      <c r="O1030" s="3">
        <v>0.3175</v>
      </c>
      <c r="Q1030" s="3">
        <v>7.1400000000000005E-2</v>
      </c>
    </row>
    <row r="1031" spans="1:17">
      <c r="A1031" t="s">
        <v>195</v>
      </c>
      <c r="B1031" t="s">
        <v>366</v>
      </c>
      <c r="C1031" t="s">
        <v>293</v>
      </c>
      <c r="D1031">
        <v>46</v>
      </c>
      <c r="E1031" t="s">
        <v>194</v>
      </c>
      <c r="F1031">
        <v>3027</v>
      </c>
      <c r="H1031" s="3">
        <v>0.38640000000000002</v>
      </c>
      <c r="I1031" s="3">
        <v>7.17E-2</v>
      </c>
      <c r="J1031" s="3">
        <v>0.2752</v>
      </c>
      <c r="O1031" s="3">
        <v>0.41320000000000001</v>
      </c>
      <c r="Q1031" s="3">
        <v>5.4100000000000002E-2</v>
      </c>
    </row>
    <row r="1032" spans="1:17" s="25" customFormat="1">
      <c r="A1032" s="25" t="s">
        <v>195</v>
      </c>
      <c r="B1032" s="25" t="s">
        <v>285</v>
      </c>
      <c r="C1032" s="25" t="s">
        <v>292</v>
      </c>
      <c r="D1032" s="25">
        <v>20</v>
      </c>
      <c r="E1032" s="25" t="s">
        <v>194</v>
      </c>
      <c r="F1032" s="25">
        <v>3027</v>
      </c>
      <c r="H1032" s="26">
        <v>0.30359999999999998</v>
      </c>
      <c r="I1032" s="26">
        <v>0.24790000000000001</v>
      </c>
      <c r="J1032" s="26">
        <v>0.1095</v>
      </c>
      <c r="L1032" s="26">
        <v>3.3599999999999998E-2</v>
      </c>
      <c r="M1032" s="26">
        <v>8.9099999999999999E-2</v>
      </c>
      <c r="O1032" s="26">
        <v>0.19389999999999999</v>
      </c>
      <c r="Q1032" s="26">
        <v>8.9899999999999994E-2</v>
      </c>
    </row>
    <row r="1033" spans="1:17" s="25" customFormat="1">
      <c r="A1033" s="25" t="s">
        <v>195</v>
      </c>
      <c r="B1033" s="25" t="s">
        <v>285</v>
      </c>
      <c r="C1033" s="25" t="s">
        <v>293</v>
      </c>
      <c r="D1033" s="25">
        <v>28</v>
      </c>
      <c r="E1033" s="25" t="s">
        <v>194</v>
      </c>
      <c r="F1033" s="25">
        <v>3027</v>
      </c>
      <c r="H1033" s="26">
        <v>0.3513</v>
      </c>
      <c r="I1033" s="26">
        <v>9.0200000000000002E-2</v>
      </c>
      <c r="J1033" s="26">
        <v>0.21870000000000001</v>
      </c>
      <c r="O1033" s="26">
        <v>0.51680000000000004</v>
      </c>
      <c r="Q1033" s="26">
        <v>5.1200000000000002E-2</v>
      </c>
    </row>
    <row r="1034" spans="1:17" s="25" customFormat="1">
      <c r="A1034" s="25" t="s">
        <v>195</v>
      </c>
      <c r="B1034" s="25" t="s">
        <v>365</v>
      </c>
      <c r="C1034" s="25" t="s">
        <v>292</v>
      </c>
      <c r="D1034" s="25">
        <v>18</v>
      </c>
      <c r="E1034" s="25" t="s">
        <v>194</v>
      </c>
      <c r="F1034" s="25">
        <v>3027</v>
      </c>
      <c r="H1034" s="26">
        <v>9.06E-2</v>
      </c>
      <c r="I1034" s="26">
        <v>0.19439999999999999</v>
      </c>
      <c r="J1034" s="26">
        <v>0.17249999999999999</v>
      </c>
      <c r="L1034" s="26">
        <v>4.3900000000000002E-2</v>
      </c>
      <c r="O1034" s="26">
        <v>0.50280000000000002</v>
      </c>
      <c r="Q1034" s="26">
        <v>1.6199999999999999E-2</v>
      </c>
    </row>
    <row r="1035" spans="1:17">
      <c r="A1035" t="s">
        <v>195</v>
      </c>
      <c r="B1035" t="s">
        <v>365</v>
      </c>
      <c r="C1035" t="s">
        <v>293</v>
      </c>
      <c r="D1035">
        <v>32</v>
      </c>
      <c r="E1035" t="s">
        <v>194</v>
      </c>
      <c r="F1035">
        <v>3027</v>
      </c>
      <c r="G1035" s="3">
        <v>8.2199999999999995E-2</v>
      </c>
      <c r="H1035" s="3">
        <v>0.25629999999999997</v>
      </c>
      <c r="I1035" s="3">
        <v>0.12570000000000001</v>
      </c>
      <c r="J1035" s="3">
        <v>0.38890000000000002</v>
      </c>
      <c r="L1035" s="3">
        <v>6.6600000000000006E-2</v>
      </c>
      <c r="M1035" s="3">
        <v>1.7399999999999999E-2</v>
      </c>
      <c r="O1035" s="3">
        <v>0.2107</v>
      </c>
    </row>
    <row r="1036" spans="1:17" s="25" customFormat="1">
      <c r="A1036" s="25" t="s">
        <v>195</v>
      </c>
      <c r="B1036" s="25" t="s">
        <v>364</v>
      </c>
      <c r="C1036" s="25" t="s">
        <v>292</v>
      </c>
      <c r="D1036" s="25">
        <v>12</v>
      </c>
      <c r="E1036" s="25" t="s">
        <v>194</v>
      </c>
      <c r="F1036" s="25">
        <v>3027</v>
      </c>
      <c r="H1036" s="26">
        <v>0.15640000000000001</v>
      </c>
      <c r="I1036" s="26">
        <v>0.67049999999999998</v>
      </c>
      <c r="J1036" s="26">
        <v>3.15E-2</v>
      </c>
      <c r="O1036" s="26">
        <v>0.47520000000000001</v>
      </c>
    </row>
    <row r="1037" spans="1:17">
      <c r="A1037" t="s">
        <v>195</v>
      </c>
      <c r="B1037" t="s">
        <v>364</v>
      </c>
      <c r="C1037" t="s">
        <v>293</v>
      </c>
      <c r="D1037">
        <v>39</v>
      </c>
      <c r="E1037" t="s">
        <v>194</v>
      </c>
      <c r="F1037">
        <v>3027</v>
      </c>
      <c r="G1037" s="3">
        <v>0.19400000000000001</v>
      </c>
      <c r="H1037" s="3">
        <v>0.1908</v>
      </c>
      <c r="I1037" s="3">
        <v>9.5799999999999996E-2</v>
      </c>
      <c r="J1037" s="3">
        <v>0.39510000000000001</v>
      </c>
      <c r="L1037" s="3">
        <v>3.1800000000000002E-2</v>
      </c>
      <c r="M1037" s="3">
        <v>7.3099999999999998E-2</v>
      </c>
      <c r="O1037" s="3">
        <v>0.17960000000000001</v>
      </c>
      <c r="P1037" s="3">
        <v>5.5E-2</v>
      </c>
      <c r="Q1037" s="3">
        <v>7.5300000000000006E-2</v>
      </c>
    </row>
    <row r="1038" spans="1:17" s="25" customFormat="1">
      <c r="A1038" s="25" t="s">
        <v>195</v>
      </c>
      <c r="B1038" s="25" t="s">
        <v>363</v>
      </c>
      <c r="C1038" s="25" t="s">
        <v>292</v>
      </c>
      <c r="D1038" s="25">
        <v>26</v>
      </c>
      <c r="E1038" s="25" t="s">
        <v>194</v>
      </c>
      <c r="F1038" s="25">
        <v>3027</v>
      </c>
      <c r="H1038" s="26">
        <v>3.2300000000000002E-2</v>
      </c>
      <c r="I1038" s="26">
        <v>0.37069999999999997</v>
      </c>
      <c r="J1038" s="26">
        <v>0.1114</v>
      </c>
      <c r="L1038" s="26">
        <v>4.7E-2</v>
      </c>
      <c r="M1038" s="26">
        <v>0.1391</v>
      </c>
      <c r="O1038" s="26">
        <v>0.26919999999999999</v>
      </c>
      <c r="Q1038" s="26">
        <v>6.5699999999999995E-2</v>
      </c>
    </row>
    <row r="1039" spans="1:17">
      <c r="A1039" t="s">
        <v>195</v>
      </c>
      <c r="B1039" t="s">
        <v>363</v>
      </c>
      <c r="C1039" t="s">
        <v>293</v>
      </c>
      <c r="D1039">
        <v>46</v>
      </c>
      <c r="E1039" t="s">
        <v>194</v>
      </c>
      <c r="F1039">
        <v>3027</v>
      </c>
      <c r="G1039" s="3">
        <v>4.1399999999999999E-2</v>
      </c>
      <c r="H1039" s="3">
        <v>0.38030000000000003</v>
      </c>
      <c r="I1039" s="3">
        <v>9.6100000000000005E-2</v>
      </c>
      <c r="J1039" s="3">
        <v>0.1852</v>
      </c>
      <c r="L1039" s="3">
        <v>6.4399999999999999E-2</v>
      </c>
      <c r="M1039" s="3">
        <v>0.13569999999999999</v>
      </c>
      <c r="O1039" s="3">
        <v>0.16500000000000001</v>
      </c>
      <c r="Q1039" s="3">
        <v>2.01E-2</v>
      </c>
    </row>
    <row r="1040" spans="1:17" s="25" customFormat="1">
      <c r="A1040" s="25" t="s">
        <v>195</v>
      </c>
      <c r="B1040" s="25" t="s">
        <v>362</v>
      </c>
      <c r="C1040" s="25" t="s">
        <v>292</v>
      </c>
      <c r="D1040" s="25">
        <v>26</v>
      </c>
      <c r="E1040" s="25" t="s">
        <v>194</v>
      </c>
      <c r="F1040" s="25">
        <v>3027</v>
      </c>
      <c r="H1040" s="26">
        <v>0.1656</v>
      </c>
      <c r="I1040" s="26">
        <v>0.36749999999999999</v>
      </c>
      <c r="J1040" s="26">
        <v>0.1489</v>
      </c>
      <c r="L1040" s="26">
        <v>3.4200000000000001E-2</v>
      </c>
      <c r="M1040" s="26">
        <v>2.47E-2</v>
      </c>
      <c r="O1040" s="26">
        <v>0.48520000000000002</v>
      </c>
      <c r="Q1040" s="26">
        <v>0.27889999999999998</v>
      </c>
    </row>
    <row r="1041" spans="1:17">
      <c r="A1041" t="s">
        <v>195</v>
      </c>
      <c r="B1041" t="s">
        <v>362</v>
      </c>
      <c r="C1041" t="s">
        <v>293</v>
      </c>
      <c r="D1041">
        <v>55</v>
      </c>
      <c r="E1041" t="s">
        <v>194</v>
      </c>
      <c r="F1041">
        <v>3027</v>
      </c>
      <c r="G1041" s="3">
        <v>8.1600000000000006E-2</v>
      </c>
      <c r="H1041" s="3">
        <v>0.18579999999999999</v>
      </c>
      <c r="I1041" s="3">
        <v>0.224</v>
      </c>
      <c r="J1041" s="3">
        <v>0.33839999999999998</v>
      </c>
      <c r="L1041" s="3">
        <v>5.45E-2</v>
      </c>
      <c r="M1041" s="3">
        <v>1.67E-2</v>
      </c>
      <c r="N1041" s="3">
        <v>2.64E-2</v>
      </c>
      <c r="O1041" s="3">
        <v>0.23710000000000001</v>
      </c>
      <c r="P1041" s="3">
        <v>8.1600000000000006E-2</v>
      </c>
    </row>
    <row r="1042" spans="1:17">
      <c r="A1042" t="s">
        <v>195</v>
      </c>
      <c r="B1042" t="s">
        <v>361</v>
      </c>
      <c r="C1042" t="s">
        <v>292</v>
      </c>
      <c r="D1042">
        <v>31</v>
      </c>
      <c r="E1042" t="s">
        <v>194</v>
      </c>
      <c r="F1042">
        <v>3027</v>
      </c>
      <c r="H1042" s="3">
        <v>3.7699999999999997E-2</v>
      </c>
      <c r="I1042" s="3">
        <v>0.24579999999999999</v>
      </c>
      <c r="J1042" s="3">
        <v>0.31319999999999998</v>
      </c>
      <c r="L1042" s="3">
        <v>6.6199999999999995E-2</v>
      </c>
      <c r="M1042" s="3">
        <v>1.7399999999999999E-2</v>
      </c>
      <c r="O1042" s="3">
        <v>0.55510000000000004</v>
      </c>
      <c r="Q1042" s="3">
        <v>0.1115</v>
      </c>
    </row>
    <row r="1043" spans="1:17">
      <c r="A1043" t="s">
        <v>195</v>
      </c>
      <c r="B1043" t="s">
        <v>361</v>
      </c>
      <c r="C1043" t="s">
        <v>293</v>
      </c>
      <c r="D1043">
        <v>62</v>
      </c>
      <c r="E1043" t="s">
        <v>194</v>
      </c>
      <c r="F1043">
        <v>3027</v>
      </c>
      <c r="G1043" s="3">
        <v>4.4900000000000002E-2</v>
      </c>
      <c r="H1043" s="3">
        <v>0.13789999999999999</v>
      </c>
      <c r="I1043" s="3">
        <v>0.44590000000000002</v>
      </c>
      <c r="J1043" s="3">
        <v>0.30449999999999999</v>
      </c>
      <c r="L1043" s="3">
        <v>3.3500000000000002E-2</v>
      </c>
      <c r="M1043" s="3">
        <v>1.7000000000000001E-2</v>
      </c>
      <c r="N1043" s="3">
        <v>4.4999999999999997E-3</v>
      </c>
      <c r="O1043" s="3">
        <v>0.4254</v>
      </c>
      <c r="Q1043" s="3">
        <v>3.2099999999999997E-2</v>
      </c>
    </row>
    <row r="1044" spans="1:17">
      <c r="A1044" t="s">
        <v>195</v>
      </c>
      <c r="B1044" t="s">
        <v>360</v>
      </c>
      <c r="C1044" t="s">
        <v>292</v>
      </c>
      <c r="D1044">
        <v>33</v>
      </c>
      <c r="E1044" t="s">
        <v>194</v>
      </c>
      <c r="F1044">
        <v>3027</v>
      </c>
      <c r="H1044" s="3">
        <v>0.19170000000000001</v>
      </c>
      <c r="I1044" s="3">
        <v>0.34420000000000001</v>
      </c>
      <c r="J1044" s="3">
        <v>0.24129999999999999</v>
      </c>
      <c r="L1044" s="3">
        <v>2.0299999999999999E-2</v>
      </c>
      <c r="O1044" s="3">
        <v>0.32219999999999999</v>
      </c>
      <c r="Q1044" s="3">
        <v>6.7799999999999999E-2</v>
      </c>
    </row>
    <row r="1045" spans="1:17">
      <c r="A1045" t="s">
        <v>195</v>
      </c>
      <c r="B1045" t="s">
        <v>360</v>
      </c>
      <c r="C1045" t="s">
        <v>293</v>
      </c>
      <c r="D1045">
        <v>61</v>
      </c>
      <c r="E1045" t="s">
        <v>194</v>
      </c>
      <c r="F1045">
        <v>3027</v>
      </c>
      <c r="H1045" s="3">
        <v>0.2712</v>
      </c>
      <c r="I1045" s="3">
        <v>0.28000000000000003</v>
      </c>
      <c r="J1045" s="3">
        <v>0.31540000000000001</v>
      </c>
      <c r="L1045" s="3">
        <v>4.4900000000000002E-2</v>
      </c>
      <c r="O1045" s="3">
        <v>0.4592</v>
      </c>
      <c r="Q1045" s="3">
        <v>3.4700000000000002E-2</v>
      </c>
    </row>
    <row r="1046" spans="1:17">
      <c r="A1046" t="s">
        <v>195</v>
      </c>
      <c r="B1046" t="s">
        <v>359</v>
      </c>
      <c r="C1046" t="s">
        <v>292</v>
      </c>
      <c r="D1046">
        <v>63</v>
      </c>
      <c r="E1046" t="s">
        <v>194</v>
      </c>
      <c r="F1046">
        <v>3027</v>
      </c>
      <c r="H1046" s="3">
        <v>0.46789999999999998</v>
      </c>
      <c r="I1046" s="3">
        <v>0.17630000000000001</v>
      </c>
      <c r="J1046" s="3">
        <v>0.28910000000000002</v>
      </c>
      <c r="L1046" s="3">
        <v>2.86E-2</v>
      </c>
      <c r="O1046" s="3">
        <v>0.16270000000000001</v>
      </c>
    </row>
    <row r="1047" spans="1:17">
      <c r="A1047" t="s">
        <v>195</v>
      </c>
      <c r="B1047" t="s">
        <v>359</v>
      </c>
      <c r="C1047" t="s">
        <v>293</v>
      </c>
      <c r="D1047">
        <v>49</v>
      </c>
      <c r="E1047" t="s">
        <v>194</v>
      </c>
      <c r="F1047">
        <v>3027</v>
      </c>
      <c r="H1047" s="3">
        <v>0.58140000000000003</v>
      </c>
      <c r="I1047" s="3">
        <v>0.1033</v>
      </c>
      <c r="J1047" s="3">
        <v>0.2702</v>
      </c>
      <c r="L1047" s="3">
        <v>1.14E-2</v>
      </c>
      <c r="M1047" s="3">
        <v>2.6200000000000001E-2</v>
      </c>
      <c r="O1047" s="3">
        <v>0.20519999999999999</v>
      </c>
    </row>
    <row r="1048" spans="1:17">
      <c r="A1048" t="s">
        <v>195</v>
      </c>
      <c r="B1048" t="s">
        <v>358</v>
      </c>
      <c r="C1048" t="s">
        <v>292</v>
      </c>
      <c r="D1048">
        <v>33</v>
      </c>
      <c r="E1048" t="s">
        <v>194</v>
      </c>
      <c r="F1048">
        <v>3027</v>
      </c>
      <c r="H1048" s="3">
        <v>0.34010000000000001</v>
      </c>
      <c r="I1048" s="3">
        <v>0.51329999999999998</v>
      </c>
      <c r="J1048" s="3">
        <v>9.0499999999999997E-2</v>
      </c>
      <c r="K1048" s="3">
        <v>1.66E-2</v>
      </c>
      <c r="L1048" s="3">
        <v>6.7000000000000002E-3</v>
      </c>
      <c r="M1048" s="3">
        <v>1.1000000000000001E-3</v>
      </c>
      <c r="O1048" s="3">
        <v>0.16389999999999999</v>
      </c>
      <c r="Q1048" s="3">
        <v>0.1447</v>
      </c>
    </row>
    <row r="1049" spans="1:17">
      <c r="A1049" t="s">
        <v>195</v>
      </c>
      <c r="B1049" t="s">
        <v>358</v>
      </c>
      <c r="C1049" t="s">
        <v>293</v>
      </c>
      <c r="D1049">
        <v>47</v>
      </c>
      <c r="E1049" t="s">
        <v>194</v>
      </c>
      <c r="F1049">
        <v>3027</v>
      </c>
      <c r="H1049" s="3">
        <v>6.7599999999999993E-2</v>
      </c>
      <c r="I1049" s="3">
        <v>0.34949999999999998</v>
      </c>
      <c r="J1049" s="3">
        <v>0.24940000000000001</v>
      </c>
      <c r="L1049" s="3">
        <v>3.2000000000000001E-2</v>
      </c>
      <c r="M1049" s="3">
        <v>0.1603</v>
      </c>
      <c r="O1049" s="3">
        <v>0.1676</v>
      </c>
      <c r="Q1049" s="3">
        <v>0.1479</v>
      </c>
    </row>
    <row r="1050" spans="1:17" s="25" customFormat="1">
      <c r="A1050" s="25" t="s">
        <v>195</v>
      </c>
      <c r="B1050" s="25" t="s">
        <v>357</v>
      </c>
      <c r="C1050" s="25" t="s">
        <v>292</v>
      </c>
      <c r="D1050" s="25">
        <v>29</v>
      </c>
      <c r="E1050" s="25" t="s">
        <v>194</v>
      </c>
      <c r="F1050" s="25">
        <v>3027</v>
      </c>
      <c r="H1050" s="26">
        <v>0.26450000000000001</v>
      </c>
      <c r="I1050" s="26">
        <v>0.56520000000000004</v>
      </c>
      <c r="J1050" s="26">
        <v>0.1056</v>
      </c>
      <c r="L1050" s="26">
        <v>8.6E-3</v>
      </c>
      <c r="M1050" s="26">
        <v>2.1499999999999998E-2</v>
      </c>
      <c r="N1050" s="26">
        <v>3.7199999999999997E-2</v>
      </c>
      <c r="O1050" s="26">
        <v>6.1400000000000003E-2</v>
      </c>
      <c r="Q1050" s="26">
        <v>6.6299999999999998E-2</v>
      </c>
    </row>
    <row r="1051" spans="1:17">
      <c r="A1051" t="s">
        <v>195</v>
      </c>
      <c r="B1051" t="s">
        <v>357</v>
      </c>
      <c r="C1051" t="s">
        <v>293</v>
      </c>
      <c r="D1051">
        <v>58</v>
      </c>
      <c r="E1051" t="s">
        <v>194</v>
      </c>
      <c r="F1051">
        <v>3027</v>
      </c>
      <c r="H1051" s="3">
        <v>0.10580000000000001</v>
      </c>
      <c r="I1051" s="3">
        <v>0.41830000000000001</v>
      </c>
      <c r="J1051" s="3">
        <v>0.27429999999999999</v>
      </c>
      <c r="M1051" s="3">
        <v>7.4700000000000003E-2</v>
      </c>
      <c r="N1051" s="3">
        <v>1.5800000000000002E-2</v>
      </c>
      <c r="O1051" s="3">
        <v>0.4617</v>
      </c>
      <c r="Q1051" s="3">
        <v>1.46E-2</v>
      </c>
    </row>
    <row r="1052" spans="1:17">
      <c r="A1052" t="s">
        <v>195</v>
      </c>
      <c r="B1052" t="s">
        <v>289</v>
      </c>
      <c r="C1052" t="s">
        <v>293</v>
      </c>
      <c r="D1052">
        <v>255</v>
      </c>
      <c r="E1052" t="s">
        <v>194</v>
      </c>
      <c r="F1052">
        <v>3027</v>
      </c>
      <c r="H1052" s="3">
        <v>5.0500000000000003E-2</v>
      </c>
      <c r="I1052" s="3">
        <v>0.57479999999999998</v>
      </c>
      <c r="J1052" s="3">
        <v>0.2853</v>
      </c>
      <c r="K1052" s="3">
        <v>4.0000000000000002E-4</v>
      </c>
      <c r="L1052" s="3">
        <v>7.1099999999999997E-2</v>
      </c>
      <c r="M1052" s="3">
        <v>1.14E-2</v>
      </c>
      <c r="N1052" s="3">
        <v>1E-3</v>
      </c>
      <c r="O1052" s="3">
        <v>0.2293</v>
      </c>
      <c r="Q1052" s="3">
        <v>5.8500000000000003E-2</v>
      </c>
    </row>
    <row r="1053" spans="1:17">
      <c r="A1053" t="s">
        <v>200</v>
      </c>
      <c r="B1053" t="s">
        <v>200</v>
      </c>
      <c r="C1053" t="s">
        <v>200</v>
      </c>
      <c r="D1053">
        <v>3027</v>
      </c>
      <c r="E1053" t="s">
        <v>200</v>
      </c>
      <c r="F1053">
        <v>3027</v>
      </c>
      <c r="G1053" s="3">
        <v>1.44E-2</v>
      </c>
      <c r="H1053" s="3">
        <v>0.28870000000000001</v>
      </c>
      <c r="I1053" s="3">
        <v>0.2964</v>
      </c>
      <c r="J1053" s="3">
        <v>0.21909999999999999</v>
      </c>
      <c r="K1053" s="3">
        <v>1.1000000000000001E-3</v>
      </c>
      <c r="L1053" s="3">
        <v>3.39E-2</v>
      </c>
      <c r="M1053" s="3">
        <v>2.81E-2</v>
      </c>
      <c r="N1053" s="3">
        <v>1.5E-3</v>
      </c>
      <c r="O1053" s="3">
        <v>0.28660000000000002</v>
      </c>
      <c r="P1053" s="3">
        <v>2.5999999999999999E-3</v>
      </c>
      <c r="Q1053" s="3">
        <v>4.6800000000000001E-2</v>
      </c>
    </row>
    <row r="1055" spans="1:17" ht="45">
      <c r="A1055" s="22" t="s">
        <v>395</v>
      </c>
    </row>
    <row r="1056" spans="1:17">
      <c r="A1056" t="s">
        <v>185</v>
      </c>
      <c r="B1056" t="s">
        <v>186</v>
      </c>
      <c r="C1056" t="s">
        <v>192</v>
      </c>
      <c r="D1056" t="s">
        <v>184</v>
      </c>
      <c r="E1056" t="s">
        <v>193</v>
      </c>
      <c r="F1056" t="s">
        <v>385</v>
      </c>
      <c r="G1056" t="s">
        <v>386</v>
      </c>
      <c r="H1056" t="s">
        <v>387</v>
      </c>
      <c r="I1056" t="s">
        <v>388</v>
      </c>
      <c r="J1056" t="s">
        <v>257</v>
      </c>
      <c r="K1056" t="s">
        <v>389</v>
      </c>
      <c r="L1056" t="s">
        <v>390</v>
      </c>
      <c r="M1056" t="s">
        <v>247</v>
      </c>
      <c r="N1056" t="s">
        <v>391</v>
      </c>
      <c r="O1056" t="s">
        <v>392</v>
      </c>
      <c r="P1056" t="s">
        <v>393</v>
      </c>
    </row>
    <row r="1057" spans="1:16">
      <c r="A1057" t="s">
        <v>195</v>
      </c>
      <c r="B1057" t="s">
        <v>196</v>
      </c>
      <c r="C1057">
        <v>453</v>
      </c>
      <c r="D1057" t="s">
        <v>194</v>
      </c>
      <c r="E1057">
        <v>3027</v>
      </c>
      <c r="F1057" s="3">
        <v>1.15E-2</v>
      </c>
      <c r="G1057" s="3">
        <v>0.2346</v>
      </c>
      <c r="H1057" s="3">
        <v>0.32919999999999999</v>
      </c>
      <c r="I1057" s="3">
        <v>0.2492</v>
      </c>
      <c r="K1057" s="3">
        <v>0.05</v>
      </c>
      <c r="L1057" s="3">
        <v>2.76E-2</v>
      </c>
      <c r="M1057" s="3">
        <v>1.5E-3</v>
      </c>
      <c r="N1057" s="3">
        <v>0.2465</v>
      </c>
      <c r="O1057" s="3">
        <v>1.8E-3</v>
      </c>
      <c r="P1057" s="3">
        <v>4.9000000000000002E-2</v>
      </c>
    </row>
    <row r="1058" spans="1:16">
      <c r="A1058" t="s">
        <v>195</v>
      </c>
      <c r="B1058" t="s">
        <v>198</v>
      </c>
      <c r="C1058">
        <v>847</v>
      </c>
      <c r="D1058" t="s">
        <v>194</v>
      </c>
      <c r="E1058">
        <v>3027</v>
      </c>
      <c r="F1058" s="3">
        <v>1.6E-2</v>
      </c>
      <c r="G1058" s="3">
        <v>0.22040000000000001</v>
      </c>
      <c r="H1058" s="3">
        <v>0.3372</v>
      </c>
      <c r="I1058" s="3">
        <v>0.24030000000000001</v>
      </c>
      <c r="J1058" s="3">
        <v>6.9999999999999999E-4</v>
      </c>
      <c r="K1058" s="3">
        <v>3.4000000000000002E-2</v>
      </c>
      <c r="L1058" s="3">
        <v>3.7199999999999997E-2</v>
      </c>
      <c r="M1058" s="3">
        <v>3.5999999999999999E-3</v>
      </c>
      <c r="N1058" s="3">
        <v>0.30509999999999998</v>
      </c>
      <c r="O1058" s="3">
        <v>6.1000000000000004E-3</v>
      </c>
      <c r="P1058" s="3">
        <v>5.5399999999999998E-2</v>
      </c>
    </row>
    <row r="1059" spans="1:16">
      <c r="A1059" t="s">
        <v>199</v>
      </c>
      <c r="B1059" t="s">
        <v>196</v>
      </c>
      <c r="C1059">
        <v>639</v>
      </c>
      <c r="D1059" t="s">
        <v>194</v>
      </c>
      <c r="E1059">
        <v>3027</v>
      </c>
      <c r="F1059" s="3">
        <v>6.7999999999999996E-3</v>
      </c>
      <c r="G1059" s="3">
        <v>0.31369999999999998</v>
      </c>
      <c r="H1059" s="3">
        <v>0.32740000000000002</v>
      </c>
      <c r="I1059" s="3">
        <v>0.19750000000000001</v>
      </c>
      <c r="J1059" s="3">
        <v>2.2000000000000001E-3</v>
      </c>
      <c r="K1059" s="3">
        <v>5.3199999999999997E-2</v>
      </c>
      <c r="L1059" s="3">
        <v>2.23E-2</v>
      </c>
      <c r="M1059" s="3">
        <v>1.1999999999999999E-3</v>
      </c>
      <c r="N1059" s="3">
        <v>0.24410000000000001</v>
      </c>
      <c r="O1059" s="3">
        <v>8.9999999999999998E-4</v>
      </c>
      <c r="P1059" s="3">
        <v>3.5200000000000002E-2</v>
      </c>
    </row>
    <row r="1060" spans="1:16">
      <c r="A1060" t="s">
        <v>199</v>
      </c>
      <c r="B1060" t="s">
        <v>198</v>
      </c>
      <c r="C1060">
        <v>1043</v>
      </c>
      <c r="D1060" t="s">
        <v>194</v>
      </c>
      <c r="E1060">
        <v>3027</v>
      </c>
      <c r="F1060" s="3">
        <v>1.6199999999999999E-2</v>
      </c>
      <c r="G1060" s="3">
        <v>0.34870000000000001</v>
      </c>
      <c r="H1060" s="3">
        <v>0.24610000000000001</v>
      </c>
      <c r="I1060" s="3">
        <v>0.20180000000000001</v>
      </c>
      <c r="J1060" s="3">
        <v>1.4E-3</v>
      </c>
      <c r="K1060" s="3">
        <v>2.4400000000000002E-2</v>
      </c>
      <c r="L1060" s="3">
        <v>2.2800000000000001E-2</v>
      </c>
      <c r="N1060" s="3">
        <v>0.2949</v>
      </c>
      <c r="O1060" s="3">
        <v>5.0000000000000001E-4</v>
      </c>
      <c r="P1060" s="3">
        <v>4.2999999999999997E-2</v>
      </c>
    </row>
    <row r="1061" spans="1:16">
      <c r="A1061" t="s">
        <v>200</v>
      </c>
      <c r="B1061" t="s">
        <v>200</v>
      </c>
      <c r="C1061">
        <v>3027</v>
      </c>
      <c r="D1061" t="s">
        <v>200</v>
      </c>
      <c r="E1061">
        <v>3027</v>
      </c>
      <c r="F1061" s="3">
        <v>1.44E-2</v>
      </c>
      <c r="G1061" s="3">
        <v>0.28870000000000001</v>
      </c>
      <c r="H1061" s="3">
        <v>0.2964</v>
      </c>
      <c r="I1061" s="3">
        <v>0.21909999999999999</v>
      </c>
      <c r="J1061" s="3">
        <v>1.1000000000000001E-3</v>
      </c>
      <c r="K1061" s="3">
        <v>3.39E-2</v>
      </c>
      <c r="L1061" s="3">
        <v>2.81E-2</v>
      </c>
      <c r="M1061" s="3">
        <v>1.5E-3</v>
      </c>
      <c r="N1061" s="3">
        <v>0.28660000000000002</v>
      </c>
      <c r="O1061" s="3">
        <v>2.5999999999999999E-3</v>
      </c>
      <c r="P1061" s="3">
        <v>4.6800000000000001E-2</v>
      </c>
    </row>
    <row r="1063" spans="1:16" ht="45">
      <c r="A1063" s="22" t="s">
        <v>396</v>
      </c>
    </row>
    <row r="1064" spans="1:16">
      <c r="A1064" t="s">
        <v>185</v>
      </c>
      <c r="B1064" t="s">
        <v>186</v>
      </c>
      <c r="C1064" t="s">
        <v>192</v>
      </c>
      <c r="D1064" t="s">
        <v>184</v>
      </c>
      <c r="E1064" t="s">
        <v>193</v>
      </c>
      <c r="F1064" t="s">
        <v>385</v>
      </c>
      <c r="G1064" t="s">
        <v>386</v>
      </c>
      <c r="H1064" t="s">
        <v>387</v>
      </c>
      <c r="I1064" t="s">
        <v>388</v>
      </c>
      <c r="J1064" t="s">
        <v>257</v>
      </c>
      <c r="K1064" t="s">
        <v>389</v>
      </c>
      <c r="L1064" t="s">
        <v>390</v>
      </c>
      <c r="M1064" t="s">
        <v>247</v>
      </c>
      <c r="N1064" t="s">
        <v>391</v>
      </c>
      <c r="O1064" t="s">
        <v>392</v>
      </c>
      <c r="P1064" t="s">
        <v>393</v>
      </c>
    </row>
    <row r="1065" spans="1:16">
      <c r="A1065" t="s">
        <v>195</v>
      </c>
      <c r="B1065" t="s">
        <v>202</v>
      </c>
      <c r="C1065">
        <v>632</v>
      </c>
      <c r="D1065" t="s">
        <v>194</v>
      </c>
      <c r="E1065">
        <v>3027</v>
      </c>
      <c r="F1065" s="3">
        <v>2.1000000000000001E-2</v>
      </c>
      <c r="G1065" s="3">
        <v>0.2157</v>
      </c>
      <c r="H1065" s="3">
        <v>0.35589999999999999</v>
      </c>
      <c r="I1065" s="3">
        <v>0.2326</v>
      </c>
      <c r="J1065" s="3">
        <v>5.9999999999999995E-4</v>
      </c>
      <c r="K1065" s="3">
        <v>3.4299999999999997E-2</v>
      </c>
      <c r="L1065" s="3">
        <v>4.0399999999999998E-2</v>
      </c>
      <c r="M1065" s="3">
        <v>1.6000000000000001E-3</v>
      </c>
      <c r="N1065" s="3">
        <v>0.28689999999999999</v>
      </c>
      <c r="O1065" s="3">
        <v>7.4999999999999997E-3</v>
      </c>
      <c r="P1065" s="3">
        <v>5.7299999999999997E-2</v>
      </c>
    </row>
    <row r="1066" spans="1:16">
      <c r="A1066" t="s">
        <v>195</v>
      </c>
      <c r="B1066" t="s">
        <v>204</v>
      </c>
      <c r="C1066">
        <v>340</v>
      </c>
      <c r="D1066" t="s">
        <v>194</v>
      </c>
      <c r="E1066">
        <v>3027</v>
      </c>
      <c r="F1066" s="3">
        <v>1.2999999999999999E-3</v>
      </c>
      <c r="G1066" s="3">
        <v>0.2402</v>
      </c>
      <c r="H1066" s="3">
        <v>0.24540000000000001</v>
      </c>
      <c r="I1066" s="3">
        <v>0.2293</v>
      </c>
      <c r="K1066" s="3">
        <v>5.9200000000000003E-2</v>
      </c>
      <c r="L1066" s="3">
        <v>2.5399999999999999E-2</v>
      </c>
      <c r="M1066" s="3">
        <v>8.3000000000000001E-3</v>
      </c>
      <c r="N1066" s="3">
        <v>0.35349999999999998</v>
      </c>
      <c r="P1066" s="3">
        <v>3.6499999999999998E-2</v>
      </c>
    </row>
    <row r="1067" spans="1:16">
      <c r="A1067" t="s">
        <v>195</v>
      </c>
      <c r="B1067" t="s">
        <v>205</v>
      </c>
      <c r="C1067">
        <v>328</v>
      </c>
      <c r="D1067" t="s">
        <v>194</v>
      </c>
      <c r="E1067">
        <v>3027</v>
      </c>
      <c r="F1067" s="3">
        <v>4.0000000000000001E-3</v>
      </c>
      <c r="G1067" s="3">
        <v>0.24179999999999999</v>
      </c>
      <c r="H1067" s="3">
        <v>0.36470000000000002</v>
      </c>
      <c r="I1067" s="3">
        <v>0.31280000000000002</v>
      </c>
      <c r="J1067" s="3">
        <v>5.9999999999999995E-4</v>
      </c>
      <c r="K1067" s="3">
        <v>2.53E-2</v>
      </c>
      <c r="L1067" s="3">
        <v>0.02</v>
      </c>
      <c r="M1067" s="3">
        <v>2.8999999999999998E-3</v>
      </c>
      <c r="N1067" s="3">
        <v>0.21360000000000001</v>
      </c>
      <c r="P1067" s="3">
        <v>6.2E-2</v>
      </c>
    </row>
    <row r="1068" spans="1:16">
      <c r="A1068" t="s">
        <v>199</v>
      </c>
      <c r="B1068" t="s">
        <v>202</v>
      </c>
      <c r="C1068">
        <v>651</v>
      </c>
      <c r="D1068" t="s">
        <v>194</v>
      </c>
      <c r="E1068">
        <v>3027</v>
      </c>
      <c r="F1068" s="3">
        <v>1.8499999999999999E-2</v>
      </c>
      <c r="G1068" s="3">
        <v>0.38790000000000002</v>
      </c>
      <c r="H1068" s="3">
        <v>0.25109999999999999</v>
      </c>
      <c r="I1068" s="3">
        <v>0.1976</v>
      </c>
      <c r="J1068" s="3">
        <v>1.1999999999999999E-3</v>
      </c>
      <c r="K1068" s="3">
        <v>2.6599999999999999E-2</v>
      </c>
      <c r="L1068" s="3">
        <v>2.5499999999999998E-2</v>
      </c>
      <c r="N1068" s="3">
        <v>0.26219999999999999</v>
      </c>
      <c r="O1068" s="3">
        <v>8.9999999999999998E-4</v>
      </c>
      <c r="P1068" s="3">
        <v>4.7199999999999999E-2</v>
      </c>
    </row>
    <row r="1069" spans="1:16">
      <c r="A1069" t="s">
        <v>199</v>
      </c>
      <c r="B1069" t="s">
        <v>204</v>
      </c>
      <c r="C1069">
        <v>471</v>
      </c>
      <c r="D1069" t="s">
        <v>194</v>
      </c>
      <c r="E1069">
        <v>3027</v>
      </c>
      <c r="F1069" s="3">
        <v>1.06E-2</v>
      </c>
      <c r="G1069" s="3">
        <v>0.28079999999999999</v>
      </c>
      <c r="H1069" s="3">
        <v>0.25209999999999999</v>
      </c>
      <c r="I1069" s="3">
        <v>0.2084</v>
      </c>
      <c r="K1069" s="3">
        <v>4.2299999999999997E-2</v>
      </c>
      <c r="L1069" s="3">
        <v>1.24E-2</v>
      </c>
      <c r="M1069" s="3">
        <v>1E-4</v>
      </c>
      <c r="N1069" s="3">
        <v>0.33579999999999999</v>
      </c>
      <c r="P1069" s="3">
        <v>4.2500000000000003E-2</v>
      </c>
    </row>
    <row r="1070" spans="1:16">
      <c r="A1070" t="s">
        <v>199</v>
      </c>
      <c r="B1070" t="s">
        <v>205</v>
      </c>
      <c r="C1070">
        <v>560</v>
      </c>
      <c r="D1070" t="s">
        <v>194</v>
      </c>
      <c r="E1070">
        <v>3027</v>
      </c>
      <c r="G1070" s="3">
        <v>0.2157</v>
      </c>
      <c r="H1070" s="3">
        <v>0.32869999999999999</v>
      </c>
      <c r="I1070" s="3">
        <v>0.2059</v>
      </c>
      <c r="J1070" s="3">
        <v>4.5999999999999999E-3</v>
      </c>
      <c r="K1070" s="3">
        <v>3.5099999999999999E-2</v>
      </c>
      <c r="L1070" s="3">
        <v>2.2100000000000002E-2</v>
      </c>
      <c r="M1070" s="3">
        <v>1.5E-3</v>
      </c>
      <c r="N1070" s="3">
        <v>0.31490000000000001</v>
      </c>
      <c r="P1070" s="3">
        <v>1.5900000000000001E-2</v>
      </c>
    </row>
    <row r="1071" spans="1:16">
      <c r="A1071" t="s">
        <v>200</v>
      </c>
      <c r="B1071" t="s">
        <v>200</v>
      </c>
      <c r="C1071">
        <v>3027</v>
      </c>
      <c r="D1071" t="s">
        <v>200</v>
      </c>
      <c r="E1071">
        <v>3027</v>
      </c>
      <c r="F1071" s="3">
        <v>1.44E-2</v>
      </c>
      <c r="G1071" s="3">
        <v>0.28870000000000001</v>
      </c>
      <c r="H1071" s="3">
        <v>0.2964</v>
      </c>
      <c r="I1071" s="3">
        <v>0.21909999999999999</v>
      </c>
      <c r="J1071" s="3">
        <v>1.1000000000000001E-3</v>
      </c>
      <c r="K1071" s="3">
        <v>3.39E-2</v>
      </c>
      <c r="L1071" s="3">
        <v>2.81E-2</v>
      </c>
      <c r="M1071" s="3">
        <v>1.5E-3</v>
      </c>
      <c r="N1071" s="3">
        <v>0.28660000000000002</v>
      </c>
      <c r="O1071" s="3">
        <v>2.5999999999999999E-3</v>
      </c>
      <c r="P1071" s="3">
        <v>4.6800000000000001E-2</v>
      </c>
    </row>
    <row r="1073" spans="1:16" ht="45">
      <c r="A1073" s="22" t="s">
        <v>397</v>
      </c>
    </row>
    <row r="1074" spans="1:16">
      <c r="A1074" t="s">
        <v>185</v>
      </c>
      <c r="B1074" t="s">
        <v>186</v>
      </c>
      <c r="C1074" t="s">
        <v>192</v>
      </c>
      <c r="D1074" t="s">
        <v>184</v>
      </c>
      <c r="E1074" t="s">
        <v>193</v>
      </c>
      <c r="F1074" t="s">
        <v>385</v>
      </c>
      <c r="G1074" t="s">
        <v>386</v>
      </c>
      <c r="H1074" t="s">
        <v>387</v>
      </c>
      <c r="I1074" t="s">
        <v>388</v>
      </c>
      <c r="J1074" t="s">
        <v>257</v>
      </c>
      <c r="K1074" t="s">
        <v>389</v>
      </c>
      <c r="L1074" t="s">
        <v>390</v>
      </c>
      <c r="M1074" t="s">
        <v>247</v>
      </c>
      <c r="N1074" t="s">
        <v>391</v>
      </c>
      <c r="O1074" t="s">
        <v>392</v>
      </c>
      <c r="P1074" t="s">
        <v>393</v>
      </c>
    </row>
    <row r="1075" spans="1:16">
      <c r="A1075" t="s">
        <v>195</v>
      </c>
      <c r="B1075" t="s">
        <v>207</v>
      </c>
      <c r="C1075">
        <v>508</v>
      </c>
      <c r="D1075" t="s">
        <v>194</v>
      </c>
      <c r="E1075">
        <v>3027</v>
      </c>
      <c r="F1075" s="3">
        <v>8.3999999999999995E-3</v>
      </c>
      <c r="G1075" s="3">
        <v>0.13159999999999999</v>
      </c>
      <c r="H1075" s="3">
        <v>0.42170000000000002</v>
      </c>
      <c r="I1075" s="3">
        <v>0.27329999999999999</v>
      </c>
      <c r="J1075" s="3">
        <v>2.0000000000000001E-4</v>
      </c>
      <c r="K1075" s="3">
        <v>3.9100000000000003E-2</v>
      </c>
      <c r="L1075" s="3">
        <v>3.0499999999999999E-2</v>
      </c>
      <c r="M1075" s="3">
        <v>2.8999999999999998E-3</v>
      </c>
      <c r="N1075" s="3">
        <v>0.24010000000000001</v>
      </c>
      <c r="P1075" s="3">
        <v>9.0700000000000003E-2</v>
      </c>
    </row>
    <row r="1076" spans="1:16">
      <c r="A1076" t="s">
        <v>195</v>
      </c>
      <c r="B1076" t="s">
        <v>209</v>
      </c>
      <c r="C1076">
        <v>819</v>
      </c>
      <c r="D1076" t="s">
        <v>194</v>
      </c>
      <c r="E1076">
        <v>3027</v>
      </c>
      <c r="F1076" s="3">
        <v>1.8499999999999999E-2</v>
      </c>
      <c r="G1076" s="3">
        <v>0.2792</v>
      </c>
      <c r="H1076" s="3">
        <v>0.28539999999999999</v>
      </c>
      <c r="I1076" s="3">
        <v>0.223</v>
      </c>
      <c r="J1076" s="3">
        <v>5.9999999999999995E-4</v>
      </c>
      <c r="K1076" s="3">
        <v>3.73E-2</v>
      </c>
      <c r="L1076" s="3">
        <v>3.6999999999999998E-2</v>
      </c>
      <c r="M1076" s="3">
        <v>3.2000000000000002E-3</v>
      </c>
      <c r="N1076" s="3">
        <v>0.32</v>
      </c>
      <c r="O1076" s="3">
        <v>8.0000000000000002E-3</v>
      </c>
      <c r="P1076" s="3">
        <v>3.1699999999999999E-2</v>
      </c>
    </row>
    <row r="1077" spans="1:16">
      <c r="A1077" t="s">
        <v>199</v>
      </c>
      <c r="B1077" t="s">
        <v>207</v>
      </c>
      <c r="C1077">
        <v>446</v>
      </c>
      <c r="D1077" t="s">
        <v>194</v>
      </c>
      <c r="E1077">
        <v>3027</v>
      </c>
      <c r="F1077" s="3">
        <v>5.1999999999999998E-3</v>
      </c>
      <c r="G1077" s="3">
        <v>0.21010000000000001</v>
      </c>
      <c r="H1077" s="3">
        <v>0.37559999999999999</v>
      </c>
      <c r="I1077" s="3">
        <v>0.26889999999999997</v>
      </c>
      <c r="J1077" s="3">
        <v>1.4E-3</v>
      </c>
      <c r="K1077" s="3">
        <v>7.1499999999999994E-2</v>
      </c>
      <c r="L1077" s="3">
        <v>5.67E-2</v>
      </c>
      <c r="N1077" s="3">
        <v>0.23669999999999999</v>
      </c>
      <c r="P1077" s="3">
        <v>7.7700000000000005E-2</v>
      </c>
    </row>
    <row r="1078" spans="1:16">
      <c r="A1078" t="s">
        <v>199</v>
      </c>
      <c r="B1078" t="s">
        <v>209</v>
      </c>
      <c r="C1078">
        <v>1254</v>
      </c>
      <c r="D1078" t="s">
        <v>194</v>
      </c>
      <c r="E1078">
        <v>3027</v>
      </c>
      <c r="F1078" s="3">
        <v>1.6E-2</v>
      </c>
      <c r="G1078" s="3">
        <v>0.3695</v>
      </c>
      <c r="H1078" s="3">
        <v>0.24</v>
      </c>
      <c r="I1078" s="3">
        <v>0.18579999999999999</v>
      </c>
      <c r="J1078" s="3">
        <v>1.6000000000000001E-3</v>
      </c>
      <c r="K1078" s="3">
        <v>2.18E-2</v>
      </c>
      <c r="L1078" s="3">
        <v>1.5299999999999999E-2</v>
      </c>
      <c r="M1078" s="3">
        <v>2.9999999999999997E-4</v>
      </c>
      <c r="N1078" s="3">
        <v>0.29370000000000002</v>
      </c>
      <c r="O1078" s="3">
        <v>6.9999999999999999E-4</v>
      </c>
      <c r="P1078" s="3">
        <v>3.3300000000000003E-2</v>
      </c>
    </row>
    <row r="1079" spans="1:16">
      <c r="A1079" t="s">
        <v>200</v>
      </c>
      <c r="B1079" t="s">
        <v>200</v>
      </c>
      <c r="C1079">
        <v>3027</v>
      </c>
      <c r="D1079" t="s">
        <v>200</v>
      </c>
      <c r="E1079">
        <v>3027</v>
      </c>
      <c r="F1079" s="3">
        <v>1.44E-2</v>
      </c>
      <c r="G1079" s="3">
        <v>0.28870000000000001</v>
      </c>
      <c r="H1079" s="3">
        <v>0.2964</v>
      </c>
      <c r="I1079" s="3">
        <v>0.21909999999999999</v>
      </c>
      <c r="J1079" s="3">
        <v>1.1000000000000001E-3</v>
      </c>
      <c r="K1079" s="3">
        <v>3.39E-2</v>
      </c>
      <c r="L1079" s="3">
        <v>2.81E-2</v>
      </c>
      <c r="M1079" s="3">
        <v>1.5E-3</v>
      </c>
      <c r="N1079" s="3">
        <v>0.28660000000000002</v>
      </c>
      <c r="O1079" s="3">
        <v>2.5999999999999999E-3</v>
      </c>
      <c r="P1079" s="3">
        <v>4.6800000000000001E-2</v>
      </c>
    </row>
    <row r="1081" spans="1:16" ht="45">
      <c r="A1081" s="22" t="s">
        <v>398</v>
      </c>
    </row>
    <row r="1082" spans="1:16">
      <c r="A1082" t="s">
        <v>185</v>
      </c>
      <c r="B1082" t="s">
        <v>192</v>
      </c>
      <c r="C1082" t="s">
        <v>184</v>
      </c>
      <c r="D1082" t="s">
        <v>193</v>
      </c>
      <c r="E1082" t="s">
        <v>385</v>
      </c>
      <c r="F1082" t="s">
        <v>386</v>
      </c>
      <c r="G1082" t="s">
        <v>387</v>
      </c>
      <c r="H1082" t="s">
        <v>388</v>
      </c>
      <c r="I1082" t="s">
        <v>257</v>
      </c>
      <c r="J1082" t="s">
        <v>389</v>
      </c>
      <c r="K1082" t="s">
        <v>390</v>
      </c>
      <c r="L1082" t="s">
        <v>247</v>
      </c>
      <c r="M1082" t="s">
        <v>391</v>
      </c>
      <c r="N1082" t="s">
        <v>392</v>
      </c>
      <c r="O1082" t="s">
        <v>393</v>
      </c>
    </row>
    <row r="1083" spans="1:16">
      <c r="A1083" t="s">
        <v>195</v>
      </c>
      <c r="B1083">
        <v>1327</v>
      </c>
      <c r="C1083" t="s">
        <v>194</v>
      </c>
      <c r="D1083">
        <v>3027</v>
      </c>
      <c r="E1083" s="3">
        <v>1.4800000000000001E-2</v>
      </c>
      <c r="F1083" s="3">
        <v>0.22450000000000001</v>
      </c>
      <c r="G1083" s="3">
        <v>0.33600000000000002</v>
      </c>
      <c r="H1083" s="3">
        <v>0.24160000000000001</v>
      </c>
      <c r="I1083" s="3">
        <v>5.0000000000000001E-4</v>
      </c>
      <c r="J1083" s="3">
        <v>3.7900000000000003E-2</v>
      </c>
      <c r="K1083" s="3">
        <v>3.4599999999999999E-2</v>
      </c>
      <c r="L1083" s="3">
        <v>3.0999999999999999E-3</v>
      </c>
      <c r="M1083" s="3">
        <v>0.2903</v>
      </c>
      <c r="N1083" s="3">
        <v>5.0000000000000001E-3</v>
      </c>
      <c r="O1083" s="3">
        <v>5.3600000000000002E-2</v>
      </c>
    </row>
    <row r="1084" spans="1:16">
      <c r="A1084" t="s">
        <v>199</v>
      </c>
      <c r="B1084">
        <v>1700</v>
      </c>
      <c r="C1084" t="s">
        <v>194</v>
      </c>
      <c r="D1084">
        <v>3027</v>
      </c>
      <c r="E1084" s="3">
        <v>1.41E-2</v>
      </c>
      <c r="F1084" s="3">
        <v>0.34100000000000003</v>
      </c>
      <c r="G1084" s="3">
        <v>0.26429999999999998</v>
      </c>
      <c r="H1084" s="3">
        <v>0.20069999999999999</v>
      </c>
      <c r="I1084" s="3">
        <v>1.6000000000000001E-3</v>
      </c>
      <c r="J1084" s="3">
        <v>3.0700000000000002E-2</v>
      </c>
      <c r="K1084" s="3">
        <v>2.2700000000000001E-2</v>
      </c>
      <c r="L1084" s="3">
        <v>2.9999999999999997E-4</v>
      </c>
      <c r="M1084" s="3">
        <v>0.28349999999999997</v>
      </c>
      <c r="N1084" s="3">
        <v>5.9999999999999995E-4</v>
      </c>
      <c r="O1084" s="3">
        <v>4.1200000000000001E-2</v>
      </c>
    </row>
    <row r="1085" spans="1:16">
      <c r="A1085" t="s">
        <v>200</v>
      </c>
      <c r="B1085">
        <v>3027</v>
      </c>
      <c r="C1085" t="s">
        <v>200</v>
      </c>
      <c r="D1085">
        <v>3027</v>
      </c>
      <c r="E1085" s="3">
        <v>1.44E-2</v>
      </c>
      <c r="F1085" s="3">
        <v>0.28870000000000001</v>
      </c>
      <c r="G1085" s="3">
        <v>0.2964</v>
      </c>
      <c r="H1085" s="3">
        <v>0.21909999999999999</v>
      </c>
      <c r="I1085" s="3">
        <v>1.1000000000000001E-3</v>
      </c>
      <c r="J1085" s="3">
        <v>3.39E-2</v>
      </c>
      <c r="K1085" s="3">
        <v>2.81E-2</v>
      </c>
      <c r="L1085" s="3">
        <v>1.5E-3</v>
      </c>
      <c r="M1085" s="3">
        <v>0.28660000000000002</v>
      </c>
      <c r="N1085" s="3">
        <v>2.5999999999999999E-3</v>
      </c>
      <c r="O1085" s="3">
        <v>4.6800000000000001E-2</v>
      </c>
    </row>
    <row r="1087" spans="1:16" ht="45">
      <c r="A1087" s="22" t="s">
        <v>399</v>
      </c>
    </row>
    <row r="1088" spans="1:16">
      <c r="A1088" t="s">
        <v>185</v>
      </c>
      <c r="B1088" t="s">
        <v>186</v>
      </c>
      <c r="C1088" t="s">
        <v>192</v>
      </c>
      <c r="D1088" t="s">
        <v>184</v>
      </c>
      <c r="E1088" t="s">
        <v>193</v>
      </c>
      <c r="F1088" t="s">
        <v>385</v>
      </c>
      <c r="G1088" t="s">
        <v>386</v>
      </c>
      <c r="H1088" t="s">
        <v>387</v>
      </c>
      <c r="I1088" t="s">
        <v>388</v>
      </c>
      <c r="J1088" t="s">
        <v>257</v>
      </c>
      <c r="K1088" t="s">
        <v>389</v>
      </c>
      <c r="L1088" t="s">
        <v>390</v>
      </c>
      <c r="M1088" t="s">
        <v>247</v>
      </c>
      <c r="N1088" t="s">
        <v>391</v>
      </c>
      <c r="O1088" t="s">
        <v>392</v>
      </c>
      <c r="P1088" t="s">
        <v>393</v>
      </c>
    </row>
    <row r="1089" spans="1:16">
      <c r="A1089" t="s">
        <v>195</v>
      </c>
      <c r="B1089" t="s">
        <v>212</v>
      </c>
      <c r="C1089">
        <v>952</v>
      </c>
      <c r="D1089" t="s">
        <v>194</v>
      </c>
      <c r="E1089">
        <v>3027</v>
      </c>
      <c r="F1089" s="3">
        <v>1.2699999999999999E-2</v>
      </c>
      <c r="G1089" s="3">
        <v>0.2253</v>
      </c>
      <c r="H1089" s="3">
        <v>0.33160000000000001</v>
      </c>
      <c r="I1089" s="3">
        <v>0.24759999999999999</v>
      </c>
      <c r="K1089" s="3">
        <v>4.2799999999999998E-2</v>
      </c>
      <c r="L1089" s="3">
        <v>2.8500000000000001E-2</v>
      </c>
      <c r="M1089" s="3">
        <v>4.0000000000000001E-3</v>
      </c>
      <c r="N1089" s="3">
        <v>0.2969</v>
      </c>
      <c r="O1089" s="3">
        <v>3.7000000000000002E-3</v>
      </c>
      <c r="P1089" s="3">
        <v>5.4399999999999997E-2</v>
      </c>
    </row>
    <row r="1090" spans="1:16">
      <c r="A1090" t="s">
        <v>195</v>
      </c>
      <c r="B1090" t="s">
        <v>214</v>
      </c>
      <c r="C1090">
        <v>97</v>
      </c>
      <c r="D1090" t="s">
        <v>194</v>
      </c>
      <c r="E1090">
        <v>3027</v>
      </c>
      <c r="G1090" s="3">
        <v>9.1999999999999998E-2</v>
      </c>
      <c r="H1090" s="3">
        <v>0.47989999999999999</v>
      </c>
      <c r="I1090" s="3">
        <v>0.21210000000000001</v>
      </c>
      <c r="J1090" s="3">
        <v>2.9999999999999997E-4</v>
      </c>
      <c r="K1090" s="3">
        <v>2.1600000000000001E-2</v>
      </c>
      <c r="L1090" s="3">
        <v>5.1200000000000002E-2</v>
      </c>
      <c r="N1090" s="3">
        <v>0.41320000000000001</v>
      </c>
      <c r="P1090" s="3">
        <v>4.65E-2</v>
      </c>
    </row>
    <row r="1091" spans="1:16">
      <c r="A1091" t="s">
        <v>195</v>
      </c>
      <c r="B1091" t="s">
        <v>215</v>
      </c>
      <c r="C1091">
        <v>278</v>
      </c>
      <c r="D1091" t="s">
        <v>194</v>
      </c>
      <c r="E1091">
        <v>3027</v>
      </c>
      <c r="F1091" s="3">
        <v>3.15E-2</v>
      </c>
      <c r="G1091" s="3">
        <v>0.28170000000000001</v>
      </c>
      <c r="H1091" s="3">
        <v>0.2903</v>
      </c>
      <c r="I1091" s="3">
        <v>0.2266</v>
      </c>
      <c r="J1091" s="3">
        <v>2.8999999999999998E-3</v>
      </c>
      <c r="K1091" s="3">
        <v>2.2200000000000001E-2</v>
      </c>
      <c r="L1091" s="3">
        <v>5.62E-2</v>
      </c>
      <c r="N1091" s="3">
        <v>0.20180000000000001</v>
      </c>
      <c r="O1091" s="3">
        <v>1.34E-2</v>
      </c>
      <c r="P1091" s="3">
        <v>5.2999999999999999E-2</v>
      </c>
    </row>
    <row r="1092" spans="1:16">
      <c r="A1092" t="s">
        <v>199</v>
      </c>
      <c r="B1092" t="s">
        <v>212</v>
      </c>
      <c r="C1092">
        <v>1245</v>
      </c>
      <c r="D1092" t="s">
        <v>194</v>
      </c>
      <c r="E1092">
        <v>3027</v>
      </c>
      <c r="F1092" s="3">
        <v>1.6500000000000001E-2</v>
      </c>
      <c r="G1092" s="3">
        <v>0.35189999999999999</v>
      </c>
      <c r="H1092" s="3">
        <v>0.25869999999999999</v>
      </c>
      <c r="I1092" s="3">
        <v>0.19309999999999999</v>
      </c>
      <c r="J1092" s="3">
        <v>1.2999999999999999E-3</v>
      </c>
      <c r="K1092" s="3">
        <v>2.8199999999999999E-2</v>
      </c>
      <c r="L1092" s="3">
        <v>2.3400000000000001E-2</v>
      </c>
      <c r="M1092" s="3">
        <v>2.9999999999999997E-4</v>
      </c>
      <c r="N1092" s="3">
        <v>0.28549999999999998</v>
      </c>
      <c r="O1092" s="3">
        <v>5.9999999999999995E-4</v>
      </c>
      <c r="P1092" s="3">
        <v>4.2599999999999999E-2</v>
      </c>
    </row>
    <row r="1093" spans="1:16">
      <c r="A1093" t="s">
        <v>199</v>
      </c>
      <c r="B1093" t="s">
        <v>214</v>
      </c>
      <c r="C1093">
        <v>105</v>
      </c>
      <c r="D1093" t="s">
        <v>194</v>
      </c>
      <c r="E1093">
        <v>3027</v>
      </c>
      <c r="G1093" s="3">
        <v>0.21820000000000001</v>
      </c>
      <c r="H1093" s="3">
        <v>0.3226</v>
      </c>
      <c r="I1093" s="3">
        <v>0.35730000000000001</v>
      </c>
      <c r="J1093" s="3">
        <v>6.1000000000000004E-3</v>
      </c>
      <c r="K1093" s="3">
        <v>3.2300000000000002E-2</v>
      </c>
      <c r="L1093" s="3">
        <v>1.47E-2</v>
      </c>
      <c r="N1093" s="3">
        <v>0.1983</v>
      </c>
      <c r="P1093" s="3">
        <v>4.41E-2</v>
      </c>
    </row>
    <row r="1094" spans="1:16">
      <c r="A1094" t="s">
        <v>199</v>
      </c>
      <c r="B1094" t="s">
        <v>215</v>
      </c>
      <c r="C1094">
        <v>350</v>
      </c>
      <c r="D1094" t="s">
        <v>194</v>
      </c>
      <c r="E1094">
        <v>3027</v>
      </c>
      <c r="F1094" s="3">
        <v>8.2000000000000007E-3</v>
      </c>
      <c r="G1094" s="3">
        <v>0.33360000000000001</v>
      </c>
      <c r="H1094" s="3">
        <v>0.26979999999999998</v>
      </c>
      <c r="I1094" s="3">
        <v>0.18260000000000001</v>
      </c>
      <c r="J1094" s="3">
        <v>1.4E-3</v>
      </c>
      <c r="K1094" s="3">
        <v>4.1300000000000003E-2</v>
      </c>
      <c r="L1094" s="3">
        <v>2.2599999999999999E-2</v>
      </c>
      <c r="N1094" s="3">
        <v>0.30270000000000002</v>
      </c>
      <c r="O1094" s="3">
        <v>5.9999999999999995E-4</v>
      </c>
      <c r="P1094" s="3">
        <v>3.4500000000000003E-2</v>
      </c>
    </row>
    <row r="1095" spans="1:16">
      <c r="A1095" t="s">
        <v>200</v>
      </c>
      <c r="B1095" t="s">
        <v>200</v>
      </c>
      <c r="C1095">
        <v>3027</v>
      </c>
      <c r="D1095" t="s">
        <v>200</v>
      </c>
      <c r="E1095">
        <v>3027</v>
      </c>
      <c r="F1095" s="3">
        <v>1.44E-2</v>
      </c>
      <c r="G1095" s="3">
        <v>0.28870000000000001</v>
      </c>
      <c r="H1095" s="3">
        <v>0.2964</v>
      </c>
      <c r="I1095" s="3">
        <v>0.21909999999999999</v>
      </c>
      <c r="J1095" s="3">
        <v>1.1000000000000001E-3</v>
      </c>
      <c r="K1095" s="3">
        <v>3.39E-2</v>
      </c>
      <c r="L1095" s="3">
        <v>2.81E-2</v>
      </c>
      <c r="M1095" s="3">
        <v>1.5E-3</v>
      </c>
      <c r="N1095" s="3">
        <v>0.28660000000000002</v>
      </c>
      <c r="O1095" s="3">
        <v>2.5999999999999999E-3</v>
      </c>
      <c r="P1095" s="3">
        <v>4.6800000000000001E-2</v>
      </c>
    </row>
    <row r="1097" spans="1:16" ht="45">
      <c r="A1097" s="22" t="s">
        <v>400</v>
      </c>
    </row>
    <row r="1098" spans="1:16">
      <c r="A1098" t="s">
        <v>185</v>
      </c>
      <c r="B1098" t="s">
        <v>186</v>
      </c>
      <c r="C1098" t="s">
        <v>192</v>
      </c>
      <c r="D1098" t="s">
        <v>184</v>
      </c>
      <c r="E1098" t="s">
        <v>193</v>
      </c>
      <c r="F1098" t="s">
        <v>385</v>
      </c>
      <c r="G1098" t="s">
        <v>386</v>
      </c>
      <c r="H1098" t="s">
        <v>387</v>
      </c>
      <c r="I1098" t="s">
        <v>388</v>
      </c>
      <c r="J1098" t="s">
        <v>257</v>
      </c>
      <c r="K1098" t="s">
        <v>389</v>
      </c>
      <c r="L1098" t="s">
        <v>390</v>
      </c>
      <c r="M1098" t="s">
        <v>247</v>
      </c>
      <c r="N1098" t="s">
        <v>391</v>
      </c>
      <c r="O1098" t="s">
        <v>392</v>
      </c>
      <c r="P1098" t="s">
        <v>393</v>
      </c>
    </row>
    <row r="1099" spans="1:16">
      <c r="A1099" t="s">
        <v>195</v>
      </c>
      <c r="B1099" t="s">
        <v>217</v>
      </c>
      <c r="C1099">
        <v>690</v>
      </c>
      <c r="D1099" t="s">
        <v>194</v>
      </c>
      <c r="E1099">
        <v>3027</v>
      </c>
      <c r="F1099" s="3">
        <v>1.01E-2</v>
      </c>
      <c r="G1099" s="3">
        <v>0.2722</v>
      </c>
      <c r="H1099" s="3">
        <v>0.32200000000000001</v>
      </c>
      <c r="I1099" s="3">
        <v>0.2364</v>
      </c>
      <c r="K1099" s="3">
        <v>2.7E-2</v>
      </c>
      <c r="L1099" s="3">
        <v>3.85E-2</v>
      </c>
      <c r="M1099" s="3">
        <v>3.0999999999999999E-3</v>
      </c>
      <c r="N1099" s="3">
        <v>0.29659999999999997</v>
      </c>
      <c r="P1099" s="3">
        <v>4.9399999999999999E-2</v>
      </c>
    </row>
    <row r="1100" spans="1:16">
      <c r="A1100" t="s">
        <v>195</v>
      </c>
      <c r="B1100" t="s">
        <v>219</v>
      </c>
      <c r="C1100">
        <v>452</v>
      </c>
      <c r="D1100" t="s">
        <v>194</v>
      </c>
      <c r="E1100">
        <v>3027</v>
      </c>
      <c r="F1100" s="3">
        <v>1.04E-2</v>
      </c>
      <c r="G1100" s="3">
        <v>0.16750000000000001</v>
      </c>
      <c r="H1100" s="3">
        <v>0.36359999999999998</v>
      </c>
      <c r="I1100" s="3">
        <v>0.26319999999999999</v>
      </c>
      <c r="J1100" s="3">
        <v>1.2999999999999999E-3</v>
      </c>
      <c r="K1100" s="3">
        <v>4.65E-2</v>
      </c>
      <c r="L1100" s="3">
        <v>0.03</v>
      </c>
      <c r="M1100" s="3">
        <v>5.9999999999999995E-4</v>
      </c>
      <c r="N1100" s="3">
        <v>0.27310000000000001</v>
      </c>
      <c r="P1100" s="3">
        <v>5.6000000000000001E-2</v>
      </c>
    </row>
    <row r="1101" spans="1:16">
      <c r="A1101" t="s">
        <v>195</v>
      </c>
      <c r="B1101" t="s">
        <v>220</v>
      </c>
      <c r="C1101">
        <v>185</v>
      </c>
      <c r="D1101" t="s">
        <v>194</v>
      </c>
      <c r="E1101">
        <v>3027</v>
      </c>
      <c r="F1101" s="3">
        <v>4.07E-2</v>
      </c>
      <c r="G1101" s="3">
        <v>0.18140000000000001</v>
      </c>
      <c r="H1101" s="3">
        <v>0.32479999999999998</v>
      </c>
      <c r="I1101" s="3">
        <v>0.21279999999999999</v>
      </c>
      <c r="J1101" s="3">
        <v>4.0000000000000002E-4</v>
      </c>
      <c r="K1101" s="3">
        <v>5.74E-2</v>
      </c>
      <c r="L1101" s="3">
        <v>3.09E-2</v>
      </c>
      <c r="M1101" s="3">
        <v>8.3999999999999995E-3</v>
      </c>
      <c r="N1101" s="3">
        <v>0.30620000000000003</v>
      </c>
      <c r="O1101" s="3">
        <v>3.3500000000000002E-2</v>
      </c>
      <c r="P1101" s="3">
        <v>6.3100000000000003E-2</v>
      </c>
    </row>
    <row r="1102" spans="1:16">
      <c r="A1102" t="s">
        <v>199</v>
      </c>
      <c r="B1102" t="s">
        <v>217</v>
      </c>
      <c r="C1102">
        <v>1040</v>
      </c>
      <c r="D1102" t="s">
        <v>194</v>
      </c>
      <c r="E1102">
        <v>3027</v>
      </c>
      <c r="F1102" s="3">
        <v>9.9000000000000008E-3</v>
      </c>
      <c r="G1102" s="3">
        <v>0.36570000000000003</v>
      </c>
      <c r="H1102" s="3">
        <v>0.25080000000000002</v>
      </c>
      <c r="I1102" s="3">
        <v>0.188</v>
      </c>
      <c r="J1102" s="3">
        <v>1.8E-3</v>
      </c>
      <c r="K1102" s="3">
        <v>2.3300000000000001E-2</v>
      </c>
      <c r="L1102" s="3">
        <v>2.0400000000000001E-2</v>
      </c>
      <c r="M1102" s="3">
        <v>0</v>
      </c>
      <c r="N1102" s="3">
        <v>0.28139999999999998</v>
      </c>
      <c r="O1102" s="3">
        <v>5.0000000000000001E-4</v>
      </c>
      <c r="P1102" s="3">
        <v>4.5699999999999998E-2</v>
      </c>
    </row>
    <row r="1103" spans="1:16">
      <c r="A1103" t="s">
        <v>199</v>
      </c>
      <c r="B1103" t="s">
        <v>219</v>
      </c>
      <c r="C1103">
        <v>432</v>
      </c>
      <c r="D1103" t="s">
        <v>194</v>
      </c>
      <c r="E1103">
        <v>3027</v>
      </c>
      <c r="F1103" s="3">
        <v>1E-4</v>
      </c>
      <c r="G1103" s="3">
        <v>0.29530000000000001</v>
      </c>
      <c r="H1103" s="3">
        <v>0.33119999999999999</v>
      </c>
      <c r="I1103" s="3">
        <v>0.22550000000000001</v>
      </c>
      <c r="J1103" s="3">
        <v>1.8E-3</v>
      </c>
      <c r="K1103" s="3">
        <v>5.28E-2</v>
      </c>
      <c r="L1103" s="3">
        <v>2.3900000000000001E-2</v>
      </c>
      <c r="M1103" s="3">
        <v>1.1999999999999999E-3</v>
      </c>
      <c r="N1103" s="3">
        <v>0.24790000000000001</v>
      </c>
      <c r="P1103" s="3">
        <v>3.09E-2</v>
      </c>
    </row>
    <row r="1104" spans="1:16">
      <c r="A1104" t="s">
        <v>199</v>
      </c>
      <c r="B1104" t="s">
        <v>220</v>
      </c>
      <c r="C1104">
        <v>228</v>
      </c>
      <c r="D1104" t="s">
        <v>194</v>
      </c>
      <c r="E1104">
        <v>3027</v>
      </c>
      <c r="F1104" s="3">
        <v>0.05</v>
      </c>
      <c r="G1104" s="3">
        <v>0.29199999999999998</v>
      </c>
      <c r="H1104" s="3">
        <v>0.23769999999999999</v>
      </c>
      <c r="I1104" s="3">
        <v>0.22420000000000001</v>
      </c>
      <c r="J1104" s="3">
        <v>1E-4</v>
      </c>
      <c r="K1104" s="3">
        <v>3.4700000000000002E-2</v>
      </c>
      <c r="L1104" s="3">
        <v>3.1399999999999997E-2</v>
      </c>
      <c r="N1104" s="3">
        <v>0.33779999999999999</v>
      </c>
      <c r="O1104" s="3">
        <v>1.6999999999999999E-3</v>
      </c>
      <c r="P1104" s="3">
        <v>3.4799999999999998E-2</v>
      </c>
    </row>
    <row r="1105" spans="1:16">
      <c r="A1105" t="s">
        <v>200</v>
      </c>
      <c r="B1105" t="s">
        <v>200</v>
      </c>
      <c r="C1105">
        <v>3027</v>
      </c>
      <c r="D1105" t="s">
        <v>200</v>
      </c>
      <c r="E1105">
        <v>3027</v>
      </c>
      <c r="F1105" s="3">
        <v>1.44E-2</v>
      </c>
      <c r="G1105" s="3">
        <v>0.28870000000000001</v>
      </c>
      <c r="H1105" s="3">
        <v>0.2964</v>
      </c>
      <c r="I1105" s="3">
        <v>0.21909999999999999</v>
      </c>
      <c r="J1105" s="3">
        <v>1.1000000000000001E-3</v>
      </c>
      <c r="K1105" s="3">
        <v>3.39E-2</v>
      </c>
      <c r="L1105" s="3">
        <v>2.81E-2</v>
      </c>
      <c r="M1105" s="3">
        <v>1.5E-3</v>
      </c>
      <c r="N1105" s="3">
        <v>0.28660000000000002</v>
      </c>
      <c r="O1105" s="3">
        <v>2.5999999999999999E-3</v>
      </c>
      <c r="P1105" s="3">
        <v>4.6800000000000001E-2</v>
      </c>
    </row>
    <row r="1107" spans="1:16" ht="45">
      <c r="A1107" s="22" t="s">
        <v>401</v>
      </c>
    </row>
    <row r="1108" spans="1:16">
      <c r="A1108" t="s">
        <v>185</v>
      </c>
      <c r="B1108" t="s">
        <v>186</v>
      </c>
      <c r="C1108" t="s">
        <v>192</v>
      </c>
      <c r="D1108" t="s">
        <v>184</v>
      </c>
      <c r="E1108" t="s">
        <v>193</v>
      </c>
      <c r="F1108" t="s">
        <v>385</v>
      </c>
      <c r="G1108" t="s">
        <v>386</v>
      </c>
      <c r="H1108" t="s">
        <v>387</v>
      </c>
      <c r="I1108" t="s">
        <v>388</v>
      </c>
      <c r="J1108" t="s">
        <v>257</v>
      </c>
      <c r="K1108" t="s">
        <v>389</v>
      </c>
      <c r="L1108" t="s">
        <v>390</v>
      </c>
      <c r="M1108" t="s">
        <v>247</v>
      </c>
      <c r="N1108" t="s">
        <v>391</v>
      </c>
      <c r="O1108" t="s">
        <v>392</v>
      </c>
      <c r="P1108" t="s">
        <v>393</v>
      </c>
    </row>
    <row r="1109" spans="1:16">
      <c r="A1109" t="s">
        <v>195</v>
      </c>
      <c r="B1109" t="s">
        <v>351</v>
      </c>
      <c r="C1109">
        <v>312</v>
      </c>
      <c r="D1109" t="s">
        <v>194</v>
      </c>
      <c r="E1109">
        <v>3027</v>
      </c>
      <c r="F1109" s="3">
        <v>2.07E-2</v>
      </c>
      <c r="G1109" s="3">
        <v>0.24909999999999999</v>
      </c>
      <c r="H1109" s="3">
        <v>0.30499999999999999</v>
      </c>
      <c r="I1109" s="3">
        <v>0.26050000000000001</v>
      </c>
      <c r="J1109" s="3">
        <v>2.9999999999999997E-4</v>
      </c>
      <c r="K1109" s="3">
        <v>4.0800000000000003E-2</v>
      </c>
      <c r="L1109" s="3">
        <v>7.5300000000000006E-2</v>
      </c>
      <c r="M1109" s="3">
        <v>6.1999999999999998E-3</v>
      </c>
      <c r="N1109" s="3">
        <v>0.26540000000000002</v>
      </c>
      <c r="O1109" s="3">
        <v>1.41E-2</v>
      </c>
      <c r="P1109" s="3">
        <v>4.9200000000000001E-2</v>
      </c>
    </row>
    <row r="1110" spans="1:16">
      <c r="A1110" t="s">
        <v>195</v>
      </c>
      <c r="B1110" t="s">
        <v>352</v>
      </c>
      <c r="C1110">
        <v>365</v>
      </c>
      <c r="D1110" t="s">
        <v>194</v>
      </c>
      <c r="E1110">
        <v>3027</v>
      </c>
      <c r="F1110" s="3">
        <v>1.21E-2</v>
      </c>
      <c r="G1110" s="3">
        <v>0.15870000000000001</v>
      </c>
      <c r="H1110" s="3">
        <v>0.37590000000000001</v>
      </c>
      <c r="I1110" s="3">
        <v>0.32429999999999998</v>
      </c>
      <c r="J1110" s="3">
        <v>1E-4</v>
      </c>
      <c r="K1110" s="3">
        <v>5.1200000000000002E-2</v>
      </c>
      <c r="L1110" s="3">
        <v>1.29E-2</v>
      </c>
      <c r="M1110" s="3">
        <v>6.4999999999999997E-3</v>
      </c>
      <c r="N1110" s="3">
        <v>0.2419</v>
      </c>
      <c r="P1110" s="3">
        <v>7.1599999999999997E-2</v>
      </c>
    </row>
    <row r="1111" spans="1:16">
      <c r="A1111" t="s">
        <v>195</v>
      </c>
      <c r="B1111" t="s">
        <v>353</v>
      </c>
      <c r="C1111">
        <v>321</v>
      </c>
      <c r="D1111" t="s">
        <v>194</v>
      </c>
      <c r="E1111">
        <v>3027</v>
      </c>
      <c r="F1111" s="3">
        <v>8.2000000000000007E-3</v>
      </c>
      <c r="G1111" s="3">
        <v>0.24310000000000001</v>
      </c>
      <c r="H1111" s="3">
        <v>0.33839999999999998</v>
      </c>
      <c r="I1111" s="3">
        <v>0.20910000000000001</v>
      </c>
      <c r="K1111" s="3">
        <v>2.8000000000000001E-2</v>
      </c>
      <c r="L1111" s="3">
        <v>2.47E-2</v>
      </c>
      <c r="N1111" s="3">
        <v>0.32469999999999999</v>
      </c>
      <c r="O1111" s="3">
        <v>1.8E-3</v>
      </c>
      <c r="P1111" s="3">
        <v>5.0599999999999999E-2</v>
      </c>
    </row>
    <row r="1112" spans="1:16">
      <c r="A1112" t="s">
        <v>195</v>
      </c>
      <c r="B1112" t="s">
        <v>354</v>
      </c>
      <c r="C1112">
        <v>222</v>
      </c>
      <c r="D1112" t="s">
        <v>194</v>
      </c>
      <c r="E1112">
        <v>3027</v>
      </c>
      <c r="F1112" s="3">
        <v>2.4899999999999999E-2</v>
      </c>
      <c r="G1112" s="3">
        <v>0.28560000000000002</v>
      </c>
      <c r="H1112" s="3">
        <v>0.30909999999999999</v>
      </c>
      <c r="I1112" s="3">
        <v>0.2029</v>
      </c>
      <c r="K1112" s="3">
        <v>3.8100000000000002E-2</v>
      </c>
      <c r="L1112" s="3">
        <v>3.0499999999999999E-2</v>
      </c>
      <c r="N1112" s="3">
        <v>0.3049</v>
      </c>
      <c r="O1112" s="3">
        <v>7.7000000000000002E-3</v>
      </c>
      <c r="P1112" s="3">
        <v>2.7199999999999998E-2</v>
      </c>
    </row>
    <row r="1113" spans="1:16">
      <c r="A1113" t="s">
        <v>199</v>
      </c>
      <c r="B1113" t="s">
        <v>351</v>
      </c>
      <c r="C1113">
        <v>387</v>
      </c>
      <c r="D1113" t="s">
        <v>194</v>
      </c>
      <c r="E1113">
        <v>3027</v>
      </c>
      <c r="F1113" s="3">
        <v>7.6E-3</v>
      </c>
      <c r="G1113" s="3">
        <v>0.3085</v>
      </c>
      <c r="H1113" s="3">
        <v>0.32369999999999999</v>
      </c>
      <c r="I1113" s="3">
        <v>0.20519999999999999</v>
      </c>
      <c r="J1113" s="3">
        <v>1.6000000000000001E-3</v>
      </c>
      <c r="K1113" s="3">
        <v>1.8700000000000001E-2</v>
      </c>
      <c r="L1113" s="3">
        <v>2.1899999999999999E-2</v>
      </c>
      <c r="M1113" s="3">
        <v>1.5E-3</v>
      </c>
      <c r="N1113" s="3">
        <v>0.32350000000000001</v>
      </c>
      <c r="P1113" s="3">
        <v>2.2100000000000002E-2</v>
      </c>
    </row>
    <row r="1114" spans="1:16">
      <c r="A1114" t="s">
        <v>199</v>
      </c>
      <c r="B1114" t="s">
        <v>352</v>
      </c>
      <c r="C1114">
        <v>342</v>
      </c>
      <c r="D1114" t="s">
        <v>194</v>
      </c>
      <c r="E1114">
        <v>3027</v>
      </c>
      <c r="F1114" s="3">
        <v>1.6999999999999999E-3</v>
      </c>
      <c r="G1114" s="3">
        <v>0.32440000000000002</v>
      </c>
      <c r="H1114" s="3">
        <v>0.36099999999999999</v>
      </c>
      <c r="I1114" s="3">
        <v>0.18060000000000001</v>
      </c>
      <c r="J1114" s="3">
        <v>1.9E-3</v>
      </c>
      <c r="K1114" s="3">
        <v>2.3900000000000001E-2</v>
      </c>
      <c r="L1114" s="3">
        <v>3.6200000000000003E-2</v>
      </c>
      <c r="N1114" s="3">
        <v>0.21</v>
      </c>
      <c r="O1114" s="3">
        <v>8.9999999999999998E-4</v>
      </c>
      <c r="P1114" s="3">
        <v>6.3600000000000004E-2</v>
      </c>
    </row>
    <row r="1115" spans="1:16">
      <c r="A1115" t="s">
        <v>199</v>
      </c>
      <c r="B1115" t="s">
        <v>353</v>
      </c>
      <c r="C1115">
        <v>392</v>
      </c>
      <c r="D1115" t="s">
        <v>194</v>
      </c>
      <c r="E1115">
        <v>3027</v>
      </c>
      <c r="F1115" s="3">
        <v>1.01E-2</v>
      </c>
      <c r="G1115" s="3">
        <v>0.34050000000000002</v>
      </c>
      <c r="H1115" s="3">
        <v>0.30480000000000002</v>
      </c>
      <c r="I1115" s="3">
        <v>0.1227</v>
      </c>
      <c r="K1115" s="3">
        <v>3.3099999999999997E-2</v>
      </c>
      <c r="L1115" s="3">
        <v>2.18E-2</v>
      </c>
      <c r="M1115" s="3">
        <v>1E-4</v>
      </c>
      <c r="N1115" s="3">
        <v>0.28970000000000001</v>
      </c>
      <c r="O1115" s="3">
        <v>1.1000000000000001E-3</v>
      </c>
      <c r="P1115" s="3">
        <v>5.1900000000000002E-2</v>
      </c>
    </row>
    <row r="1116" spans="1:16">
      <c r="A1116" t="s">
        <v>199</v>
      </c>
      <c r="B1116" t="s">
        <v>354</v>
      </c>
      <c r="C1116">
        <v>397</v>
      </c>
      <c r="D1116" t="s">
        <v>194</v>
      </c>
      <c r="E1116">
        <v>3027</v>
      </c>
      <c r="F1116" s="3">
        <v>2.5899999999999999E-2</v>
      </c>
      <c r="G1116" s="3">
        <v>0.33289999999999997</v>
      </c>
      <c r="H1116" s="3">
        <v>0.21679999999999999</v>
      </c>
      <c r="I1116" s="3">
        <v>0.26829999999999998</v>
      </c>
      <c r="J1116" s="3">
        <v>1.9E-3</v>
      </c>
      <c r="K1116" s="3">
        <v>3.1E-2</v>
      </c>
      <c r="L1116" s="3">
        <v>2.2800000000000001E-2</v>
      </c>
      <c r="N1116" s="3">
        <v>0.30170000000000002</v>
      </c>
      <c r="O1116" s="3">
        <v>5.0000000000000001E-4</v>
      </c>
      <c r="P1116" s="3">
        <v>3.8100000000000002E-2</v>
      </c>
    </row>
    <row r="1117" spans="1:16">
      <c r="A1117" t="s">
        <v>200</v>
      </c>
      <c r="B1117" t="s">
        <v>200</v>
      </c>
      <c r="C1117">
        <v>3027</v>
      </c>
      <c r="D1117" t="s">
        <v>200</v>
      </c>
      <c r="E1117">
        <v>3027</v>
      </c>
      <c r="F1117" s="3">
        <v>1.44E-2</v>
      </c>
      <c r="G1117" s="3">
        <v>0.28870000000000001</v>
      </c>
      <c r="H1117" s="3">
        <v>0.2964</v>
      </c>
      <c r="I1117" s="3">
        <v>0.21909999999999999</v>
      </c>
      <c r="J1117" s="3">
        <v>1.1000000000000001E-3</v>
      </c>
      <c r="K1117" s="3">
        <v>3.39E-2</v>
      </c>
      <c r="L1117" s="3">
        <v>2.81E-2</v>
      </c>
      <c r="M1117" s="3">
        <v>1.5E-3</v>
      </c>
      <c r="N1117" s="3">
        <v>0.28660000000000002</v>
      </c>
      <c r="O1117" s="3">
        <v>2.5999999999999999E-3</v>
      </c>
      <c r="P1117" s="3">
        <v>4.6800000000000001E-2</v>
      </c>
    </row>
    <row r="1119" spans="1:16" ht="30">
      <c r="A1119" s="22" t="s">
        <v>402</v>
      </c>
    </row>
    <row r="1120" spans="1:16">
      <c r="A1120" t="s">
        <v>184</v>
      </c>
      <c r="B1120" t="s">
        <v>185</v>
      </c>
      <c r="C1120" t="s">
        <v>186</v>
      </c>
      <c r="D1120" t="s">
        <v>187</v>
      </c>
      <c r="E1120" t="s">
        <v>188</v>
      </c>
      <c r="F1120" t="s">
        <v>189</v>
      </c>
      <c r="G1120" t="s">
        <v>190</v>
      </c>
      <c r="H1120" t="s">
        <v>191</v>
      </c>
      <c r="I1120" t="s">
        <v>192</v>
      </c>
      <c r="J1120" t="s">
        <v>193</v>
      </c>
    </row>
    <row r="1121" spans="1:10">
      <c r="A1121" t="s">
        <v>194</v>
      </c>
      <c r="B1121" t="s">
        <v>195</v>
      </c>
      <c r="C1121" t="s">
        <v>196</v>
      </c>
      <c r="D1121" t="s">
        <v>197</v>
      </c>
      <c r="E1121">
        <v>32.289467392559963</v>
      </c>
      <c r="F1121">
        <v>30</v>
      </c>
      <c r="G1121">
        <v>1</v>
      </c>
      <c r="H1121">
        <v>360</v>
      </c>
      <c r="I1121">
        <v>411</v>
      </c>
      <c r="J1121">
        <v>2671</v>
      </c>
    </row>
    <row r="1122" spans="1:10">
      <c r="A1122" t="s">
        <v>194</v>
      </c>
      <c r="B1122" t="s">
        <v>195</v>
      </c>
      <c r="C1122" t="s">
        <v>198</v>
      </c>
      <c r="D1122" t="s">
        <v>197</v>
      </c>
      <c r="E1122">
        <v>23.300525783481529</v>
      </c>
      <c r="F1122">
        <v>20</v>
      </c>
      <c r="G1122">
        <v>1</v>
      </c>
      <c r="H1122">
        <v>180</v>
      </c>
      <c r="I1122">
        <v>755</v>
      </c>
      <c r="J1122">
        <v>2671</v>
      </c>
    </row>
    <row r="1123" spans="1:10">
      <c r="A1123" t="s">
        <v>194</v>
      </c>
      <c r="B1123" t="s">
        <v>199</v>
      </c>
      <c r="C1123" t="s">
        <v>196</v>
      </c>
      <c r="D1123" t="s">
        <v>197</v>
      </c>
      <c r="E1123">
        <v>27.466203590047868</v>
      </c>
      <c r="F1123">
        <v>20</v>
      </c>
      <c r="G1123">
        <v>1</v>
      </c>
      <c r="H1123">
        <v>180</v>
      </c>
      <c r="I1123">
        <v>522</v>
      </c>
      <c r="J1123">
        <v>2671</v>
      </c>
    </row>
    <row r="1124" spans="1:10">
      <c r="A1124" t="s">
        <v>194</v>
      </c>
      <c r="B1124" t="s">
        <v>199</v>
      </c>
      <c r="C1124" t="s">
        <v>198</v>
      </c>
      <c r="D1124" t="s">
        <v>197</v>
      </c>
      <c r="E1124">
        <v>19.5238382989298</v>
      </c>
      <c r="F1124">
        <v>20</v>
      </c>
      <c r="G1124">
        <v>1</v>
      </c>
      <c r="H1124">
        <v>156</v>
      </c>
      <c r="I1124">
        <v>944</v>
      </c>
      <c r="J1124">
        <v>2671</v>
      </c>
    </row>
    <row r="1125" spans="1:10">
      <c r="A1125" t="s">
        <v>200</v>
      </c>
      <c r="B1125" t="s">
        <v>200</v>
      </c>
      <c r="C1125" t="s">
        <v>200</v>
      </c>
      <c r="D1125" t="s">
        <v>200</v>
      </c>
      <c r="E1125">
        <v>23.087770422624509</v>
      </c>
      <c r="F1125">
        <v>20</v>
      </c>
      <c r="G1125">
        <v>1</v>
      </c>
      <c r="H1125">
        <v>360</v>
      </c>
      <c r="I1125">
        <v>2671</v>
      </c>
      <c r="J1125">
        <v>2671</v>
      </c>
    </row>
    <row r="1127" spans="1:10" ht="45">
      <c r="A1127" s="22" t="s">
        <v>403</v>
      </c>
    </row>
    <row r="1128" spans="1:10">
      <c r="A1128" t="s">
        <v>184</v>
      </c>
      <c r="B1128" t="s">
        <v>185</v>
      </c>
      <c r="C1128" t="s">
        <v>186</v>
      </c>
      <c r="D1128" t="s">
        <v>187</v>
      </c>
      <c r="E1128" t="s">
        <v>188</v>
      </c>
      <c r="F1128" t="s">
        <v>189</v>
      </c>
      <c r="G1128" t="s">
        <v>190</v>
      </c>
      <c r="H1128" t="s">
        <v>191</v>
      </c>
      <c r="I1128" t="s">
        <v>192</v>
      </c>
      <c r="J1128" t="s">
        <v>193</v>
      </c>
    </row>
    <row r="1129" spans="1:10">
      <c r="A1129" t="s">
        <v>194</v>
      </c>
      <c r="B1129" t="s">
        <v>195</v>
      </c>
      <c r="C1129" t="s">
        <v>202</v>
      </c>
      <c r="D1129" t="s">
        <v>203</v>
      </c>
      <c r="E1129">
        <v>25.105580337565399</v>
      </c>
      <c r="F1129">
        <v>20</v>
      </c>
      <c r="G1129">
        <v>1</v>
      </c>
      <c r="H1129">
        <v>240</v>
      </c>
      <c r="I1129">
        <v>533</v>
      </c>
      <c r="J1129">
        <v>2671</v>
      </c>
    </row>
    <row r="1130" spans="1:10">
      <c r="A1130" t="s">
        <v>194</v>
      </c>
      <c r="B1130" t="s">
        <v>195</v>
      </c>
      <c r="C1130" t="s">
        <v>204</v>
      </c>
      <c r="D1130" t="s">
        <v>203</v>
      </c>
      <c r="E1130">
        <v>24.584771546360759</v>
      </c>
      <c r="F1130">
        <v>20</v>
      </c>
      <c r="G1130">
        <v>2</v>
      </c>
      <c r="H1130">
        <v>160</v>
      </c>
      <c r="I1130">
        <v>300</v>
      </c>
      <c r="J1130">
        <v>2671</v>
      </c>
    </row>
    <row r="1131" spans="1:10">
      <c r="A1131" t="s">
        <v>194</v>
      </c>
      <c r="B1131" t="s">
        <v>195</v>
      </c>
      <c r="C1131" t="s">
        <v>205</v>
      </c>
      <c r="D1131" t="s">
        <v>203</v>
      </c>
      <c r="E1131">
        <v>30.33304023298135</v>
      </c>
      <c r="F1131">
        <v>25</v>
      </c>
      <c r="G1131">
        <v>1</v>
      </c>
      <c r="H1131">
        <v>360</v>
      </c>
      <c r="I1131">
        <v>333</v>
      </c>
      <c r="J1131">
        <v>2671</v>
      </c>
    </row>
    <row r="1132" spans="1:10">
      <c r="A1132" t="s">
        <v>194</v>
      </c>
      <c r="B1132" t="s">
        <v>199</v>
      </c>
      <c r="C1132" t="s">
        <v>202</v>
      </c>
      <c r="D1132" t="s">
        <v>203</v>
      </c>
      <c r="E1132">
        <v>19.967076685199292</v>
      </c>
      <c r="F1132">
        <v>15</v>
      </c>
      <c r="G1132">
        <v>2</v>
      </c>
      <c r="H1132">
        <v>180</v>
      </c>
      <c r="I1132">
        <v>537</v>
      </c>
      <c r="J1132">
        <v>2671</v>
      </c>
    </row>
    <row r="1133" spans="1:10">
      <c r="A1133" t="s">
        <v>194</v>
      </c>
      <c r="B1133" t="s">
        <v>199</v>
      </c>
      <c r="C1133" t="s">
        <v>204</v>
      </c>
      <c r="D1133" t="s">
        <v>203</v>
      </c>
      <c r="E1133">
        <v>22.033310603703509</v>
      </c>
      <c r="F1133">
        <v>20</v>
      </c>
      <c r="G1133">
        <v>2</v>
      </c>
      <c r="H1133">
        <v>180</v>
      </c>
      <c r="I1133">
        <v>423</v>
      </c>
      <c r="J1133">
        <v>2671</v>
      </c>
    </row>
    <row r="1134" spans="1:10">
      <c r="A1134" t="s">
        <v>194</v>
      </c>
      <c r="B1134" t="s">
        <v>199</v>
      </c>
      <c r="C1134" t="s">
        <v>205</v>
      </c>
      <c r="D1134" t="s">
        <v>203</v>
      </c>
      <c r="E1134">
        <v>23.654586433944971</v>
      </c>
      <c r="F1134">
        <v>20</v>
      </c>
      <c r="G1134">
        <v>1</v>
      </c>
      <c r="H1134">
        <v>156</v>
      </c>
      <c r="I1134">
        <v>506</v>
      </c>
      <c r="J1134">
        <v>2671</v>
      </c>
    </row>
    <row r="1135" spans="1:10">
      <c r="A1135" t="s">
        <v>200</v>
      </c>
      <c r="B1135" t="s">
        <v>200</v>
      </c>
      <c r="C1135" t="s">
        <v>200</v>
      </c>
      <c r="D1135" t="s">
        <v>200</v>
      </c>
      <c r="E1135">
        <v>23.087770422624509</v>
      </c>
      <c r="F1135">
        <v>20</v>
      </c>
      <c r="G1135">
        <v>1</v>
      </c>
      <c r="H1135">
        <v>360</v>
      </c>
      <c r="I1135">
        <v>2671</v>
      </c>
      <c r="J1135">
        <v>2671</v>
      </c>
    </row>
    <row r="1137" spans="1:10" ht="30">
      <c r="A1137" s="22" t="s">
        <v>404</v>
      </c>
    </row>
    <row r="1138" spans="1:10">
      <c r="A1138" t="s">
        <v>184</v>
      </c>
      <c r="B1138" t="s">
        <v>185</v>
      </c>
      <c r="C1138" t="s">
        <v>186</v>
      </c>
      <c r="D1138" t="s">
        <v>187</v>
      </c>
      <c r="E1138" t="s">
        <v>188</v>
      </c>
      <c r="F1138" t="s">
        <v>189</v>
      </c>
      <c r="G1138" t="s">
        <v>190</v>
      </c>
      <c r="H1138" t="s">
        <v>191</v>
      </c>
      <c r="I1138" t="s">
        <v>192</v>
      </c>
      <c r="J1138" t="s">
        <v>193</v>
      </c>
    </row>
    <row r="1139" spans="1:10">
      <c r="A1139" t="s">
        <v>194</v>
      </c>
      <c r="B1139" t="s">
        <v>195</v>
      </c>
      <c r="C1139" t="s">
        <v>207</v>
      </c>
      <c r="D1139" t="s">
        <v>208</v>
      </c>
      <c r="E1139">
        <v>30.465109272290551</v>
      </c>
      <c r="F1139">
        <v>30</v>
      </c>
      <c r="G1139">
        <v>1</v>
      </c>
      <c r="H1139">
        <v>360</v>
      </c>
      <c r="I1139">
        <v>321</v>
      </c>
      <c r="J1139">
        <v>2671</v>
      </c>
    </row>
    <row r="1140" spans="1:10">
      <c r="A1140" t="s">
        <v>194</v>
      </c>
      <c r="B1140" t="s">
        <v>195</v>
      </c>
      <c r="C1140" t="s">
        <v>209</v>
      </c>
      <c r="D1140" t="s">
        <v>208</v>
      </c>
      <c r="E1140">
        <v>24.070567241845811</v>
      </c>
      <c r="F1140">
        <v>20</v>
      </c>
      <c r="G1140">
        <v>1</v>
      </c>
      <c r="H1140">
        <v>180</v>
      </c>
      <c r="I1140">
        <v>866</v>
      </c>
      <c r="J1140">
        <v>2671</v>
      </c>
    </row>
    <row r="1141" spans="1:10">
      <c r="A1141" t="s">
        <v>194</v>
      </c>
      <c r="B1141" t="s">
        <v>199</v>
      </c>
      <c r="C1141" t="s">
        <v>207</v>
      </c>
      <c r="D1141" t="s">
        <v>208</v>
      </c>
      <c r="E1141">
        <v>28.469635814591179</v>
      </c>
      <c r="F1141">
        <v>30</v>
      </c>
      <c r="G1141">
        <v>1</v>
      </c>
      <c r="H1141">
        <v>180</v>
      </c>
      <c r="I1141">
        <v>281</v>
      </c>
      <c r="J1141">
        <v>2671</v>
      </c>
    </row>
    <row r="1142" spans="1:10">
      <c r="A1142" t="s">
        <v>194</v>
      </c>
      <c r="B1142" t="s">
        <v>199</v>
      </c>
      <c r="C1142" t="s">
        <v>209</v>
      </c>
      <c r="D1142" t="s">
        <v>208</v>
      </c>
      <c r="E1142">
        <v>19.95055708157183</v>
      </c>
      <c r="F1142">
        <v>15</v>
      </c>
      <c r="G1142">
        <v>1</v>
      </c>
      <c r="H1142">
        <v>180</v>
      </c>
      <c r="I1142">
        <v>1203</v>
      </c>
      <c r="J1142">
        <v>2671</v>
      </c>
    </row>
    <row r="1143" spans="1:10">
      <c r="A1143" t="s">
        <v>200</v>
      </c>
      <c r="B1143" t="s">
        <v>200</v>
      </c>
      <c r="C1143" t="s">
        <v>200</v>
      </c>
      <c r="D1143" t="s">
        <v>200</v>
      </c>
      <c r="E1143">
        <v>23.087770422624509</v>
      </c>
      <c r="F1143">
        <v>20</v>
      </c>
      <c r="G1143">
        <v>1</v>
      </c>
      <c r="H1143">
        <v>360</v>
      </c>
      <c r="I1143">
        <v>2671</v>
      </c>
      <c r="J1143">
        <v>2671</v>
      </c>
    </row>
    <row r="1145" spans="1:10" ht="30">
      <c r="A1145" s="22" t="s">
        <v>405</v>
      </c>
    </row>
    <row r="1146" spans="1:10">
      <c r="A1146" t="s">
        <v>184</v>
      </c>
      <c r="B1146" t="s">
        <v>185</v>
      </c>
      <c r="C1146" t="s">
        <v>188</v>
      </c>
      <c r="D1146" t="s">
        <v>189</v>
      </c>
      <c r="E1146" t="s">
        <v>190</v>
      </c>
      <c r="F1146" t="s">
        <v>191</v>
      </c>
      <c r="G1146" t="s">
        <v>192</v>
      </c>
      <c r="H1146" t="s">
        <v>193</v>
      </c>
    </row>
    <row r="1147" spans="1:10">
      <c r="A1147" t="s">
        <v>194</v>
      </c>
      <c r="B1147" t="s">
        <v>195</v>
      </c>
      <c r="C1147">
        <v>25.713705623704541</v>
      </c>
      <c r="D1147">
        <v>20</v>
      </c>
      <c r="E1147">
        <v>1</v>
      </c>
      <c r="F1147">
        <v>360</v>
      </c>
      <c r="G1147">
        <v>1187</v>
      </c>
      <c r="H1147">
        <v>2671</v>
      </c>
    </row>
    <row r="1148" spans="1:10">
      <c r="A1148" t="s">
        <v>194</v>
      </c>
      <c r="B1148" t="s">
        <v>199</v>
      </c>
      <c r="C1148">
        <v>20.987952640965091</v>
      </c>
      <c r="D1148">
        <v>20</v>
      </c>
      <c r="E1148">
        <v>1</v>
      </c>
      <c r="F1148">
        <v>180</v>
      </c>
      <c r="G1148">
        <v>1484</v>
      </c>
      <c r="H1148">
        <v>2671</v>
      </c>
    </row>
    <row r="1149" spans="1:10">
      <c r="A1149" t="s">
        <v>200</v>
      </c>
      <c r="B1149" t="s">
        <v>200</v>
      </c>
      <c r="C1149">
        <v>23.087770422624509</v>
      </c>
      <c r="D1149">
        <v>20</v>
      </c>
      <c r="E1149">
        <v>1</v>
      </c>
      <c r="F1149">
        <v>360</v>
      </c>
      <c r="G1149">
        <v>2671</v>
      </c>
      <c r="H1149">
        <v>2671</v>
      </c>
    </row>
    <row r="1151" spans="1:10" ht="30">
      <c r="A1151" s="22" t="s">
        <v>406</v>
      </c>
    </row>
    <row r="1152" spans="1:10">
      <c r="A1152" t="s">
        <v>184</v>
      </c>
      <c r="B1152" t="s">
        <v>185</v>
      </c>
      <c r="C1152" t="s">
        <v>186</v>
      </c>
      <c r="D1152" t="s">
        <v>187</v>
      </c>
      <c r="E1152" t="s">
        <v>188</v>
      </c>
      <c r="F1152" t="s">
        <v>189</v>
      </c>
      <c r="G1152" t="s">
        <v>190</v>
      </c>
      <c r="H1152" t="s">
        <v>191</v>
      </c>
      <c r="I1152" t="s">
        <v>192</v>
      </c>
      <c r="J1152" t="s">
        <v>193</v>
      </c>
    </row>
    <row r="1153" spans="1:10">
      <c r="A1153" t="s">
        <v>194</v>
      </c>
      <c r="B1153" t="s">
        <v>195</v>
      </c>
      <c r="C1153" t="s">
        <v>212</v>
      </c>
      <c r="D1153" t="s">
        <v>213</v>
      </c>
      <c r="E1153">
        <v>24.91190146979929</v>
      </c>
      <c r="F1153">
        <v>20</v>
      </c>
      <c r="G1153">
        <v>1</v>
      </c>
      <c r="H1153">
        <v>360</v>
      </c>
      <c r="I1153">
        <v>872</v>
      </c>
      <c r="J1153">
        <v>2671</v>
      </c>
    </row>
    <row r="1154" spans="1:10">
      <c r="A1154" t="s">
        <v>194</v>
      </c>
      <c r="B1154" t="s">
        <v>195</v>
      </c>
      <c r="C1154" t="s">
        <v>214</v>
      </c>
      <c r="D1154" t="s">
        <v>213</v>
      </c>
      <c r="E1154">
        <v>29.343973304828879</v>
      </c>
      <c r="F1154">
        <v>20</v>
      </c>
      <c r="G1154">
        <v>1</v>
      </c>
      <c r="H1154">
        <v>240</v>
      </c>
      <c r="I1154">
        <v>180</v>
      </c>
      <c r="J1154">
        <v>2671</v>
      </c>
    </row>
    <row r="1155" spans="1:10">
      <c r="A1155" t="s">
        <v>194</v>
      </c>
      <c r="B1155" t="s">
        <v>195</v>
      </c>
      <c r="C1155" t="s">
        <v>215</v>
      </c>
      <c r="D1155" t="s">
        <v>213</v>
      </c>
      <c r="E1155">
        <v>25.748568137113821</v>
      </c>
      <c r="F1155">
        <v>20</v>
      </c>
      <c r="G1155">
        <v>1</v>
      </c>
      <c r="H1155">
        <v>180</v>
      </c>
      <c r="I1155">
        <v>135</v>
      </c>
      <c r="J1155">
        <v>2671</v>
      </c>
    </row>
    <row r="1156" spans="1:10">
      <c r="A1156" t="s">
        <v>194</v>
      </c>
      <c r="B1156" t="s">
        <v>199</v>
      </c>
      <c r="C1156" t="s">
        <v>212</v>
      </c>
      <c r="D1156" t="s">
        <v>213</v>
      </c>
      <c r="E1156">
        <v>20.966178974540799</v>
      </c>
      <c r="F1156">
        <v>20</v>
      </c>
      <c r="G1156">
        <v>1</v>
      </c>
      <c r="H1156">
        <v>156</v>
      </c>
      <c r="I1156">
        <v>1115</v>
      </c>
      <c r="J1156">
        <v>2671</v>
      </c>
    </row>
    <row r="1157" spans="1:10">
      <c r="A1157" t="s">
        <v>194</v>
      </c>
      <c r="B1157" t="s">
        <v>199</v>
      </c>
      <c r="C1157" t="s">
        <v>214</v>
      </c>
      <c r="D1157" t="s">
        <v>213</v>
      </c>
      <c r="E1157">
        <v>21.106262418036099</v>
      </c>
      <c r="F1157">
        <v>20</v>
      </c>
      <c r="G1157">
        <v>2</v>
      </c>
      <c r="H1157">
        <v>180</v>
      </c>
      <c r="I1157">
        <v>197</v>
      </c>
      <c r="J1157">
        <v>2671</v>
      </c>
    </row>
    <row r="1158" spans="1:10">
      <c r="A1158" t="s">
        <v>194</v>
      </c>
      <c r="B1158" t="s">
        <v>199</v>
      </c>
      <c r="C1158" t="s">
        <v>215</v>
      </c>
      <c r="D1158" t="s">
        <v>213</v>
      </c>
      <c r="E1158">
        <v>20.97261998665854</v>
      </c>
      <c r="F1158">
        <v>15</v>
      </c>
      <c r="G1158">
        <v>1</v>
      </c>
      <c r="H1158">
        <v>180</v>
      </c>
      <c r="I1158">
        <v>172</v>
      </c>
      <c r="J1158">
        <v>2671</v>
      </c>
    </row>
    <row r="1159" spans="1:10">
      <c r="A1159" t="s">
        <v>200</v>
      </c>
      <c r="B1159" t="s">
        <v>200</v>
      </c>
      <c r="C1159" t="s">
        <v>200</v>
      </c>
      <c r="D1159" t="s">
        <v>200</v>
      </c>
      <c r="E1159">
        <v>23.087770422624509</v>
      </c>
      <c r="F1159">
        <v>20</v>
      </c>
      <c r="G1159">
        <v>1</v>
      </c>
      <c r="H1159">
        <v>360</v>
      </c>
      <c r="I1159">
        <v>2671</v>
      </c>
      <c r="J1159">
        <v>2671</v>
      </c>
    </row>
    <row r="1161" spans="1:10" ht="30">
      <c r="A1161" s="22" t="s">
        <v>407</v>
      </c>
    </row>
    <row r="1162" spans="1:10">
      <c r="A1162" t="s">
        <v>184</v>
      </c>
      <c r="B1162" t="s">
        <v>185</v>
      </c>
      <c r="C1162" t="s">
        <v>186</v>
      </c>
      <c r="D1162" t="s">
        <v>187</v>
      </c>
      <c r="E1162" t="s">
        <v>188</v>
      </c>
      <c r="F1162" t="s">
        <v>189</v>
      </c>
      <c r="G1162" t="s">
        <v>190</v>
      </c>
      <c r="H1162" t="s">
        <v>191</v>
      </c>
      <c r="I1162" t="s">
        <v>192</v>
      </c>
      <c r="J1162" t="s">
        <v>193</v>
      </c>
    </row>
    <row r="1163" spans="1:10">
      <c r="A1163" t="s">
        <v>194</v>
      </c>
      <c r="B1163" t="s">
        <v>195</v>
      </c>
      <c r="C1163" t="s">
        <v>217</v>
      </c>
      <c r="D1163" t="s">
        <v>218</v>
      </c>
      <c r="E1163">
        <v>25.688189784874162</v>
      </c>
      <c r="F1163">
        <v>20</v>
      </c>
      <c r="G1163">
        <v>1</v>
      </c>
      <c r="H1163">
        <v>180</v>
      </c>
      <c r="I1163">
        <v>498</v>
      </c>
      <c r="J1163">
        <v>2671</v>
      </c>
    </row>
    <row r="1164" spans="1:10">
      <c r="A1164" t="s">
        <v>194</v>
      </c>
      <c r="B1164" t="s">
        <v>195</v>
      </c>
      <c r="C1164" t="s">
        <v>219</v>
      </c>
      <c r="D1164" t="s">
        <v>218</v>
      </c>
      <c r="E1164">
        <v>27.163947357651011</v>
      </c>
      <c r="F1164">
        <v>20</v>
      </c>
      <c r="G1164">
        <v>1</v>
      </c>
      <c r="H1164">
        <v>360</v>
      </c>
      <c r="I1164">
        <v>507</v>
      </c>
      <c r="J1164">
        <v>2671</v>
      </c>
    </row>
    <row r="1165" spans="1:10">
      <c r="A1165" t="s">
        <v>194</v>
      </c>
      <c r="B1165" t="s">
        <v>195</v>
      </c>
      <c r="C1165" t="s">
        <v>220</v>
      </c>
      <c r="D1165" t="s">
        <v>218</v>
      </c>
      <c r="E1165">
        <v>22.761399868263631</v>
      </c>
      <c r="F1165">
        <v>20</v>
      </c>
      <c r="G1165">
        <v>1</v>
      </c>
      <c r="H1165">
        <v>180</v>
      </c>
      <c r="I1165">
        <v>181</v>
      </c>
      <c r="J1165">
        <v>2671</v>
      </c>
    </row>
    <row r="1166" spans="1:10">
      <c r="A1166" t="s">
        <v>194</v>
      </c>
      <c r="B1166" t="s">
        <v>199</v>
      </c>
      <c r="C1166" t="s">
        <v>217</v>
      </c>
      <c r="D1166" t="s">
        <v>218</v>
      </c>
      <c r="E1166">
        <v>19.868320729198398</v>
      </c>
      <c r="F1166">
        <v>15</v>
      </c>
      <c r="G1166">
        <v>1</v>
      </c>
      <c r="H1166">
        <v>180</v>
      </c>
      <c r="I1166">
        <v>813</v>
      </c>
      <c r="J1166">
        <v>2671</v>
      </c>
    </row>
    <row r="1167" spans="1:10">
      <c r="A1167" t="s">
        <v>194</v>
      </c>
      <c r="B1167" t="s">
        <v>199</v>
      </c>
      <c r="C1167" t="s">
        <v>219</v>
      </c>
      <c r="D1167" t="s">
        <v>218</v>
      </c>
      <c r="E1167">
        <v>23.61946107660803</v>
      </c>
      <c r="F1167">
        <v>20</v>
      </c>
      <c r="G1167">
        <v>2</v>
      </c>
      <c r="H1167">
        <v>180</v>
      </c>
      <c r="I1167">
        <v>448</v>
      </c>
      <c r="J1167">
        <v>2671</v>
      </c>
    </row>
    <row r="1168" spans="1:10">
      <c r="A1168" t="s">
        <v>194</v>
      </c>
      <c r="B1168" t="s">
        <v>199</v>
      </c>
      <c r="C1168" t="s">
        <v>220</v>
      </c>
      <c r="D1168" t="s">
        <v>218</v>
      </c>
      <c r="E1168">
        <v>21.125861980395229</v>
      </c>
      <c r="F1168">
        <v>20</v>
      </c>
      <c r="G1168">
        <v>2</v>
      </c>
      <c r="H1168">
        <v>120</v>
      </c>
      <c r="I1168">
        <v>223</v>
      </c>
      <c r="J1168">
        <v>2671</v>
      </c>
    </row>
    <row r="1169" spans="1:10">
      <c r="A1169" t="s">
        <v>200</v>
      </c>
      <c r="B1169" t="s">
        <v>200</v>
      </c>
      <c r="C1169" t="s">
        <v>200</v>
      </c>
      <c r="D1169" t="s">
        <v>200</v>
      </c>
      <c r="E1169">
        <v>23.087770422624509</v>
      </c>
      <c r="F1169">
        <v>20</v>
      </c>
      <c r="G1169">
        <v>1</v>
      </c>
      <c r="H1169">
        <v>360</v>
      </c>
      <c r="I1169">
        <v>2671</v>
      </c>
      <c r="J1169">
        <v>2671</v>
      </c>
    </row>
    <row r="1171" spans="1:10" ht="45">
      <c r="A1171" s="22" t="s">
        <v>408</v>
      </c>
    </row>
    <row r="1172" spans="1:10">
      <c r="A1172" t="s">
        <v>185</v>
      </c>
      <c r="B1172" t="s">
        <v>186</v>
      </c>
      <c r="C1172" t="s">
        <v>192</v>
      </c>
      <c r="D1172" t="s">
        <v>184</v>
      </c>
      <c r="E1172" t="s">
        <v>193</v>
      </c>
      <c r="F1172" t="s">
        <v>257</v>
      </c>
      <c r="G1172" t="s">
        <v>226</v>
      </c>
      <c r="H1172" t="s">
        <v>247</v>
      </c>
      <c r="I1172" t="s">
        <v>227</v>
      </c>
    </row>
    <row r="1173" spans="1:10">
      <c r="A1173" t="s">
        <v>195</v>
      </c>
      <c r="B1173" t="s">
        <v>196</v>
      </c>
      <c r="C1173">
        <v>413</v>
      </c>
      <c r="D1173" t="s">
        <v>194</v>
      </c>
      <c r="E1173">
        <v>2677</v>
      </c>
      <c r="F1173" s="3">
        <v>3.8E-3</v>
      </c>
      <c r="G1173" s="3">
        <v>0.39850000000000002</v>
      </c>
      <c r="H1173" s="3">
        <v>8.0000000000000004E-4</v>
      </c>
      <c r="I1173" s="3">
        <v>0.59689999999999999</v>
      </c>
    </row>
    <row r="1174" spans="1:10">
      <c r="A1174" t="s">
        <v>195</v>
      </c>
      <c r="B1174" t="s">
        <v>198</v>
      </c>
      <c r="C1174">
        <v>755</v>
      </c>
      <c r="D1174" t="s">
        <v>194</v>
      </c>
      <c r="E1174">
        <v>2677</v>
      </c>
      <c r="F1174" s="3">
        <v>2.5999999999999999E-3</v>
      </c>
      <c r="G1174" s="3">
        <v>0.34100000000000003</v>
      </c>
      <c r="H1174" s="3">
        <v>1.6999999999999999E-3</v>
      </c>
      <c r="I1174" s="3">
        <v>0.65469999999999995</v>
      </c>
    </row>
    <row r="1175" spans="1:10">
      <c r="A1175" t="s">
        <v>199</v>
      </c>
      <c r="B1175" t="s">
        <v>196</v>
      </c>
      <c r="C1175">
        <v>525</v>
      </c>
      <c r="D1175" t="s">
        <v>194</v>
      </c>
      <c r="E1175">
        <v>2677</v>
      </c>
      <c r="F1175" s="3">
        <v>1.8E-3</v>
      </c>
      <c r="G1175" s="3">
        <v>0.2797</v>
      </c>
      <c r="I1175" s="3">
        <v>0.71850000000000003</v>
      </c>
    </row>
    <row r="1176" spans="1:10">
      <c r="A1176" t="s">
        <v>199</v>
      </c>
      <c r="B1176" t="s">
        <v>198</v>
      </c>
      <c r="C1176">
        <v>945</v>
      </c>
      <c r="D1176" t="s">
        <v>194</v>
      </c>
      <c r="E1176">
        <v>2677</v>
      </c>
      <c r="F1176" s="3">
        <v>2.9999999999999997E-4</v>
      </c>
      <c r="G1176" s="3">
        <v>0.21859999999999999</v>
      </c>
      <c r="H1176" s="3">
        <v>1.1000000000000001E-3</v>
      </c>
      <c r="I1176" s="3">
        <v>0.78</v>
      </c>
    </row>
    <row r="1177" spans="1:10">
      <c r="A1177" t="s">
        <v>200</v>
      </c>
      <c r="B1177" t="s">
        <v>200</v>
      </c>
      <c r="C1177">
        <v>2677</v>
      </c>
      <c r="D1177" t="s">
        <v>200</v>
      </c>
      <c r="E1177">
        <v>2677</v>
      </c>
      <c r="F1177" s="3">
        <v>1.6000000000000001E-3</v>
      </c>
      <c r="G1177" s="3">
        <v>0.28639999999999999</v>
      </c>
      <c r="H1177" s="3">
        <v>1.1000000000000001E-3</v>
      </c>
      <c r="I1177" s="3">
        <v>0.71079999999999999</v>
      </c>
    </row>
    <row r="1179" spans="1:10" ht="45">
      <c r="A1179" s="22" t="s">
        <v>409</v>
      </c>
    </row>
    <row r="1180" spans="1:10">
      <c r="A1180" t="s">
        <v>185</v>
      </c>
      <c r="B1180" t="s">
        <v>186</v>
      </c>
      <c r="C1180" t="s">
        <v>192</v>
      </c>
      <c r="D1180" t="s">
        <v>184</v>
      </c>
      <c r="E1180" t="s">
        <v>193</v>
      </c>
      <c r="F1180" t="s">
        <v>257</v>
      </c>
      <c r="G1180" t="s">
        <v>226</v>
      </c>
      <c r="H1180" t="s">
        <v>247</v>
      </c>
      <c r="I1180" t="s">
        <v>227</v>
      </c>
    </row>
    <row r="1181" spans="1:10">
      <c r="A1181" t="s">
        <v>195</v>
      </c>
      <c r="B1181" t="s">
        <v>202</v>
      </c>
      <c r="C1181">
        <v>533</v>
      </c>
      <c r="D1181" t="s">
        <v>194</v>
      </c>
      <c r="E1181">
        <v>2677</v>
      </c>
      <c r="F1181" s="3">
        <v>2.5000000000000001E-3</v>
      </c>
      <c r="G1181" s="3">
        <v>0.35759999999999997</v>
      </c>
      <c r="H1181" s="3">
        <v>1.9E-3</v>
      </c>
      <c r="I1181" s="3">
        <v>0.63800000000000001</v>
      </c>
    </row>
    <row r="1182" spans="1:10">
      <c r="A1182" t="s">
        <v>195</v>
      </c>
      <c r="B1182" t="s">
        <v>204</v>
      </c>
      <c r="C1182">
        <v>301</v>
      </c>
      <c r="D1182" t="s">
        <v>194</v>
      </c>
      <c r="E1182">
        <v>2677</v>
      </c>
      <c r="G1182" s="3">
        <v>0.39019999999999999</v>
      </c>
      <c r="I1182" s="3">
        <v>0.60980000000000001</v>
      </c>
    </row>
    <row r="1183" spans="1:10">
      <c r="A1183" t="s">
        <v>195</v>
      </c>
      <c r="B1183" t="s">
        <v>205</v>
      </c>
      <c r="C1183">
        <v>334</v>
      </c>
      <c r="D1183" t="s">
        <v>194</v>
      </c>
      <c r="E1183">
        <v>2677</v>
      </c>
      <c r="F1183" s="3">
        <v>9.4999999999999998E-3</v>
      </c>
      <c r="G1183" s="3">
        <v>0.29680000000000001</v>
      </c>
      <c r="H1183" s="3">
        <v>1.6000000000000001E-3</v>
      </c>
      <c r="I1183" s="3">
        <v>0.69199999999999995</v>
      </c>
    </row>
    <row r="1184" spans="1:10">
      <c r="A1184" t="s">
        <v>199</v>
      </c>
      <c r="B1184" t="s">
        <v>202</v>
      </c>
      <c r="C1184">
        <v>538</v>
      </c>
      <c r="D1184" t="s">
        <v>194</v>
      </c>
      <c r="E1184">
        <v>2677</v>
      </c>
      <c r="F1184" s="3">
        <v>4.0000000000000002E-4</v>
      </c>
      <c r="G1184" s="3">
        <v>0.24049999999999999</v>
      </c>
      <c r="H1184" s="3">
        <v>1.4E-3</v>
      </c>
      <c r="I1184" s="3">
        <v>0.75780000000000003</v>
      </c>
    </row>
    <row r="1185" spans="1:9">
      <c r="A1185" t="s">
        <v>199</v>
      </c>
      <c r="B1185" t="s">
        <v>204</v>
      </c>
      <c r="C1185">
        <v>426</v>
      </c>
      <c r="D1185" t="s">
        <v>194</v>
      </c>
      <c r="E1185">
        <v>2677</v>
      </c>
      <c r="F1185" s="3">
        <v>5.9999999999999995E-4</v>
      </c>
      <c r="G1185" s="3">
        <v>0.22389999999999999</v>
      </c>
      <c r="I1185" s="3">
        <v>0.77549999999999997</v>
      </c>
    </row>
    <row r="1186" spans="1:9">
      <c r="A1186" t="s">
        <v>199</v>
      </c>
      <c r="B1186" t="s">
        <v>205</v>
      </c>
      <c r="C1186">
        <v>506</v>
      </c>
      <c r="D1186" t="s">
        <v>194</v>
      </c>
      <c r="E1186">
        <v>2677</v>
      </c>
      <c r="F1186" s="3">
        <v>1.4E-3</v>
      </c>
      <c r="G1186" s="3">
        <v>0.19719999999999999</v>
      </c>
      <c r="I1186" s="3">
        <v>0.8014</v>
      </c>
    </row>
    <row r="1187" spans="1:9">
      <c r="A1187" t="s">
        <v>200</v>
      </c>
      <c r="B1187" t="s">
        <v>200</v>
      </c>
      <c r="C1187">
        <v>2677</v>
      </c>
      <c r="D1187" t="s">
        <v>200</v>
      </c>
      <c r="E1187">
        <v>2677</v>
      </c>
      <c r="F1187" s="3">
        <v>1.6000000000000001E-3</v>
      </c>
      <c r="G1187" s="3">
        <v>0.28639999999999999</v>
      </c>
      <c r="H1187" s="3">
        <v>1.1000000000000001E-3</v>
      </c>
      <c r="I1187" s="3">
        <v>0.71079999999999999</v>
      </c>
    </row>
    <row r="1189" spans="1:9" ht="45">
      <c r="A1189" s="22" t="s">
        <v>410</v>
      </c>
    </row>
    <row r="1190" spans="1:9">
      <c r="A1190" t="s">
        <v>185</v>
      </c>
      <c r="B1190" t="s">
        <v>186</v>
      </c>
      <c r="C1190" t="s">
        <v>192</v>
      </c>
      <c r="D1190" t="s">
        <v>184</v>
      </c>
      <c r="E1190" t="s">
        <v>193</v>
      </c>
      <c r="F1190" t="s">
        <v>257</v>
      </c>
      <c r="G1190" t="s">
        <v>226</v>
      </c>
      <c r="H1190" t="s">
        <v>247</v>
      </c>
      <c r="I1190" t="s">
        <v>227</v>
      </c>
    </row>
    <row r="1191" spans="1:9">
      <c r="A1191" t="s">
        <v>195</v>
      </c>
      <c r="B1191" t="s">
        <v>207</v>
      </c>
      <c r="C1191">
        <v>322</v>
      </c>
      <c r="D1191" t="s">
        <v>194</v>
      </c>
      <c r="E1191">
        <v>2677</v>
      </c>
      <c r="F1191" s="3">
        <v>7.3000000000000001E-3</v>
      </c>
      <c r="G1191" s="3">
        <v>0.2782</v>
      </c>
      <c r="I1191" s="3">
        <v>0.71450000000000002</v>
      </c>
    </row>
    <row r="1192" spans="1:9">
      <c r="A1192" t="s">
        <v>195</v>
      </c>
      <c r="B1192" t="s">
        <v>209</v>
      </c>
      <c r="C1192">
        <v>867</v>
      </c>
      <c r="D1192" t="s">
        <v>194</v>
      </c>
      <c r="E1192">
        <v>2677</v>
      </c>
      <c r="F1192" s="3">
        <v>1.4E-3</v>
      </c>
      <c r="G1192" s="3">
        <v>0.38390000000000002</v>
      </c>
      <c r="H1192" s="3">
        <v>2E-3</v>
      </c>
      <c r="I1192" s="3">
        <v>0.61270000000000002</v>
      </c>
    </row>
    <row r="1193" spans="1:9">
      <c r="A1193" t="s">
        <v>199</v>
      </c>
      <c r="B1193" t="s">
        <v>207</v>
      </c>
      <c r="C1193">
        <v>283</v>
      </c>
      <c r="D1193" t="s">
        <v>194</v>
      </c>
      <c r="E1193">
        <v>2677</v>
      </c>
      <c r="G1193" s="3">
        <v>0.1328</v>
      </c>
      <c r="H1193" s="3">
        <v>3.5999999999999999E-3</v>
      </c>
      <c r="I1193" s="3">
        <v>0.86360000000000003</v>
      </c>
    </row>
    <row r="1194" spans="1:9">
      <c r="A1194" t="s">
        <v>199</v>
      </c>
      <c r="B1194" t="s">
        <v>209</v>
      </c>
      <c r="C1194">
        <v>1205</v>
      </c>
      <c r="D1194" t="s">
        <v>194</v>
      </c>
      <c r="E1194">
        <v>2677</v>
      </c>
      <c r="F1194" s="3">
        <v>6.9999999999999999E-4</v>
      </c>
      <c r="G1194" s="3">
        <v>0.2437</v>
      </c>
      <c r="H1194" s="3">
        <v>5.0000000000000001E-4</v>
      </c>
      <c r="I1194" s="3">
        <v>0.75509999999999999</v>
      </c>
    </row>
    <row r="1195" spans="1:9">
      <c r="A1195" t="s">
        <v>200</v>
      </c>
      <c r="B1195" t="s">
        <v>200</v>
      </c>
      <c r="C1195">
        <v>2677</v>
      </c>
      <c r="D1195" t="s">
        <v>200</v>
      </c>
      <c r="E1195">
        <v>2677</v>
      </c>
      <c r="F1195" s="3">
        <v>1.6000000000000001E-3</v>
      </c>
      <c r="G1195" s="3">
        <v>0.28639999999999999</v>
      </c>
      <c r="H1195" s="3">
        <v>1.1000000000000001E-3</v>
      </c>
      <c r="I1195" s="3">
        <v>0.71079999999999999</v>
      </c>
    </row>
    <row r="1197" spans="1:9" ht="45">
      <c r="A1197" s="22" t="s">
        <v>411</v>
      </c>
    </row>
    <row r="1198" spans="1:9">
      <c r="A1198" t="s">
        <v>185</v>
      </c>
      <c r="B1198" t="s">
        <v>192</v>
      </c>
      <c r="C1198" t="s">
        <v>184</v>
      </c>
      <c r="D1198" t="s">
        <v>193</v>
      </c>
      <c r="E1198" t="s">
        <v>257</v>
      </c>
      <c r="F1198" t="s">
        <v>226</v>
      </c>
      <c r="G1198" t="s">
        <v>247</v>
      </c>
      <c r="H1198" t="s">
        <v>227</v>
      </c>
    </row>
    <row r="1199" spans="1:9">
      <c r="A1199" t="s">
        <v>195</v>
      </c>
      <c r="B1199">
        <v>1189</v>
      </c>
      <c r="C1199" t="s">
        <v>194</v>
      </c>
      <c r="D1199">
        <v>2677</v>
      </c>
      <c r="E1199" s="3">
        <v>2.8999999999999998E-3</v>
      </c>
      <c r="F1199" s="3">
        <v>0.35680000000000001</v>
      </c>
      <c r="G1199" s="3">
        <v>1.5E-3</v>
      </c>
      <c r="H1199" s="3">
        <v>0.63890000000000002</v>
      </c>
    </row>
    <row r="1200" spans="1:9">
      <c r="A1200" t="s">
        <v>199</v>
      </c>
      <c r="B1200">
        <v>1488</v>
      </c>
      <c r="C1200" t="s">
        <v>194</v>
      </c>
      <c r="D1200">
        <v>2677</v>
      </c>
      <c r="E1200" s="3">
        <v>5.9999999999999995E-4</v>
      </c>
      <c r="F1200" s="3">
        <v>0.23019999999999999</v>
      </c>
      <c r="G1200" s="3">
        <v>8.9999999999999998E-4</v>
      </c>
      <c r="H1200" s="3">
        <v>0.76829999999999998</v>
      </c>
    </row>
    <row r="1201" spans="1:9">
      <c r="A1201" t="s">
        <v>200</v>
      </c>
      <c r="B1201">
        <v>2677</v>
      </c>
      <c r="C1201" t="s">
        <v>200</v>
      </c>
      <c r="D1201">
        <v>2677</v>
      </c>
      <c r="E1201" s="3">
        <v>1.6000000000000001E-3</v>
      </c>
      <c r="F1201" s="3">
        <v>0.28639999999999999</v>
      </c>
      <c r="G1201" s="3">
        <v>1.1000000000000001E-3</v>
      </c>
      <c r="H1201" s="3">
        <v>0.71079999999999999</v>
      </c>
    </row>
    <row r="1203" spans="1:9" ht="45">
      <c r="A1203" s="22" t="s">
        <v>412</v>
      </c>
    </row>
    <row r="1204" spans="1:9">
      <c r="A1204" t="s">
        <v>185</v>
      </c>
      <c r="B1204" t="s">
        <v>186</v>
      </c>
      <c r="C1204" t="s">
        <v>192</v>
      </c>
      <c r="D1204" t="s">
        <v>184</v>
      </c>
      <c r="E1204" t="s">
        <v>193</v>
      </c>
      <c r="F1204" t="s">
        <v>257</v>
      </c>
      <c r="G1204" t="s">
        <v>226</v>
      </c>
      <c r="H1204" t="s">
        <v>247</v>
      </c>
      <c r="I1204" t="s">
        <v>227</v>
      </c>
    </row>
    <row r="1205" spans="1:9">
      <c r="A1205" t="s">
        <v>195</v>
      </c>
      <c r="B1205" t="s">
        <v>212</v>
      </c>
      <c r="C1205">
        <v>873</v>
      </c>
      <c r="D1205" t="s">
        <v>194</v>
      </c>
      <c r="E1205">
        <v>2677</v>
      </c>
      <c r="F1205" s="3">
        <v>2.8999999999999998E-3</v>
      </c>
      <c r="G1205" s="3">
        <v>0.37219999999999998</v>
      </c>
      <c r="H1205" s="3">
        <v>2E-3</v>
      </c>
      <c r="I1205" s="3">
        <v>0.62290000000000001</v>
      </c>
    </row>
    <row r="1206" spans="1:9">
      <c r="A1206" t="s">
        <v>195</v>
      </c>
      <c r="B1206" t="s">
        <v>214</v>
      </c>
      <c r="C1206">
        <v>181</v>
      </c>
      <c r="D1206" t="s">
        <v>194</v>
      </c>
      <c r="E1206">
        <v>2677</v>
      </c>
      <c r="G1206" s="3">
        <v>0.34129999999999999</v>
      </c>
      <c r="I1206" s="3">
        <v>0.65869999999999995</v>
      </c>
    </row>
    <row r="1207" spans="1:9">
      <c r="A1207" t="s">
        <v>195</v>
      </c>
      <c r="B1207" t="s">
        <v>215</v>
      </c>
      <c r="C1207">
        <v>135</v>
      </c>
      <c r="D1207" t="s">
        <v>194</v>
      </c>
      <c r="E1207">
        <v>2677</v>
      </c>
      <c r="F1207" s="3">
        <v>8.3999999999999995E-3</v>
      </c>
      <c r="G1207" s="3">
        <v>0.2485</v>
      </c>
      <c r="I1207" s="3">
        <v>0.74309999999999998</v>
      </c>
    </row>
    <row r="1208" spans="1:9">
      <c r="A1208" t="s">
        <v>199</v>
      </c>
      <c r="B1208" t="s">
        <v>212</v>
      </c>
      <c r="C1208">
        <v>1118</v>
      </c>
      <c r="D1208" t="s">
        <v>194</v>
      </c>
      <c r="E1208">
        <v>2677</v>
      </c>
      <c r="G1208" s="3">
        <v>0.21920000000000001</v>
      </c>
      <c r="H1208" s="3">
        <v>1.1000000000000001E-3</v>
      </c>
      <c r="I1208" s="3">
        <v>0.77969999999999995</v>
      </c>
    </row>
    <row r="1209" spans="1:9">
      <c r="A1209" t="s">
        <v>199</v>
      </c>
      <c r="B1209" t="s">
        <v>214</v>
      </c>
      <c r="C1209">
        <v>197</v>
      </c>
      <c r="D1209" t="s">
        <v>194</v>
      </c>
      <c r="E1209">
        <v>2677</v>
      </c>
      <c r="F1209" s="3">
        <v>8.0000000000000004E-4</v>
      </c>
      <c r="G1209" s="3">
        <v>0.34329999999999999</v>
      </c>
      <c r="I1209" s="3">
        <v>0.65580000000000005</v>
      </c>
    </row>
    <row r="1210" spans="1:9">
      <c r="A1210" t="s">
        <v>199</v>
      </c>
      <c r="B1210" t="s">
        <v>215</v>
      </c>
      <c r="C1210">
        <v>173</v>
      </c>
      <c r="D1210" t="s">
        <v>194</v>
      </c>
      <c r="E1210">
        <v>2677</v>
      </c>
      <c r="F1210" s="3">
        <v>5.4000000000000003E-3</v>
      </c>
      <c r="G1210" s="3">
        <v>0.12690000000000001</v>
      </c>
      <c r="I1210" s="3">
        <v>0.86770000000000003</v>
      </c>
    </row>
    <row r="1211" spans="1:9">
      <c r="A1211" t="s">
        <v>200</v>
      </c>
      <c r="B1211" t="s">
        <v>200</v>
      </c>
      <c r="C1211">
        <v>2677</v>
      </c>
      <c r="D1211" t="s">
        <v>200</v>
      </c>
      <c r="E1211">
        <v>2677</v>
      </c>
      <c r="F1211" s="3">
        <v>1.6000000000000001E-3</v>
      </c>
      <c r="G1211" s="3">
        <v>0.28639999999999999</v>
      </c>
      <c r="H1211" s="3">
        <v>1.1000000000000001E-3</v>
      </c>
      <c r="I1211" s="3">
        <v>0.71079999999999999</v>
      </c>
    </row>
    <row r="1213" spans="1:9" ht="45">
      <c r="A1213" s="22" t="s">
        <v>413</v>
      </c>
    </row>
    <row r="1214" spans="1:9">
      <c r="A1214" t="s">
        <v>185</v>
      </c>
      <c r="B1214" t="s">
        <v>186</v>
      </c>
      <c r="C1214" t="s">
        <v>192</v>
      </c>
      <c r="D1214" t="s">
        <v>184</v>
      </c>
      <c r="E1214" t="s">
        <v>193</v>
      </c>
      <c r="F1214" t="s">
        <v>257</v>
      </c>
      <c r="G1214" t="s">
        <v>226</v>
      </c>
      <c r="H1214" t="s">
        <v>247</v>
      </c>
      <c r="I1214" t="s">
        <v>227</v>
      </c>
    </row>
    <row r="1215" spans="1:9">
      <c r="A1215" t="s">
        <v>195</v>
      </c>
      <c r="B1215" t="s">
        <v>217</v>
      </c>
      <c r="C1215">
        <v>499</v>
      </c>
      <c r="D1215" t="s">
        <v>194</v>
      </c>
      <c r="E1215">
        <v>2677</v>
      </c>
      <c r="F1215" s="3">
        <v>3.2000000000000002E-3</v>
      </c>
      <c r="G1215" s="3">
        <v>0.26079999999999998</v>
      </c>
      <c r="H1215" s="3">
        <v>3.0000000000000001E-3</v>
      </c>
      <c r="I1215" s="3">
        <v>0.73299999999999998</v>
      </c>
    </row>
    <row r="1216" spans="1:9">
      <c r="A1216" t="s">
        <v>195</v>
      </c>
      <c r="B1216" t="s">
        <v>219</v>
      </c>
      <c r="C1216">
        <v>507</v>
      </c>
      <c r="D1216" t="s">
        <v>194</v>
      </c>
      <c r="E1216">
        <v>2677</v>
      </c>
      <c r="G1216" s="3">
        <v>0.41010000000000002</v>
      </c>
      <c r="H1216" s="3">
        <v>5.9999999999999995E-4</v>
      </c>
      <c r="I1216" s="3">
        <v>0.58930000000000005</v>
      </c>
    </row>
    <row r="1217" spans="1:9">
      <c r="A1217" t="s">
        <v>195</v>
      </c>
      <c r="B1217" t="s">
        <v>220</v>
      </c>
      <c r="C1217">
        <v>182</v>
      </c>
      <c r="D1217" t="s">
        <v>194</v>
      </c>
      <c r="E1217">
        <v>2677</v>
      </c>
      <c r="F1217" s="3">
        <v>8.3000000000000001E-3</v>
      </c>
      <c r="G1217" s="3">
        <v>0.46029999999999999</v>
      </c>
      <c r="I1217" s="3">
        <v>0.53139999999999998</v>
      </c>
    </row>
    <row r="1218" spans="1:9">
      <c r="A1218" t="s">
        <v>199</v>
      </c>
      <c r="B1218" t="s">
        <v>217</v>
      </c>
      <c r="C1218">
        <v>814</v>
      </c>
      <c r="D1218" t="s">
        <v>194</v>
      </c>
      <c r="E1218">
        <v>2677</v>
      </c>
      <c r="F1218" s="3">
        <v>8.0000000000000004E-4</v>
      </c>
      <c r="G1218" s="3">
        <v>0.21010000000000001</v>
      </c>
      <c r="H1218" s="3">
        <v>6.9999999999999999E-4</v>
      </c>
      <c r="I1218" s="3">
        <v>0.78839999999999999</v>
      </c>
    </row>
    <row r="1219" spans="1:9">
      <c r="A1219" t="s">
        <v>199</v>
      </c>
      <c r="B1219" t="s">
        <v>219</v>
      </c>
      <c r="C1219">
        <v>451</v>
      </c>
      <c r="D1219" t="s">
        <v>194</v>
      </c>
      <c r="E1219">
        <v>2677</v>
      </c>
      <c r="F1219" s="3">
        <v>5.0000000000000001E-4</v>
      </c>
      <c r="G1219" s="3">
        <v>0.26700000000000002</v>
      </c>
      <c r="I1219" s="3">
        <v>0.73250000000000004</v>
      </c>
    </row>
    <row r="1220" spans="1:9">
      <c r="A1220" t="s">
        <v>199</v>
      </c>
      <c r="B1220" t="s">
        <v>220</v>
      </c>
      <c r="C1220">
        <v>223</v>
      </c>
      <c r="D1220" t="s">
        <v>194</v>
      </c>
      <c r="E1220">
        <v>2677</v>
      </c>
      <c r="G1220" s="3">
        <v>0.249</v>
      </c>
      <c r="H1220" s="3">
        <v>2.8E-3</v>
      </c>
      <c r="I1220" s="3">
        <v>0.74819999999999998</v>
      </c>
    </row>
    <row r="1221" spans="1:9">
      <c r="A1221" t="s">
        <v>200</v>
      </c>
      <c r="B1221" t="s">
        <v>200</v>
      </c>
      <c r="C1221">
        <v>2677</v>
      </c>
      <c r="D1221" t="s">
        <v>200</v>
      </c>
      <c r="E1221">
        <v>2677</v>
      </c>
      <c r="F1221" s="3">
        <v>1.6000000000000001E-3</v>
      </c>
      <c r="G1221" s="3">
        <v>0.28639999999999999</v>
      </c>
      <c r="H1221" s="3">
        <v>1.1000000000000001E-3</v>
      </c>
      <c r="I1221" s="3">
        <v>0.71079999999999999</v>
      </c>
    </row>
    <row r="1223" spans="1:9" ht="45">
      <c r="A1223" s="22" t="s">
        <v>414</v>
      </c>
    </row>
    <row r="1224" spans="1:9">
      <c r="A1224" t="s">
        <v>185</v>
      </c>
      <c r="B1224" t="s">
        <v>186</v>
      </c>
      <c r="C1224" t="s">
        <v>192</v>
      </c>
      <c r="D1224" t="s">
        <v>184</v>
      </c>
      <c r="E1224" t="s">
        <v>193</v>
      </c>
      <c r="F1224" t="s">
        <v>257</v>
      </c>
      <c r="G1224" t="s">
        <v>226</v>
      </c>
      <c r="H1224" t="s">
        <v>227</v>
      </c>
    </row>
    <row r="1225" spans="1:9">
      <c r="A1225" t="s">
        <v>195</v>
      </c>
      <c r="B1225" t="s">
        <v>196</v>
      </c>
      <c r="C1225">
        <v>252</v>
      </c>
      <c r="D1225" t="s">
        <v>194</v>
      </c>
      <c r="E1225">
        <v>1755</v>
      </c>
      <c r="F1225" s="3">
        <v>5.0000000000000001E-3</v>
      </c>
      <c r="G1225" s="3">
        <v>1.61E-2</v>
      </c>
      <c r="H1225" s="3">
        <v>0.97889999999999999</v>
      </c>
    </row>
    <row r="1226" spans="1:9">
      <c r="A1226" t="s">
        <v>195</v>
      </c>
      <c r="B1226" t="s">
        <v>198</v>
      </c>
      <c r="C1226">
        <v>466</v>
      </c>
      <c r="D1226" t="s">
        <v>194</v>
      </c>
      <c r="E1226">
        <v>1755</v>
      </c>
      <c r="G1226" s="3">
        <v>5.8099999999999999E-2</v>
      </c>
      <c r="H1226" s="3">
        <v>0.94189999999999996</v>
      </c>
    </row>
    <row r="1227" spans="1:9">
      <c r="A1227" t="s">
        <v>199</v>
      </c>
      <c r="B1227" t="s">
        <v>196</v>
      </c>
      <c r="C1227">
        <v>345</v>
      </c>
      <c r="D1227" t="s">
        <v>194</v>
      </c>
      <c r="E1227">
        <v>1755</v>
      </c>
      <c r="G1227" s="3">
        <v>8.8000000000000005E-3</v>
      </c>
      <c r="H1227" s="3">
        <v>0.99119999999999997</v>
      </c>
    </row>
    <row r="1228" spans="1:9">
      <c r="A1228" t="s">
        <v>199</v>
      </c>
      <c r="B1228" t="s">
        <v>198</v>
      </c>
      <c r="C1228">
        <v>671</v>
      </c>
      <c r="D1228" t="s">
        <v>194</v>
      </c>
      <c r="E1228">
        <v>1755</v>
      </c>
      <c r="G1228" s="3">
        <v>9.7999999999999997E-3</v>
      </c>
      <c r="H1228" s="3">
        <v>0.99019999999999997</v>
      </c>
    </row>
    <row r="1229" spans="1:9">
      <c r="A1229" t="s">
        <v>200</v>
      </c>
      <c r="B1229" t="s">
        <v>200</v>
      </c>
      <c r="C1229">
        <v>1755</v>
      </c>
      <c r="D1229" t="s">
        <v>200</v>
      </c>
      <c r="E1229">
        <v>1755</v>
      </c>
      <c r="F1229" s="3">
        <v>5.0000000000000001E-4</v>
      </c>
      <c r="G1229" s="3">
        <v>2.5499999999999998E-2</v>
      </c>
      <c r="H1229" s="3">
        <v>0.97399999999999998</v>
      </c>
    </row>
    <row r="1231" spans="1:9" ht="45">
      <c r="A1231" s="22" t="s">
        <v>415</v>
      </c>
    </row>
    <row r="1232" spans="1:9">
      <c r="A1232" t="s">
        <v>185</v>
      </c>
      <c r="B1232" t="s">
        <v>186</v>
      </c>
      <c r="C1232" t="s">
        <v>192</v>
      </c>
      <c r="D1232" t="s">
        <v>184</v>
      </c>
      <c r="E1232" t="s">
        <v>193</v>
      </c>
      <c r="F1232" t="s">
        <v>257</v>
      </c>
      <c r="G1232" t="s">
        <v>226</v>
      </c>
      <c r="H1232" t="s">
        <v>227</v>
      </c>
    </row>
    <row r="1233" spans="1:8">
      <c r="A1233" t="s">
        <v>195</v>
      </c>
      <c r="B1233" t="s">
        <v>202</v>
      </c>
      <c r="C1233">
        <v>341</v>
      </c>
      <c r="D1233" t="s">
        <v>194</v>
      </c>
      <c r="E1233">
        <v>1755</v>
      </c>
      <c r="F1233" s="3">
        <v>1.9E-3</v>
      </c>
      <c r="G1233" s="3">
        <v>4.4999999999999998E-2</v>
      </c>
      <c r="H1233" s="3">
        <v>0.95309999999999995</v>
      </c>
    </row>
    <row r="1234" spans="1:8">
      <c r="A1234" t="s">
        <v>195</v>
      </c>
      <c r="B1234" t="s">
        <v>204</v>
      </c>
      <c r="C1234">
        <v>192</v>
      </c>
      <c r="D1234" t="s">
        <v>194</v>
      </c>
      <c r="E1234">
        <v>1755</v>
      </c>
      <c r="G1234" s="3">
        <v>7.1499999999999994E-2</v>
      </c>
      <c r="H1234" s="3">
        <v>0.92849999999999999</v>
      </c>
    </row>
    <row r="1235" spans="1:8">
      <c r="A1235" t="s">
        <v>195</v>
      </c>
      <c r="B1235" t="s">
        <v>205</v>
      </c>
      <c r="C1235">
        <v>185</v>
      </c>
      <c r="D1235" t="s">
        <v>194</v>
      </c>
      <c r="E1235">
        <v>1755</v>
      </c>
      <c r="G1235" s="3">
        <v>2.5600000000000001E-2</v>
      </c>
      <c r="H1235" s="3">
        <v>0.97440000000000004</v>
      </c>
    </row>
    <row r="1236" spans="1:8">
      <c r="A1236" t="s">
        <v>199</v>
      </c>
      <c r="B1236" t="s">
        <v>202</v>
      </c>
      <c r="C1236">
        <v>408</v>
      </c>
      <c r="D1236" t="s">
        <v>194</v>
      </c>
      <c r="E1236">
        <v>1755</v>
      </c>
      <c r="G1236" s="3">
        <v>0.01</v>
      </c>
      <c r="H1236" s="3">
        <v>0.99</v>
      </c>
    </row>
    <row r="1237" spans="1:8">
      <c r="A1237" t="s">
        <v>199</v>
      </c>
      <c r="B1237" t="s">
        <v>204</v>
      </c>
      <c r="C1237">
        <v>304</v>
      </c>
      <c r="D1237" t="s">
        <v>194</v>
      </c>
      <c r="E1237">
        <v>1755</v>
      </c>
      <c r="G1237" s="3">
        <v>1.0200000000000001E-2</v>
      </c>
      <c r="H1237" s="3">
        <v>0.98980000000000001</v>
      </c>
    </row>
    <row r="1238" spans="1:8">
      <c r="A1238" t="s">
        <v>199</v>
      </c>
      <c r="B1238" t="s">
        <v>205</v>
      </c>
      <c r="C1238">
        <v>304</v>
      </c>
      <c r="D1238" t="s">
        <v>194</v>
      </c>
      <c r="E1238">
        <v>1755</v>
      </c>
      <c r="G1238" s="3">
        <v>7.6E-3</v>
      </c>
      <c r="H1238" s="3">
        <v>0.99239999999999995</v>
      </c>
    </row>
    <row r="1239" spans="1:8">
      <c r="A1239" t="s">
        <v>200</v>
      </c>
      <c r="B1239" t="s">
        <v>200</v>
      </c>
      <c r="C1239">
        <v>1755</v>
      </c>
      <c r="D1239" t="s">
        <v>200</v>
      </c>
      <c r="E1239">
        <v>1755</v>
      </c>
      <c r="F1239" s="3">
        <v>5.0000000000000001E-4</v>
      </c>
      <c r="G1239" s="3">
        <v>2.5499999999999998E-2</v>
      </c>
      <c r="H1239" s="3">
        <v>0.97399999999999998</v>
      </c>
    </row>
    <row r="1241" spans="1:8" ht="45">
      <c r="A1241" s="22" t="s">
        <v>416</v>
      </c>
    </row>
    <row r="1242" spans="1:8">
      <c r="A1242" t="s">
        <v>185</v>
      </c>
      <c r="B1242" t="s">
        <v>186</v>
      </c>
      <c r="C1242" t="s">
        <v>192</v>
      </c>
      <c r="D1242" t="s">
        <v>184</v>
      </c>
      <c r="E1242" t="s">
        <v>193</v>
      </c>
      <c r="F1242" t="s">
        <v>257</v>
      </c>
      <c r="G1242" t="s">
        <v>226</v>
      </c>
      <c r="H1242" t="s">
        <v>227</v>
      </c>
    </row>
    <row r="1243" spans="1:8">
      <c r="A1243" t="s">
        <v>195</v>
      </c>
      <c r="B1243" t="s">
        <v>207</v>
      </c>
      <c r="C1243">
        <v>225</v>
      </c>
      <c r="D1243" t="s">
        <v>194</v>
      </c>
      <c r="E1243">
        <v>1755</v>
      </c>
      <c r="F1243" s="3">
        <v>4.3E-3</v>
      </c>
      <c r="G1243" s="3">
        <v>0.1004</v>
      </c>
      <c r="H1243" s="3">
        <v>0.89529999999999998</v>
      </c>
    </row>
    <row r="1244" spans="1:8">
      <c r="A1244" t="s">
        <v>195</v>
      </c>
      <c r="B1244" t="s">
        <v>209</v>
      </c>
      <c r="C1244">
        <v>504</v>
      </c>
      <c r="D1244" t="s">
        <v>194</v>
      </c>
      <c r="E1244">
        <v>1755</v>
      </c>
      <c r="G1244" s="3">
        <v>2.8799999999999999E-2</v>
      </c>
      <c r="H1244" s="3">
        <v>0.97119999999999995</v>
      </c>
    </row>
    <row r="1245" spans="1:8">
      <c r="A1245" t="s">
        <v>199</v>
      </c>
      <c r="B1245" t="s">
        <v>207</v>
      </c>
      <c r="C1245">
        <v>213</v>
      </c>
      <c r="D1245" t="s">
        <v>194</v>
      </c>
      <c r="E1245">
        <v>1755</v>
      </c>
      <c r="G1245" s="3">
        <v>1.9E-2</v>
      </c>
      <c r="H1245" s="3">
        <v>0.98099999999999998</v>
      </c>
    </row>
    <row r="1246" spans="1:8">
      <c r="A1246" t="s">
        <v>199</v>
      </c>
      <c r="B1246" t="s">
        <v>209</v>
      </c>
      <c r="C1246">
        <v>813</v>
      </c>
      <c r="D1246" t="s">
        <v>194</v>
      </c>
      <c r="E1246">
        <v>1755</v>
      </c>
      <c r="G1246" s="3">
        <v>8.2000000000000007E-3</v>
      </c>
      <c r="H1246" s="3">
        <v>0.99180000000000001</v>
      </c>
    </row>
    <row r="1247" spans="1:8">
      <c r="A1247" t="s">
        <v>200</v>
      </c>
      <c r="B1247" t="s">
        <v>200</v>
      </c>
      <c r="C1247">
        <v>1755</v>
      </c>
      <c r="D1247" t="s">
        <v>200</v>
      </c>
      <c r="E1247">
        <v>1755</v>
      </c>
      <c r="F1247" s="3">
        <v>5.0000000000000001E-4</v>
      </c>
      <c r="G1247" s="3">
        <v>2.5499999999999998E-2</v>
      </c>
      <c r="H1247" s="3">
        <v>0.97399999999999998</v>
      </c>
    </row>
    <row r="1249" spans="1:8" ht="45">
      <c r="A1249" s="22" t="s">
        <v>417</v>
      </c>
    </row>
    <row r="1250" spans="1:8">
      <c r="A1250" t="s">
        <v>185</v>
      </c>
      <c r="B1250" t="s">
        <v>192</v>
      </c>
      <c r="C1250" t="s">
        <v>184</v>
      </c>
      <c r="D1250" t="s">
        <v>193</v>
      </c>
      <c r="E1250" t="s">
        <v>257</v>
      </c>
      <c r="F1250" t="s">
        <v>226</v>
      </c>
      <c r="G1250" t="s">
        <v>227</v>
      </c>
    </row>
    <row r="1251" spans="1:8">
      <c r="A1251" t="s">
        <v>195</v>
      </c>
      <c r="B1251">
        <v>729</v>
      </c>
      <c r="C1251" t="s">
        <v>194</v>
      </c>
      <c r="D1251">
        <v>1755</v>
      </c>
      <c r="E1251" s="3">
        <v>1.1999999999999999E-3</v>
      </c>
      <c r="F1251" s="3">
        <v>4.9399999999999999E-2</v>
      </c>
      <c r="G1251" s="3">
        <v>0.94940000000000002</v>
      </c>
    </row>
    <row r="1252" spans="1:8">
      <c r="A1252" t="s">
        <v>199</v>
      </c>
      <c r="B1252">
        <v>1026</v>
      </c>
      <c r="C1252" t="s">
        <v>194</v>
      </c>
      <c r="D1252">
        <v>1755</v>
      </c>
      <c r="F1252" s="3">
        <v>9.5999999999999992E-3</v>
      </c>
      <c r="G1252" s="3">
        <v>0.99039999999999995</v>
      </c>
    </row>
    <row r="1253" spans="1:8">
      <c r="A1253" t="s">
        <v>200</v>
      </c>
      <c r="B1253">
        <v>1755</v>
      </c>
      <c r="C1253" t="s">
        <v>200</v>
      </c>
      <c r="D1253">
        <v>1755</v>
      </c>
      <c r="E1253" s="3">
        <v>5.0000000000000001E-4</v>
      </c>
      <c r="F1253" s="3">
        <v>2.5499999999999998E-2</v>
      </c>
      <c r="G1253" s="3">
        <v>0.97399999999999998</v>
      </c>
    </row>
    <row r="1255" spans="1:8" ht="45">
      <c r="A1255" s="22" t="s">
        <v>418</v>
      </c>
    </row>
    <row r="1256" spans="1:8">
      <c r="A1256" t="s">
        <v>185</v>
      </c>
      <c r="B1256" t="s">
        <v>186</v>
      </c>
      <c r="C1256" t="s">
        <v>192</v>
      </c>
      <c r="D1256" t="s">
        <v>184</v>
      </c>
      <c r="E1256" t="s">
        <v>193</v>
      </c>
      <c r="F1256" t="s">
        <v>257</v>
      </c>
      <c r="G1256" t="s">
        <v>226</v>
      </c>
      <c r="H1256" t="s">
        <v>227</v>
      </c>
    </row>
    <row r="1257" spans="1:8">
      <c r="A1257" t="s">
        <v>195</v>
      </c>
      <c r="B1257" t="s">
        <v>212</v>
      </c>
      <c r="C1257">
        <v>526</v>
      </c>
      <c r="D1257" t="s">
        <v>194</v>
      </c>
      <c r="E1257">
        <v>1755</v>
      </c>
      <c r="G1257" s="3">
        <v>5.3400000000000003E-2</v>
      </c>
      <c r="H1257" s="3">
        <v>0.9466</v>
      </c>
    </row>
    <row r="1258" spans="1:8">
      <c r="A1258" t="s">
        <v>195</v>
      </c>
      <c r="B1258" t="s">
        <v>214</v>
      </c>
      <c r="C1258">
        <v>110</v>
      </c>
      <c r="D1258" t="s">
        <v>194</v>
      </c>
      <c r="E1258">
        <v>1755</v>
      </c>
      <c r="G1258" s="3">
        <v>3.4299999999999997E-2</v>
      </c>
      <c r="H1258" s="3">
        <v>0.9657</v>
      </c>
    </row>
    <row r="1259" spans="1:8">
      <c r="A1259" t="s">
        <v>195</v>
      </c>
      <c r="B1259" t="s">
        <v>215</v>
      </c>
      <c r="C1259">
        <v>93</v>
      </c>
      <c r="D1259" t="s">
        <v>194</v>
      </c>
      <c r="E1259">
        <v>1755</v>
      </c>
      <c r="F1259" s="3">
        <v>1.2699999999999999E-2</v>
      </c>
      <c r="G1259" s="3">
        <v>4.53E-2</v>
      </c>
      <c r="H1259" s="3">
        <v>0.94199999999999995</v>
      </c>
    </row>
    <row r="1260" spans="1:8">
      <c r="A1260" t="s">
        <v>199</v>
      </c>
      <c r="B1260" t="s">
        <v>212</v>
      </c>
      <c r="C1260">
        <v>769</v>
      </c>
      <c r="D1260" t="s">
        <v>194</v>
      </c>
      <c r="E1260">
        <v>1755</v>
      </c>
      <c r="G1260" s="3">
        <v>1.04E-2</v>
      </c>
      <c r="H1260" s="3">
        <v>0.98960000000000004</v>
      </c>
    </row>
    <row r="1261" spans="1:8">
      <c r="A1261" t="s">
        <v>199</v>
      </c>
      <c r="B1261" t="s">
        <v>214</v>
      </c>
      <c r="C1261">
        <v>123</v>
      </c>
      <c r="D1261" t="s">
        <v>194</v>
      </c>
      <c r="E1261">
        <v>1755</v>
      </c>
      <c r="G1261" s="3">
        <v>3.3999999999999998E-3</v>
      </c>
      <c r="H1261" s="3">
        <v>0.99660000000000004</v>
      </c>
    </row>
    <row r="1262" spans="1:8">
      <c r="A1262" t="s">
        <v>199</v>
      </c>
      <c r="B1262" t="s">
        <v>215</v>
      </c>
      <c r="C1262">
        <v>134</v>
      </c>
      <c r="D1262" t="s">
        <v>194</v>
      </c>
      <c r="E1262">
        <v>1755</v>
      </c>
      <c r="G1262" s="3">
        <v>1.2200000000000001E-2</v>
      </c>
      <c r="H1262" s="3">
        <v>0.98780000000000001</v>
      </c>
    </row>
    <row r="1263" spans="1:8">
      <c r="A1263" t="s">
        <v>200</v>
      </c>
      <c r="B1263" t="s">
        <v>200</v>
      </c>
      <c r="C1263">
        <v>1755</v>
      </c>
      <c r="D1263" t="s">
        <v>200</v>
      </c>
      <c r="E1263">
        <v>1755</v>
      </c>
      <c r="F1263" s="3">
        <v>5.0000000000000001E-4</v>
      </c>
      <c r="G1263" s="3">
        <v>2.5499999999999998E-2</v>
      </c>
      <c r="H1263" s="3">
        <v>0.97399999999999998</v>
      </c>
    </row>
    <row r="1265" spans="1:20" ht="45">
      <c r="A1265" s="22" t="s">
        <v>419</v>
      </c>
    </row>
    <row r="1266" spans="1:20">
      <c r="A1266" t="s">
        <v>185</v>
      </c>
      <c r="B1266" t="s">
        <v>186</v>
      </c>
      <c r="C1266" t="s">
        <v>192</v>
      </c>
      <c r="D1266" t="s">
        <v>184</v>
      </c>
      <c r="E1266" t="s">
        <v>193</v>
      </c>
      <c r="F1266" t="s">
        <v>257</v>
      </c>
      <c r="G1266" t="s">
        <v>226</v>
      </c>
      <c r="H1266" t="s">
        <v>227</v>
      </c>
    </row>
    <row r="1267" spans="1:20">
      <c r="A1267" t="s">
        <v>195</v>
      </c>
      <c r="B1267" t="s">
        <v>217</v>
      </c>
      <c r="C1267">
        <v>340</v>
      </c>
      <c r="D1267" t="s">
        <v>194</v>
      </c>
      <c r="E1267">
        <v>1755</v>
      </c>
      <c r="G1267" s="3">
        <v>4.4600000000000001E-2</v>
      </c>
      <c r="H1267" s="3">
        <v>0.95540000000000003</v>
      </c>
    </row>
    <row r="1268" spans="1:20">
      <c r="A1268" t="s">
        <v>195</v>
      </c>
      <c r="B1268" t="s">
        <v>219</v>
      </c>
      <c r="C1268">
        <v>277</v>
      </c>
      <c r="D1268" t="s">
        <v>194</v>
      </c>
      <c r="E1268">
        <v>1755</v>
      </c>
      <c r="G1268" s="3">
        <v>4.0800000000000003E-2</v>
      </c>
      <c r="H1268" s="3">
        <v>0.95920000000000005</v>
      </c>
    </row>
    <row r="1269" spans="1:20">
      <c r="A1269" t="s">
        <v>195</v>
      </c>
      <c r="B1269" t="s">
        <v>220</v>
      </c>
      <c r="C1269">
        <v>111</v>
      </c>
      <c r="D1269" t="s">
        <v>194</v>
      </c>
      <c r="E1269">
        <v>1755</v>
      </c>
      <c r="F1269" s="3">
        <v>7.9000000000000008E-3</v>
      </c>
      <c r="G1269" s="3">
        <v>8.3900000000000002E-2</v>
      </c>
      <c r="H1269" s="3">
        <v>0.9083</v>
      </c>
    </row>
    <row r="1270" spans="1:20">
      <c r="A1270" t="s">
        <v>199</v>
      </c>
      <c r="B1270" t="s">
        <v>217</v>
      </c>
      <c r="C1270">
        <v>605</v>
      </c>
      <c r="D1270" t="s">
        <v>194</v>
      </c>
      <c r="E1270">
        <v>1755</v>
      </c>
      <c r="G1270" s="3">
        <v>9.4999999999999998E-3</v>
      </c>
      <c r="H1270" s="3">
        <v>0.99050000000000005</v>
      </c>
    </row>
    <row r="1271" spans="1:20">
      <c r="A1271" t="s">
        <v>199</v>
      </c>
      <c r="B1271" t="s">
        <v>219</v>
      </c>
      <c r="C1271">
        <v>288</v>
      </c>
      <c r="D1271" t="s">
        <v>194</v>
      </c>
      <c r="E1271">
        <v>1755</v>
      </c>
      <c r="G1271" s="3">
        <v>1.61E-2</v>
      </c>
      <c r="H1271" s="3">
        <v>0.9839</v>
      </c>
    </row>
    <row r="1272" spans="1:20">
      <c r="A1272" t="s">
        <v>199</v>
      </c>
      <c r="B1272" t="s">
        <v>220</v>
      </c>
      <c r="C1272">
        <v>133</v>
      </c>
      <c r="D1272" t="s">
        <v>194</v>
      </c>
      <c r="E1272">
        <v>1755</v>
      </c>
      <c r="H1272" s="3">
        <v>1</v>
      </c>
    </row>
    <row r="1273" spans="1:20">
      <c r="A1273" t="s">
        <v>200</v>
      </c>
      <c r="B1273" t="s">
        <v>200</v>
      </c>
      <c r="C1273">
        <v>1755</v>
      </c>
      <c r="D1273" t="s">
        <v>200</v>
      </c>
      <c r="E1273">
        <v>1755</v>
      </c>
      <c r="F1273" s="3">
        <v>5.0000000000000001E-4</v>
      </c>
      <c r="G1273" s="3">
        <v>2.5499999999999998E-2</v>
      </c>
      <c r="H1273" s="3">
        <v>0.97399999999999998</v>
      </c>
    </row>
    <row r="1275" spans="1:20" ht="45">
      <c r="A1275" s="22" t="s">
        <v>420</v>
      </c>
    </row>
    <row r="1276" spans="1:20">
      <c r="A1276" t="s">
        <v>185</v>
      </c>
      <c r="B1276" t="s">
        <v>186</v>
      </c>
      <c r="C1276" t="s">
        <v>192</v>
      </c>
      <c r="D1276" t="s">
        <v>184</v>
      </c>
      <c r="E1276" t="s">
        <v>193</v>
      </c>
      <c r="F1276" t="s">
        <v>257</v>
      </c>
      <c r="G1276" t="s">
        <v>421</v>
      </c>
      <c r="H1276" t="s">
        <v>422</v>
      </c>
      <c r="I1276" t="s">
        <v>423</v>
      </c>
      <c r="J1276" t="s">
        <v>424</v>
      </c>
      <c r="K1276" t="s">
        <v>425</v>
      </c>
      <c r="L1276" t="s">
        <v>426</v>
      </c>
      <c r="M1276" t="s">
        <v>427</v>
      </c>
      <c r="N1276" t="s">
        <v>428</v>
      </c>
      <c r="O1276" t="s">
        <v>429</v>
      </c>
      <c r="P1276" t="s">
        <v>430</v>
      </c>
      <c r="Q1276" t="s">
        <v>431</v>
      </c>
      <c r="R1276" t="s">
        <v>432</v>
      </c>
      <c r="S1276" t="s">
        <v>433</v>
      </c>
      <c r="T1276" t="s">
        <v>247</v>
      </c>
    </row>
    <row r="1277" spans="1:20" s="25" customFormat="1">
      <c r="A1277" s="25" t="s">
        <v>195</v>
      </c>
      <c r="B1277" s="25" t="s">
        <v>196</v>
      </c>
      <c r="C1277" s="25">
        <v>9</v>
      </c>
      <c r="D1277" s="25" t="s">
        <v>194</v>
      </c>
      <c r="E1277" s="25">
        <v>59</v>
      </c>
      <c r="G1277" s="26">
        <v>0.186</v>
      </c>
      <c r="I1277" s="26">
        <v>0.4042</v>
      </c>
      <c r="J1277" s="26">
        <v>0.14030000000000001</v>
      </c>
      <c r="K1277" s="26">
        <v>0.186</v>
      </c>
      <c r="L1277" s="26">
        <v>0.1847</v>
      </c>
      <c r="M1277" s="26">
        <v>0.14030000000000001</v>
      </c>
      <c r="N1277" s="26">
        <v>0.13569999999999999</v>
      </c>
      <c r="Q1277" s="26">
        <v>0.46489999999999998</v>
      </c>
      <c r="R1277" s="26">
        <v>0.10050000000000001</v>
      </c>
    </row>
    <row r="1278" spans="1:20" s="25" customFormat="1">
      <c r="A1278" s="25" t="s">
        <v>195</v>
      </c>
      <c r="B1278" s="25" t="s">
        <v>198</v>
      </c>
      <c r="C1278" s="25">
        <v>24</v>
      </c>
      <c r="D1278" s="25" t="s">
        <v>194</v>
      </c>
      <c r="E1278" s="25">
        <v>59</v>
      </c>
      <c r="F1278" s="26">
        <v>6.4500000000000002E-2</v>
      </c>
      <c r="G1278" s="26">
        <v>3.4200000000000001E-2</v>
      </c>
      <c r="I1278" s="26">
        <v>0.15279999999999999</v>
      </c>
      <c r="J1278" s="26">
        <v>0.1091</v>
      </c>
      <c r="K1278" s="26">
        <v>5.1299999999999998E-2</v>
      </c>
      <c r="L1278" s="26">
        <v>0.25169999999999998</v>
      </c>
      <c r="M1278" s="26">
        <v>0.33350000000000002</v>
      </c>
      <c r="N1278" s="26">
        <v>0.1067</v>
      </c>
      <c r="P1278" s="26">
        <v>0.1143</v>
      </c>
      <c r="Q1278" s="26">
        <v>0.1241</v>
      </c>
      <c r="R1278" s="26">
        <v>0.14449999999999999</v>
      </c>
      <c r="S1278" s="26">
        <v>0.1701</v>
      </c>
      <c r="T1278" s="26">
        <v>1.1999999999999999E-3</v>
      </c>
    </row>
    <row r="1279" spans="1:20" s="25" customFormat="1">
      <c r="A1279" s="25" t="s">
        <v>199</v>
      </c>
      <c r="B1279" s="25" t="s">
        <v>196</v>
      </c>
      <c r="C1279" s="25">
        <v>9</v>
      </c>
      <c r="D1279" s="25" t="s">
        <v>194</v>
      </c>
      <c r="E1279" s="25">
        <v>59</v>
      </c>
      <c r="G1279" s="26">
        <v>9.35E-2</v>
      </c>
      <c r="H1279" s="26">
        <v>9.9599999999999994E-2</v>
      </c>
      <c r="I1279" s="26">
        <v>0.3649</v>
      </c>
      <c r="L1279" s="26">
        <v>0.19020000000000001</v>
      </c>
      <c r="N1279" s="26">
        <v>0.3392</v>
      </c>
      <c r="Q1279" s="26">
        <v>0.13739999999999999</v>
      </c>
      <c r="R1279" s="26">
        <v>0.19020000000000001</v>
      </c>
      <c r="S1279" s="26">
        <v>0.19020000000000001</v>
      </c>
    </row>
    <row r="1280" spans="1:20" s="25" customFormat="1">
      <c r="A1280" s="25" t="s">
        <v>199</v>
      </c>
      <c r="B1280" s="25" t="s">
        <v>198</v>
      </c>
      <c r="C1280" s="25">
        <v>16</v>
      </c>
      <c r="D1280" s="25" t="s">
        <v>194</v>
      </c>
      <c r="E1280" s="25">
        <v>59</v>
      </c>
      <c r="I1280" s="26">
        <v>0.30520000000000003</v>
      </c>
      <c r="K1280" s="26">
        <v>1.8700000000000001E-2</v>
      </c>
      <c r="L1280" s="26">
        <v>0.15079999999999999</v>
      </c>
      <c r="N1280" s="26">
        <v>0.1714</v>
      </c>
      <c r="O1280" s="26">
        <v>0.16950000000000001</v>
      </c>
      <c r="Q1280" s="26">
        <v>0.52070000000000005</v>
      </c>
      <c r="R1280" s="26">
        <v>0.2321</v>
      </c>
      <c r="S1280" s="26">
        <v>0.19289999999999999</v>
      </c>
    </row>
    <row r="1281" spans="1:20">
      <c r="A1281" t="s">
        <v>200</v>
      </c>
      <c r="B1281" t="s">
        <v>200</v>
      </c>
      <c r="C1281">
        <v>59</v>
      </c>
      <c r="D1281" t="s">
        <v>200</v>
      </c>
      <c r="E1281">
        <v>59</v>
      </c>
      <c r="F1281" s="3">
        <v>4.3799999999999999E-2</v>
      </c>
      <c r="G1281" s="3">
        <v>3.8300000000000001E-2</v>
      </c>
      <c r="H1281" s="3">
        <v>3.5999999999999999E-3</v>
      </c>
      <c r="I1281" s="3">
        <v>0.2006</v>
      </c>
      <c r="J1281" s="3">
        <v>8.2900000000000001E-2</v>
      </c>
      <c r="K1281" s="3">
        <v>5.0099999999999999E-2</v>
      </c>
      <c r="L1281" s="3">
        <v>0.21820000000000001</v>
      </c>
      <c r="M1281" s="3">
        <v>0.2354</v>
      </c>
      <c r="N1281" s="3">
        <v>0.12590000000000001</v>
      </c>
      <c r="O1281" s="3">
        <v>3.2399999999999998E-2</v>
      </c>
      <c r="P1281" s="3">
        <v>7.7600000000000002E-2</v>
      </c>
      <c r="Q1281" s="3">
        <v>0.21790000000000001</v>
      </c>
      <c r="R1281" s="3">
        <v>0.1865</v>
      </c>
      <c r="S1281" s="3">
        <v>0.1593</v>
      </c>
      <c r="T1281" s="3">
        <v>8.0000000000000004E-4</v>
      </c>
    </row>
    <row r="1283" spans="1:20" ht="45">
      <c r="A1283" s="22" t="s">
        <v>434</v>
      </c>
    </row>
    <row r="1284" spans="1:20">
      <c r="A1284" t="s">
        <v>185</v>
      </c>
      <c r="B1284" t="s">
        <v>186</v>
      </c>
      <c r="C1284" t="s">
        <v>192</v>
      </c>
      <c r="D1284" t="s">
        <v>184</v>
      </c>
      <c r="E1284" t="s">
        <v>193</v>
      </c>
      <c r="F1284" t="s">
        <v>257</v>
      </c>
      <c r="G1284" t="s">
        <v>421</v>
      </c>
      <c r="H1284" t="s">
        <v>422</v>
      </c>
      <c r="I1284" t="s">
        <v>423</v>
      </c>
      <c r="J1284" t="s">
        <v>424</v>
      </c>
      <c r="K1284" t="s">
        <v>425</v>
      </c>
      <c r="L1284" t="s">
        <v>426</v>
      </c>
      <c r="M1284" t="s">
        <v>427</v>
      </c>
      <c r="N1284" t="s">
        <v>428</v>
      </c>
      <c r="O1284" t="s">
        <v>429</v>
      </c>
      <c r="P1284" t="s">
        <v>430</v>
      </c>
      <c r="Q1284" t="s">
        <v>431</v>
      </c>
      <c r="R1284" t="s">
        <v>432</v>
      </c>
      <c r="S1284" t="s">
        <v>433</v>
      </c>
      <c r="T1284" t="s">
        <v>247</v>
      </c>
    </row>
    <row r="1285" spans="1:20" s="25" customFormat="1">
      <c r="A1285" s="25" t="s">
        <v>195</v>
      </c>
      <c r="B1285" s="25" t="s">
        <v>202</v>
      </c>
      <c r="C1285" s="25">
        <v>14</v>
      </c>
      <c r="D1285" s="25" t="s">
        <v>194</v>
      </c>
      <c r="E1285" s="25">
        <v>59</v>
      </c>
      <c r="F1285" s="26">
        <v>6.6799999999999998E-2</v>
      </c>
      <c r="I1285" s="26">
        <v>0.17810000000000001</v>
      </c>
      <c r="J1285" s="26">
        <v>0.1628</v>
      </c>
      <c r="K1285" s="26">
        <v>2.5499999999999998E-2</v>
      </c>
      <c r="L1285" s="26">
        <v>9.2999999999999999E-2</v>
      </c>
      <c r="M1285" s="26">
        <v>0.10539999999999999</v>
      </c>
      <c r="N1285" s="26">
        <v>0.1593</v>
      </c>
      <c r="P1285" s="26">
        <v>0.1706</v>
      </c>
      <c r="Q1285" s="26">
        <v>9.5899999999999999E-2</v>
      </c>
      <c r="R1285" s="26">
        <v>0.2157</v>
      </c>
      <c r="S1285" s="26">
        <v>0.24859999999999999</v>
      </c>
    </row>
    <row r="1286" spans="1:20" s="25" customFormat="1">
      <c r="A1286" s="25" t="s">
        <v>195</v>
      </c>
      <c r="B1286" s="25" t="s">
        <v>204</v>
      </c>
      <c r="C1286" s="25">
        <v>7</v>
      </c>
      <c r="D1286" s="25" t="s">
        <v>194</v>
      </c>
      <c r="E1286" s="25">
        <v>59</v>
      </c>
      <c r="G1286" s="26">
        <v>0.15290000000000001</v>
      </c>
      <c r="I1286" s="26">
        <v>0.15290000000000001</v>
      </c>
      <c r="J1286" s="26">
        <v>3.85E-2</v>
      </c>
      <c r="K1286" s="26">
        <v>0.15290000000000001</v>
      </c>
      <c r="L1286" s="26">
        <v>0.61399999999999999</v>
      </c>
      <c r="M1286" s="26">
        <v>0.73809999999999998</v>
      </c>
      <c r="Q1286" s="26">
        <v>0.26190000000000002</v>
      </c>
      <c r="R1286" s="26">
        <v>7.1999999999999998E-3</v>
      </c>
    </row>
    <row r="1287" spans="1:20" s="25" customFormat="1">
      <c r="A1287" s="25" t="s">
        <v>195</v>
      </c>
      <c r="B1287" s="25" t="s">
        <v>205</v>
      </c>
      <c r="C1287" s="25">
        <v>12</v>
      </c>
      <c r="D1287" s="25" t="s">
        <v>194</v>
      </c>
      <c r="E1287" s="25">
        <v>59</v>
      </c>
      <c r="F1287" s="26">
        <v>0.22889999999999999</v>
      </c>
      <c r="I1287" s="26">
        <v>0.22520000000000001</v>
      </c>
      <c r="M1287" s="26">
        <v>0.3206</v>
      </c>
      <c r="N1287" s="26">
        <v>0.1452</v>
      </c>
      <c r="Q1287" s="26">
        <v>0.17050000000000001</v>
      </c>
      <c r="R1287" s="26">
        <v>7.9600000000000004E-2</v>
      </c>
      <c r="S1287" s="26">
        <v>4.19E-2</v>
      </c>
      <c r="T1287" s="26">
        <v>1.34E-2</v>
      </c>
    </row>
    <row r="1288" spans="1:20" s="25" customFormat="1">
      <c r="A1288" s="25" t="s">
        <v>199</v>
      </c>
      <c r="B1288" s="25" t="s">
        <v>202</v>
      </c>
      <c r="C1288" s="25">
        <v>7</v>
      </c>
      <c r="D1288" s="25" t="s">
        <v>194</v>
      </c>
      <c r="E1288" s="25">
        <v>59</v>
      </c>
      <c r="I1288" s="26">
        <v>0.27789999999999998</v>
      </c>
      <c r="L1288" s="26">
        <v>0.2402</v>
      </c>
      <c r="N1288" s="26">
        <v>4.5999999999999999E-2</v>
      </c>
      <c r="O1288" s="26">
        <v>0.21820000000000001</v>
      </c>
      <c r="Q1288" s="26">
        <v>0.41170000000000001</v>
      </c>
      <c r="R1288" s="26">
        <v>0.2636</v>
      </c>
      <c r="S1288" s="26">
        <v>0.2636</v>
      </c>
    </row>
    <row r="1289" spans="1:20" s="25" customFormat="1">
      <c r="A1289" s="25" t="s">
        <v>199</v>
      </c>
      <c r="B1289" s="25" t="s">
        <v>204</v>
      </c>
      <c r="C1289" s="25">
        <v>9</v>
      </c>
      <c r="D1289" s="25" t="s">
        <v>194</v>
      </c>
      <c r="E1289" s="25">
        <v>59</v>
      </c>
      <c r="I1289" s="26">
        <v>0.5675</v>
      </c>
      <c r="N1289" s="26">
        <v>0.66949999999999998</v>
      </c>
      <c r="Q1289" s="26">
        <v>0.6149</v>
      </c>
      <c r="R1289" s="26">
        <v>0.25729999999999997</v>
      </c>
      <c r="S1289" s="26">
        <v>2.58E-2</v>
      </c>
    </row>
    <row r="1290" spans="1:20" s="25" customFormat="1">
      <c r="A1290" s="25" t="s">
        <v>199</v>
      </c>
      <c r="B1290" s="25" t="s">
        <v>205</v>
      </c>
      <c r="C1290" s="25">
        <v>9</v>
      </c>
      <c r="D1290" s="25" t="s">
        <v>194</v>
      </c>
      <c r="E1290" s="25">
        <v>59</v>
      </c>
      <c r="G1290" s="26">
        <v>0.10589999999999999</v>
      </c>
      <c r="H1290" s="26">
        <v>0.1128</v>
      </c>
      <c r="I1290" s="26">
        <v>0.1128</v>
      </c>
      <c r="K1290" s="26">
        <v>0.1128</v>
      </c>
      <c r="N1290" s="26">
        <v>0.2117</v>
      </c>
      <c r="Q1290" s="26">
        <v>0.45679999999999998</v>
      </c>
      <c r="S1290" s="26">
        <v>0.10589999999999999</v>
      </c>
    </row>
    <row r="1291" spans="1:20">
      <c r="A1291" t="s">
        <v>200</v>
      </c>
      <c r="B1291" t="s">
        <v>200</v>
      </c>
      <c r="C1291">
        <v>59</v>
      </c>
      <c r="D1291" t="s">
        <v>200</v>
      </c>
      <c r="E1291">
        <v>59</v>
      </c>
      <c r="F1291" s="3">
        <v>4.3799999999999999E-2</v>
      </c>
      <c r="G1291" s="3">
        <v>3.8300000000000001E-2</v>
      </c>
      <c r="H1291" s="3">
        <v>3.5999999999999999E-3</v>
      </c>
      <c r="I1291" s="3">
        <v>0.2006</v>
      </c>
      <c r="J1291" s="3">
        <v>8.2900000000000001E-2</v>
      </c>
      <c r="K1291" s="3">
        <v>5.0099999999999999E-2</v>
      </c>
      <c r="L1291" s="3">
        <v>0.21820000000000001</v>
      </c>
      <c r="M1291" s="3">
        <v>0.2354</v>
      </c>
      <c r="N1291" s="3">
        <v>0.12590000000000001</v>
      </c>
      <c r="O1291" s="3">
        <v>3.2399999999999998E-2</v>
      </c>
      <c r="P1291" s="3">
        <v>7.7600000000000002E-2</v>
      </c>
      <c r="Q1291" s="3">
        <v>0.21790000000000001</v>
      </c>
      <c r="R1291" s="3">
        <v>0.1865</v>
      </c>
      <c r="S1291" s="3">
        <v>0.1593</v>
      </c>
      <c r="T1291" s="3">
        <v>8.0000000000000004E-4</v>
      </c>
    </row>
    <row r="1293" spans="1:20" ht="45">
      <c r="A1293" s="22" t="s">
        <v>435</v>
      </c>
    </row>
    <row r="1294" spans="1:20">
      <c r="A1294" t="s">
        <v>185</v>
      </c>
      <c r="B1294" t="s">
        <v>186</v>
      </c>
      <c r="C1294" t="s">
        <v>192</v>
      </c>
      <c r="D1294" t="s">
        <v>184</v>
      </c>
      <c r="E1294" t="s">
        <v>193</v>
      </c>
      <c r="F1294" t="s">
        <v>257</v>
      </c>
      <c r="G1294" t="s">
        <v>421</v>
      </c>
      <c r="H1294" t="s">
        <v>422</v>
      </c>
      <c r="I1294" t="s">
        <v>423</v>
      </c>
      <c r="J1294" t="s">
        <v>424</v>
      </c>
      <c r="K1294" t="s">
        <v>425</v>
      </c>
      <c r="L1294" t="s">
        <v>426</v>
      </c>
      <c r="M1294" t="s">
        <v>427</v>
      </c>
      <c r="N1294" t="s">
        <v>428</v>
      </c>
      <c r="O1294" t="s">
        <v>429</v>
      </c>
      <c r="P1294" t="s">
        <v>430</v>
      </c>
      <c r="Q1294" t="s">
        <v>431</v>
      </c>
      <c r="R1294" t="s">
        <v>432</v>
      </c>
      <c r="S1294" t="s">
        <v>433</v>
      </c>
      <c r="T1294" t="s">
        <v>247</v>
      </c>
    </row>
    <row r="1295" spans="1:20" s="25" customFormat="1">
      <c r="A1295" s="25" t="s">
        <v>195</v>
      </c>
      <c r="B1295" s="25" t="s">
        <v>207</v>
      </c>
      <c r="C1295" s="25">
        <v>20</v>
      </c>
      <c r="D1295" s="25" t="s">
        <v>194</v>
      </c>
      <c r="E1295" s="25">
        <v>59</v>
      </c>
      <c r="F1295" s="26">
        <v>2.9700000000000001E-2</v>
      </c>
      <c r="G1295" s="26">
        <v>5.1499999999999997E-2</v>
      </c>
      <c r="I1295" s="26">
        <v>9.74E-2</v>
      </c>
      <c r="K1295" s="26">
        <v>5.1499999999999997E-2</v>
      </c>
      <c r="L1295" s="26">
        <v>0.33610000000000001</v>
      </c>
      <c r="M1295" s="26">
        <v>0.36559999999999998</v>
      </c>
      <c r="N1295" s="26">
        <v>4.7399999999999998E-2</v>
      </c>
      <c r="Q1295" s="26">
        <v>0.12870000000000001</v>
      </c>
      <c r="R1295" s="26">
        <v>0.23119999999999999</v>
      </c>
      <c r="S1295" s="26">
        <v>0.23019999999999999</v>
      </c>
    </row>
    <row r="1296" spans="1:20" s="25" customFormat="1">
      <c r="A1296" s="25" t="s">
        <v>195</v>
      </c>
      <c r="B1296" s="25" t="s">
        <v>209</v>
      </c>
      <c r="C1296" s="25">
        <v>14</v>
      </c>
      <c r="D1296" s="25" t="s">
        <v>194</v>
      </c>
      <c r="E1296" s="25">
        <v>59</v>
      </c>
      <c r="F1296" s="26">
        <v>9.4600000000000004E-2</v>
      </c>
      <c r="G1296" s="26">
        <v>3.6299999999999999E-2</v>
      </c>
      <c r="I1296" s="26">
        <v>0.2651</v>
      </c>
      <c r="J1296" s="26">
        <v>0.2581</v>
      </c>
      <c r="K1296" s="26">
        <v>7.2400000000000006E-2</v>
      </c>
      <c r="L1296" s="26">
        <v>9.5699999999999993E-2</v>
      </c>
      <c r="M1296" s="26">
        <v>0.2185</v>
      </c>
      <c r="N1296" s="26">
        <v>0.18540000000000001</v>
      </c>
      <c r="P1296" s="26">
        <v>0.2417</v>
      </c>
      <c r="Q1296" s="26">
        <v>0.17219999999999999</v>
      </c>
      <c r="R1296" s="26">
        <v>9.6199999999999994E-2</v>
      </c>
      <c r="S1296" s="26">
        <v>3.61E-2</v>
      </c>
      <c r="T1296" s="26">
        <v>2.5000000000000001E-3</v>
      </c>
    </row>
    <row r="1297" spans="1:20" s="25" customFormat="1">
      <c r="A1297" s="25" t="s">
        <v>199</v>
      </c>
      <c r="B1297" s="25" t="s">
        <v>207</v>
      </c>
      <c r="C1297" s="25">
        <v>10</v>
      </c>
      <c r="D1297" s="25" t="s">
        <v>194</v>
      </c>
      <c r="E1297" s="25">
        <v>59</v>
      </c>
      <c r="H1297" s="26">
        <v>5.8500000000000003E-2</v>
      </c>
      <c r="I1297" s="26">
        <v>0.59519999999999995</v>
      </c>
      <c r="N1297" s="26">
        <v>0.19719999999999999</v>
      </c>
      <c r="Q1297" s="26">
        <v>0.55659999999999998</v>
      </c>
      <c r="R1297" s="26">
        <v>0.72460000000000002</v>
      </c>
    </row>
    <row r="1298" spans="1:20" s="25" customFormat="1">
      <c r="A1298" s="25" t="s">
        <v>199</v>
      </c>
      <c r="B1298" s="25" t="s">
        <v>209</v>
      </c>
      <c r="C1298" s="25">
        <v>15</v>
      </c>
      <c r="D1298" s="25" t="s">
        <v>194</v>
      </c>
      <c r="E1298" s="25">
        <v>59</v>
      </c>
      <c r="G1298" s="26">
        <v>2.0199999999999999E-2</v>
      </c>
      <c r="I1298" s="26">
        <v>0.21110000000000001</v>
      </c>
      <c r="K1298" s="26">
        <v>2.1600000000000001E-2</v>
      </c>
      <c r="L1298" s="26">
        <v>0.215</v>
      </c>
      <c r="N1298" s="26">
        <v>0.1983</v>
      </c>
      <c r="O1298" s="26">
        <v>0.1953</v>
      </c>
      <c r="Q1298" s="26">
        <v>0.4244</v>
      </c>
      <c r="R1298" s="26">
        <v>4.1200000000000001E-2</v>
      </c>
      <c r="S1298" s="26">
        <v>0.26350000000000001</v>
      </c>
    </row>
    <row r="1299" spans="1:20">
      <c r="A1299" t="s">
        <v>200</v>
      </c>
      <c r="B1299" t="s">
        <v>200</v>
      </c>
      <c r="C1299">
        <v>59</v>
      </c>
      <c r="D1299" t="s">
        <v>200</v>
      </c>
      <c r="E1299">
        <v>59</v>
      </c>
      <c r="F1299" s="3">
        <v>4.3799999999999999E-2</v>
      </c>
      <c r="G1299" s="3">
        <v>3.8300000000000001E-2</v>
      </c>
      <c r="H1299" s="3">
        <v>3.5999999999999999E-3</v>
      </c>
      <c r="I1299" s="3">
        <v>0.2006</v>
      </c>
      <c r="J1299" s="3">
        <v>8.2900000000000001E-2</v>
      </c>
      <c r="K1299" s="3">
        <v>5.0099999999999999E-2</v>
      </c>
      <c r="L1299" s="3">
        <v>0.21820000000000001</v>
      </c>
      <c r="M1299" s="3">
        <v>0.2354</v>
      </c>
      <c r="N1299" s="3">
        <v>0.12590000000000001</v>
      </c>
      <c r="O1299" s="3">
        <v>3.2399999999999998E-2</v>
      </c>
      <c r="P1299" s="3">
        <v>7.7600000000000002E-2</v>
      </c>
      <c r="Q1299" s="3">
        <v>0.21790000000000001</v>
      </c>
      <c r="R1299" s="3">
        <v>0.1865</v>
      </c>
      <c r="S1299" s="3">
        <v>0.1593</v>
      </c>
      <c r="T1299" s="3">
        <v>8.0000000000000004E-4</v>
      </c>
    </row>
    <row r="1301" spans="1:20" ht="45">
      <c r="A1301" s="22" t="s">
        <v>436</v>
      </c>
    </row>
    <row r="1302" spans="1:20">
      <c r="A1302" t="s">
        <v>185</v>
      </c>
      <c r="B1302" t="s">
        <v>192</v>
      </c>
      <c r="C1302" t="s">
        <v>184</v>
      </c>
      <c r="D1302" t="s">
        <v>193</v>
      </c>
      <c r="E1302" t="s">
        <v>257</v>
      </c>
      <c r="F1302" t="s">
        <v>421</v>
      </c>
      <c r="G1302" t="s">
        <v>422</v>
      </c>
      <c r="H1302" t="s">
        <v>423</v>
      </c>
      <c r="I1302" t="s">
        <v>424</v>
      </c>
      <c r="J1302" t="s">
        <v>425</v>
      </c>
      <c r="K1302" t="s">
        <v>426</v>
      </c>
      <c r="L1302" t="s">
        <v>427</v>
      </c>
      <c r="M1302" t="s">
        <v>428</v>
      </c>
      <c r="N1302" t="s">
        <v>429</v>
      </c>
      <c r="O1302" t="s">
        <v>430</v>
      </c>
      <c r="P1302" t="s">
        <v>431</v>
      </c>
      <c r="Q1302" t="s">
        <v>432</v>
      </c>
      <c r="R1302" t="s">
        <v>433</v>
      </c>
      <c r="S1302" t="s">
        <v>247</v>
      </c>
    </row>
    <row r="1303" spans="1:20">
      <c r="A1303" t="s">
        <v>195</v>
      </c>
      <c r="B1303">
        <v>34</v>
      </c>
      <c r="C1303" t="s">
        <v>194</v>
      </c>
      <c r="D1303">
        <v>59</v>
      </c>
      <c r="E1303" s="3">
        <v>5.67E-2</v>
      </c>
      <c r="F1303" s="3">
        <v>4.5199999999999997E-2</v>
      </c>
      <c r="H1303" s="3">
        <v>0.1671</v>
      </c>
      <c r="I1303" s="3">
        <v>0.10730000000000001</v>
      </c>
      <c r="J1303" s="3">
        <v>6.0199999999999997E-2</v>
      </c>
      <c r="K1303" s="3">
        <v>0.23619999999999999</v>
      </c>
      <c r="L1303" s="3">
        <v>0.30449999999999999</v>
      </c>
      <c r="M1303" s="3">
        <v>0.1048</v>
      </c>
      <c r="O1303" s="3">
        <v>0.10050000000000001</v>
      </c>
      <c r="P1303" s="3">
        <v>0.14680000000000001</v>
      </c>
      <c r="Q1303" s="3">
        <v>0.17510000000000001</v>
      </c>
      <c r="R1303" s="3">
        <v>0.14949999999999999</v>
      </c>
      <c r="S1303" s="3">
        <v>1E-3</v>
      </c>
    </row>
    <row r="1304" spans="1:20" s="25" customFormat="1">
      <c r="A1304" s="25" t="s">
        <v>199</v>
      </c>
      <c r="B1304" s="25">
        <v>25</v>
      </c>
      <c r="C1304" s="25" t="s">
        <v>194</v>
      </c>
      <c r="D1304" s="25">
        <v>59</v>
      </c>
      <c r="F1304" s="26">
        <v>1.4800000000000001E-2</v>
      </c>
      <c r="G1304" s="26">
        <v>1.5800000000000002E-2</v>
      </c>
      <c r="H1304" s="26">
        <v>0.31469999999999998</v>
      </c>
      <c r="J1304" s="26">
        <v>1.5800000000000002E-2</v>
      </c>
      <c r="K1304" s="26">
        <v>0.157</v>
      </c>
      <c r="M1304" s="26">
        <v>0.19800000000000001</v>
      </c>
      <c r="N1304" s="26">
        <v>0.14269999999999999</v>
      </c>
      <c r="P1304" s="26">
        <v>0.46</v>
      </c>
      <c r="Q1304" s="26">
        <v>0.22550000000000001</v>
      </c>
      <c r="R1304" s="26">
        <v>0.19239999999999999</v>
      </c>
    </row>
    <row r="1305" spans="1:20">
      <c r="A1305" t="s">
        <v>200</v>
      </c>
      <c r="B1305">
        <v>59</v>
      </c>
      <c r="C1305" t="s">
        <v>200</v>
      </c>
      <c r="D1305">
        <v>59</v>
      </c>
      <c r="E1305" s="3">
        <v>4.3799999999999999E-2</v>
      </c>
      <c r="F1305" s="3">
        <v>3.8300000000000001E-2</v>
      </c>
      <c r="G1305" s="3">
        <v>3.5999999999999999E-3</v>
      </c>
      <c r="H1305" s="3">
        <v>0.2006</v>
      </c>
      <c r="I1305" s="3">
        <v>8.2900000000000001E-2</v>
      </c>
      <c r="J1305" s="3">
        <v>5.0099999999999999E-2</v>
      </c>
      <c r="K1305" s="3">
        <v>0.21820000000000001</v>
      </c>
      <c r="L1305" s="3">
        <v>0.2354</v>
      </c>
      <c r="M1305" s="3">
        <v>0.12590000000000001</v>
      </c>
      <c r="N1305" s="3">
        <v>3.2399999999999998E-2</v>
      </c>
      <c r="O1305" s="3">
        <v>7.7600000000000002E-2</v>
      </c>
      <c r="P1305" s="3">
        <v>0.21790000000000001</v>
      </c>
      <c r="Q1305" s="3">
        <v>0.1865</v>
      </c>
      <c r="R1305" s="3">
        <v>0.1593</v>
      </c>
      <c r="S1305" s="3">
        <v>8.0000000000000004E-4</v>
      </c>
    </row>
    <row r="1307" spans="1:20" ht="45">
      <c r="A1307" s="22" t="s">
        <v>437</v>
      </c>
    </row>
    <row r="1308" spans="1:20">
      <c r="A1308" t="s">
        <v>185</v>
      </c>
      <c r="B1308" t="s">
        <v>186</v>
      </c>
      <c r="C1308" t="s">
        <v>192</v>
      </c>
      <c r="D1308" t="s">
        <v>184</v>
      </c>
      <c r="E1308" t="s">
        <v>193</v>
      </c>
      <c r="F1308" t="s">
        <v>257</v>
      </c>
      <c r="G1308" t="s">
        <v>421</v>
      </c>
      <c r="H1308" t="s">
        <v>422</v>
      </c>
      <c r="I1308" t="s">
        <v>423</v>
      </c>
      <c r="J1308" t="s">
        <v>424</v>
      </c>
      <c r="K1308" t="s">
        <v>425</v>
      </c>
      <c r="L1308" t="s">
        <v>426</v>
      </c>
      <c r="M1308" t="s">
        <v>427</v>
      </c>
      <c r="N1308" t="s">
        <v>428</v>
      </c>
      <c r="O1308" t="s">
        <v>429</v>
      </c>
      <c r="P1308" t="s">
        <v>430</v>
      </c>
      <c r="Q1308" t="s">
        <v>431</v>
      </c>
      <c r="R1308" t="s">
        <v>432</v>
      </c>
      <c r="S1308" t="s">
        <v>433</v>
      </c>
      <c r="T1308" t="s">
        <v>247</v>
      </c>
    </row>
    <row r="1309" spans="1:20" s="25" customFormat="1">
      <c r="A1309" s="25" t="s">
        <v>195</v>
      </c>
      <c r="B1309" s="25" t="s">
        <v>212</v>
      </c>
      <c r="C1309" s="25">
        <v>22</v>
      </c>
      <c r="D1309" s="25" t="s">
        <v>194</v>
      </c>
      <c r="E1309" s="25">
        <v>59</v>
      </c>
      <c r="F1309" s="26">
        <v>7.1599999999999997E-2</v>
      </c>
      <c r="I1309" s="26">
        <v>8.2600000000000007E-2</v>
      </c>
      <c r="J1309" s="26">
        <v>0.13539999999999999</v>
      </c>
      <c r="K1309" s="26">
        <v>1.89E-2</v>
      </c>
      <c r="L1309" s="26">
        <v>0.191</v>
      </c>
      <c r="M1309" s="26">
        <v>0.38429999999999997</v>
      </c>
      <c r="N1309" s="26">
        <v>0.1183</v>
      </c>
      <c r="P1309" s="26">
        <v>0.1268</v>
      </c>
      <c r="Q1309" s="26">
        <v>1.6299999999999999E-2</v>
      </c>
      <c r="R1309" s="26">
        <v>0.16320000000000001</v>
      </c>
      <c r="S1309" s="26">
        <v>0.1847</v>
      </c>
    </row>
    <row r="1310" spans="1:20" s="25" customFormat="1">
      <c r="A1310" s="25" t="s">
        <v>195</v>
      </c>
      <c r="B1310" s="25" t="s">
        <v>214</v>
      </c>
      <c r="C1310" s="25">
        <v>6</v>
      </c>
      <c r="D1310" s="25" t="s">
        <v>194</v>
      </c>
      <c r="E1310" s="25">
        <v>59</v>
      </c>
      <c r="G1310" s="26">
        <v>0.1275</v>
      </c>
      <c r="I1310" s="26">
        <v>0.60440000000000005</v>
      </c>
      <c r="K1310" s="26">
        <v>0.1275</v>
      </c>
      <c r="L1310" s="26">
        <v>0.33600000000000002</v>
      </c>
      <c r="Q1310" s="26">
        <v>0.60440000000000005</v>
      </c>
      <c r="R1310" s="26">
        <v>0.38700000000000001</v>
      </c>
      <c r="S1310" s="26">
        <v>8.6E-3</v>
      </c>
    </row>
    <row r="1311" spans="1:20" s="25" customFormat="1">
      <c r="A1311" s="25" t="s">
        <v>195</v>
      </c>
      <c r="B1311" s="25" t="s">
        <v>215</v>
      </c>
      <c r="C1311" s="25">
        <v>6</v>
      </c>
      <c r="D1311" s="25" t="s">
        <v>194</v>
      </c>
      <c r="E1311" s="25">
        <v>59</v>
      </c>
      <c r="G1311" s="26">
        <v>0.33679999999999999</v>
      </c>
      <c r="I1311" s="26">
        <v>0.33679999999999999</v>
      </c>
      <c r="K1311" s="26">
        <v>0.33679999999999999</v>
      </c>
      <c r="L1311" s="26">
        <v>0.50449999999999995</v>
      </c>
      <c r="N1311" s="26">
        <v>0.1232</v>
      </c>
      <c r="Q1311" s="26">
        <v>0.6976</v>
      </c>
      <c r="S1311" s="26">
        <v>2.41E-2</v>
      </c>
      <c r="T1311" s="26">
        <v>1.14E-2</v>
      </c>
    </row>
    <row r="1312" spans="1:20" s="25" customFormat="1">
      <c r="A1312" s="25" t="s">
        <v>199</v>
      </c>
      <c r="B1312" s="25" t="s">
        <v>212</v>
      </c>
      <c r="C1312" s="25">
        <v>17</v>
      </c>
      <c r="D1312" s="25" t="s">
        <v>194</v>
      </c>
      <c r="E1312" s="25">
        <v>59</v>
      </c>
      <c r="G1312" s="26">
        <v>1.77E-2</v>
      </c>
      <c r="H1312" s="26">
        <v>1.89E-2</v>
      </c>
      <c r="I1312" s="26">
        <v>0.33</v>
      </c>
      <c r="L1312" s="26">
        <v>0.1522</v>
      </c>
      <c r="N1312" s="26">
        <v>0.20130000000000001</v>
      </c>
      <c r="O1312" s="26">
        <v>0.1711</v>
      </c>
      <c r="Q1312" s="26">
        <v>0.52739999999999998</v>
      </c>
      <c r="R1312" s="26">
        <v>0.2155</v>
      </c>
      <c r="S1312" s="26">
        <v>0.1769</v>
      </c>
    </row>
    <row r="1313" spans="1:20" s="25" customFormat="1">
      <c r="A1313" s="25" t="s">
        <v>199</v>
      </c>
      <c r="B1313" s="25" t="s">
        <v>214</v>
      </c>
      <c r="C1313" s="25">
        <v>2</v>
      </c>
      <c r="D1313" s="25" t="s">
        <v>194</v>
      </c>
      <c r="E1313" s="25">
        <v>59</v>
      </c>
      <c r="Q1313" s="26">
        <v>0.34370000000000001</v>
      </c>
      <c r="R1313" s="26">
        <v>0.65629999999999999</v>
      </c>
    </row>
    <row r="1314" spans="1:20" s="25" customFormat="1">
      <c r="A1314" s="25" t="s">
        <v>199</v>
      </c>
      <c r="B1314" s="25" t="s">
        <v>215</v>
      </c>
      <c r="C1314" s="25">
        <v>6</v>
      </c>
      <c r="D1314" s="25" t="s">
        <v>194</v>
      </c>
      <c r="E1314" s="25">
        <v>59</v>
      </c>
      <c r="I1314" s="26">
        <v>0.32829999999999998</v>
      </c>
      <c r="K1314" s="26">
        <v>0.13109999999999999</v>
      </c>
      <c r="L1314" s="26">
        <v>0.25030000000000002</v>
      </c>
      <c r="N1314" s="26">
        <v>0.25030000000000002</v>
      </c>
      <c r="Q1314" s="26">
        <v>3.6999999999999998E-2</v>
      </c>
      <c r="R1314" s="26">
        <v>0.13020000000000001</v>
      </c>
      <c r="S1314" s="26">
        <v>0.37340000000000001</v>
      </c>
    </row>
    <row r="1315" spans="1:20">
      <c r="A1315" t="s">
        <v>200</v>
      </c>
      <c r="B1315" t="s">
        <v>200</v>
      </c>
      <c r="C1315">
        <v>59</v>
      </c>
      <c r="D1315" t="s">
        <v>200</v>
      </c>
      <c r="E1315">
        <v>59</v>
      </c>
      <c r="F1315" s="3">
        <v>4.3799999999999999E-2</v>
      </c>
      <c r="G1315" s="3">
        <v>3.8300000000000001E-2</v>
      </c>
      <c r="H1315" s="3">
        <v>3.5999999999999999E-3</v>
      </c>
      <c r="I1315" s="3">
        <v>0.2006</v>
      </c>
      <c r="J1315" s="3">
        <v>8.2900000000000001E-2</v>
      </c>
      <c r="K1315" s="3">
        <v>5.0099999999999999E-2</v>
      </c>
      <c r="L1315" s="3">
        <v>0.21820000000000001</v>
      </c>
      <c r="M1315" s="3">
        <v>0.2354</v>
      </c>
      <c r="N1315" s="3">
        <v>0.12590000000000001</v>
      </c>
      <c r="O1315" s="3">
        <v>3.2399999999999998E-2</v>
      </c>
      <c r="P1315" s="3">
        <v>7.7600000000000002E-2</v>
      </c>
      <c r="Q1315" s="3">
        <v>0.21790000000000001</v>
      </c>
      <c r="R1315" s="3">
        <v>0.1865</v>
      </c>
      <c r="S1315" s="3">
        <v>0.1593</v>
      </c>
      <c r="T1315" s="3">
        <v>8.0000000000000004E-4</v>
      </c>
    </row>
    <row r="1317" spans="1:20" ht="45">
      <c r="A1317" s="22" t="s">
        <v>438</v>
      </c>
    </row>
    <row r="1318" spans="1:20">
      <c r="A1318" t="s">
        <v>185</v>
      </c>
      <c r="B1318" t="s">
        <v>186</v>
      </c>
      <c r="C1318" t="s">
        <v>192</v>
      </c>
      <c r="D1318" t="s">
        <v>184</v>
      </c>
      <c r="E1318" t="s">
        <v>193</v>
      </c>
      <c r="F1318" t="s">
        <v>257</v>
      </c>
      <c r="G1318" t="s">
        <v>421</v>
      </c>
      <c r="H1318" t="s">
        <v>422</v>
      </c>
      <c r="I1318" t="s">
        <v>423</v>
      </c>
      <c r="J1318" t="s">
        <v>424</v>
      </c>
      <c r="K1318" t="s">
        <v>425</v>
      </c>
      <c r="L1318" t="s">
        <v>426</v>
      </c>
      <c r="M1318" t="s">
        <v>427</v>
      </c>
      <c r="N1318" t="s">
        <v>428</v>
      </c>
      <c r="O1318" t="s">
        <v>429</v>
      </c>
      <c r="P1318" t="s">
        <v>430</v>
      </c>
      <c r="Q1318" t="s">
        <v>431</v>
      </c>
      <c r="R1318" t="s">
        <v>432</v>
      </c>
      <c r="S1318" t="s">
        <v>433</v>
      </c>
      <c r="T1318" t="s">
        <v>247</v>
      </c>
    </row>
    <row r="1319" spans="1:20" s="25" customFormat="1">
      <c r="A1319" s="25" t="s">
        <v>195</v>
      </c>
      <c r="B1319" s="25" t="s">
        <v>217</v>
      </c>
      <c r="C1319" s="25">
        <v>13</v>
      </c>
      <c r="D1319" s="25" t="s">
        <v>194</v>
      </c>
      <c r="E1319" s="25">
        <v>59</v>
      </c>
      <c r="F1319" s="26">
        <v>0.13</v>
      </c>
      <c r="I1319" s="26">
        <v>0.11070000000000001</v>
      </c>
      <c r="J1319" s="26">
        <v>0.1424</v>
      </c>
      <c r="K1319" s="26">
        <v>0.10340000000000001</v>
      </c>
      <c r="L1319" s="26">
        <v>6.9000000000000006E-2</v>
      </c>
      <c r="M1319" s="26">
        <v>0.1822</v>
      </c>
      <c r="N1319" s="26">
        <v>0.17680000000000001</v>
      </c>
      <c r="P1319" s="26">
        <v>0.23039999999999999</v>
      </c>
      <c r="Q1319" s="26">
        <v>8.2600000000000007E-2</v>
      </c>
      <c r="R1319" s="26">
        <v>9.6600000000000005E-2</v>
      </c>
      <c r="S1319" s="26">
        <v>0.27810000000000001</v>
      </c>
    </row>
    <row r="1320" spans="1:20" s="25" customFormat="1">
      <c r="A1320" s="25" t="s">
        <v>195</v>
      </c>
      <c r="B1320" s="25" t="s">
        <v>219</v>
      </c>
      <c r="C1320" s="25">
        <v>15</v>
      </c>
      <c r="D1320" s="25" t="s">
        <v>194</v>
      </c>
      <c r="E1320" s="25">
        <v>59</v>
      </c>
      <c r="G1320" s="26">
        <v>0.15179999999999999</v>
      </c>
      <c r="I1320" s="26">
        <v>0.31979999999999997</v>
      </c>
      <c r="J1320" s="26">
        <v>3.8199999999999998E-2</v>
      </c>
      <c r="K1320" s="26">
        <v>5.0700000000000002E-2</v>
      </c>
      <c r="L1320" s="26">
        <v>0.184</v>
      </c>
      <c r="M1320" s="26">
        <v>6.1600000000000002E-2</v>
      </c>
      <c r="N1320" s="26">
        <v>3.6999999999999998E-2</v>
      </c>
      <c r="Q1320" s="26">
        <v>0.36480000000000001</v>
      </c>
      <c r="R1320" s="26">
        <v>0.44669999999999999</v>
      </c>
      <c r="S1320" s="26">
        <v>8.7800000000000003E-2</v>
      </c>
      <c r="T1320" s="26">
        <v>3.3999999999999998E-3</v>
      </c>
    </row>
    <row r="1321" spans="1:20" s="25" customFormat="1">
      <c r="A1321" s="25" t="s">
        <v>195</v>
      </c>
      <c r="B1321" s="25" t="s">
        <v>220</v>
      </c>
      <c r="C1321" s="25">
        <v>6</v>
      </c>
      <c r="D1321" s="25" t="s">
        <v>194</v>
      </c>
      <c r="E1321" s="25">
        <v>59</v>
      </c>
      <c r="I1321" s="26">
        <v>8.8800000000000004E-2</v>
      </c>
      <c r="J1321" s="26">
        <v>0.12690000000000001</v>
      </c>
      <c r="L1321" s="26">
        <v>0.56830000000000003</v>
      </c>
      <c r="M1321" s="26">
        <v>0.77629999999999999</v>
      </c>
      <c r="N1321" s="26">
        <v>6.2700000000000006E-2</v>
      </c>
      <c r="Q1321" s="26">
        <v>8.0999999999999996E-3</v>
      </c>
      <c r="S1321" s="26">
        <v>8.0999999999999996E-3</v>
      </c>
    </row>
    <row r="1322" spans="1:20" s="25" customFormat="1">
      <c r="A1322" s="25" t="s">
        <v>199</v>
      </c>
      <c r="B1322" s="25" t="s">
        <v>217</v>
      </c>
      <c r="C1322" s="25">
        <v>15</v>
      </c>
      <c r="D1322" s="25" t="s">
        <v>194</v>
      </c>
      <c r="E1322" s="25">
        <v>59</v>
      </c>
      <c r="G1322" s="26">
        <v>2.4400000000000002E-2</v>
      </c>
      <c r="I1322" s="26">
        <v>6.9199999999999998E-2</v>
      </c>
      <c r="K1322" s="26">
        <v>2.5999999999999999E-2</v>
      </c>
      <c r="L1322" s="26">
        <v>0.25890000000000002</v>
      </c>
      <c r="N1322" s="26">
        <v>0.1087</v>
      </c>
      <c r="O1322" s="26">
        <v>0.23519999999999999</v>
      </c>
      <c r="Q1322" s="26">
        <v>0.30149999999999999</v>
      </c>
      <c r="S1322" s="26">
        <v>0.31730000000000003</v>
      </c>
    </row>
    <row r="1323" spans="1:20" s="25" customFormat="1">
      <c r="A1323" s="25" t="s">
        <v>199</v>
      </c>
      <c r="B1323" s="25" t="s">
        <v>219</v>
      </c>
      <c r="C1323" s="25">
        <v>10</v>
      </c>
      <c r="D1323" s="25" t="s">
        <v>194</v>
      </c>
      <c r="E1323" s="25">
        <v>59</v>
      </c>
      <c r="H1323" s="26">
        <v>4.0099999999999997E-2</v>
      </c>
      <c r="I1323" s="26">
        <v>0.69310000000000005</v>
      </c>
      <c r="N1323" s="26">
        <v>0.33550000000000002</v>
      </c>
      <c r="Q1323" s="26">
        <v>0.70440000000000003</v>
      </c>
      <c r="R1323" s="26">
        <v>0.57299999999999995</v>
      </c>
    </row>
    <row r="1324" spans="1:20">
      <c r="A1324" t="s">
        <v>200</v>
      </c>
      <c r="B1324" t="s">
        <v>200</v>
      </c>
      <c r="C1324">
        <v>59</v>
      </c>
      <c r="D1324" t="s">
        <v>200</v>
      </c>
      <c r="E1324">
        <v>59</v>
      </c>
      <c r="F1324" s="3">
        <v>4.3799999999999999E-2</v>
      </c>
      <c r="G1324" s="3">
        <v>3.8300000000000001E-2</v>
      </c>
      <c r="H1324" s="3">
        <v>3.5999999999999999E-3</v>
      </c>
      <c r="I1324" s="3">
        <v>0.2006</v>
      </c>
      <c r="J1324" s="3">
        <v>8.2900000000000001E-2</v>
      </c>
      <c r="K1324" s="3">
        <v>5.0099999999999999E-2</v>
      </c>
      <c r="L1324" s="3">
        <v>0.21820000000000001</v>
      </c>
      <c r="M1324" s="3">
        <v>0.2354</v>
      </c>
      <c r="N1324" s="3">
        <v>0.12590000000000001</v>
      </c>
      <c r="O1324" s="3">
        <v>3.2399999999999998E-2</v>
      </c>
      <c r="P1324" s="3">
        <v>7.7600000000000002E-2</v>
      </c>
      <c r="Q1324" s="3">
        <v>0.21790000000000001</v>
      </c>
      <c r="R1324" s="3">
        <v>0.1865</v>
      </c>
      <c r="S1324" s="3">
        <v>0.1593</v>
      </c>
      <c r="T1324" s="3">
        <v>8.0000000000000004E-4</v>
      </c>
    </row>
    <row r="1326" spans="1:20" ht="45">
      <c r="A1326" s="22" t="s">
        <v>439</v>
      </c>
    </row>
    <row r="1327" spans="1:20">
      <c r="A1327" t="s">
        <v>185</v>
      </c>
      <c r="B1327" t="s">
        <v>186</v>
      </c>
      <c r="C1327" t="s">
        <v>192</v>
      </c>
      <c r="D1327" t="s">
        <v>184</v>
      </c>
      <c r="E1327" t="s">
        <v>193</v>
      </c>
      <c r="F1327" t="s">
        <v>257</v>
      </c>
      <c r="G1327" t="s">
        <v>226</v>
      </c>
      <c r="H1327" t="s">
        <v>227</v>
      </c>
    </row>
    <row r="1328" spans="1:20" s="25" customFormat="1">
      <c r="A1328" s="25" t="s">
        <v>195</v>
      </c>
      <c r="B1328" s="25" t="s">
        <v>196</v>
      </c>
      <c r="C1328" s="25">
        <v>9</v>
      </c>
      <c r="D1328" s="25" t="s">
        <v>194</v>
      </c>
      <c r="E1328" s="25">
        <v>59</v>
      </c>
      <c r="G1328" s="26">
        <v>0.78069999999999995</v>
      </c>
      <c r="H1328" s="26">
        <v>0.21929999999999999</v>
      </c>
    </row>
    <row r="1329" spans="1:8" s="25" customFormat="1">
      <c r="A1329" s="25" t="s">
        <v>195</v>
      </c>
      <c r="B1329" s="25" t="s">
        <v>198</v>
      </c>
      <c r="C1329" s="25">
        <v>24</v>
      </c>
      <c r="D1329" s="25" t="s">
        <v>194</v>
      </c>
      <c r="E1329" s="25">
        <v>59</v>
      </c>
      <c r="F1329" s="26">
        <v>2.47E-2</v>
      </c>
      <c r="G1329" s="26">
        <v>0.89100000000000001</v>
      </c>
      <c r="H1329" s="26">
        <v>8.4400000000000003E-2</v>
      </c>
    </row>
    <row r="1330" spans="1:8" s="25" customFormat="1">
      <c r="A1330" s="25" t="s">
        <v>199</v>
      </c>
      <c r="B1330" s="25" t="s">
        <v>196</v>
      </c>
      <c r="C1330" s="25">
        <v>9</v>
      </c>
      <c r="D1330" s="25" t="s">
        <v>194</v>
      </c>
      <c r="E1330" s="25">
        <v>59</v>
      </c>
      <c r="G1330" s="26">
        <v>0.80979999999999996</v>
      </c>
      <c r="H1330" s="26">
        <v>0.19020000000000001</v>
      </c>
    </row>
    <row r="1331" spans="1:8" s="25" customFormat="1">
      <c r="A1331" s="25" t="s">
        <v>199</v>
      </c>
      <c r="B1331" s="25" t="s">
        <v>198</v>
      </c>
      <c r="C1331" s="25">
        <v>16</v>
      </c>
      <c r="D1331" s="25" t="s">
        <v>194</v>
      </c>
      <c r="E1331" s="25">
        <v>59</v>
      </c>
      <c r="F1331" s="26">
        <v>0.33789999999999998</v>
      </c>
      <c r="G1331" s="26">
        <v>0.41039999999999999</v>
      </c>
      <c r="H1331" s="26">
        <v>0.25169999999999998</v>
      </c>
    </row>
    <row r="1332" spans="1:8">
      <c r="A1332" t="s">
        <v>200</v>
      </c>
      <c r="B1332" t="s">
        <v>200</v>
      </c>
      <c r="C1332">
        <v>59</v>
      </c>
      <c r="D1332" t="s">
        <v>200</v>
      </c>
      <c r="E1332">
        <v>59</v>
      </c>
      <c r="F1332" s="3">
        <v>8.1299999999999997E-2</v>
      </c>
      <c r="G1332" s="3">
        <v>0.79269999999999996</v>
      </c>
      <c r="H1332" s="3">
        <v>0.126</v>
      </c>
    </row>
    <row r="1334" spans="1:8" ht="60">
      <c r="A1334" s="22" t="s">
        <v>440</v>
      </c>
    </row>
    <row r="1335" spans="1:8">
      <c r="A1335" t="s">
        <v>185</v>
      </c>
      <c r="B1335" t="s">
        <v>186</v>
      </c>
      <c r="C1335" t="s">
        <v>192</v>
      </c>
      <c r="D1335" t="s">
        <v>184</v>
      </c>
      <c r="E1335" t="s">
        <v>193</v>
      </c>
      <c r="F1335" t="s">
        <v>257</v>
      </c>
      <c r="G1335" t="s">
        <v>226</v>
      </c>
      <c r="H1335" t="s">
        <v>227</v>
      </c>
    </row>
    <row r="1336" spans="1:8" s="25" customFormat="1">
      <c r="A1336" s="25" t="s">
        <v>195</v>
      </c>
      <c r="B1336" s="25" t="s">
        <v>202</v>
      </c>
      <c r="C1336" s="25">
        <v>14</v>
      </c>
      <c r="D1336" s="25" t="s">
        <v>194</v>
      </c>
      <c r="E1336" s="25">
        <v>59</v>
      </c>
      <c r="G1336" s="26">
        <v>0.85029999999999994</v>
      </c>
      <c r="H1336" s="26">
        <v>0.1497</v>
      </c>
    </row>
    <row r="1337" spans="1:8" s="25" customFormat="1">
      <c r="A1337" s="25" t="s">
        <v>195</v>
      </c>
      <c r="B1337" s="25" t="s">
        <v>204</v>
      </c>
      <c r="C1337" s="25">
        <v>7</v>
      </c>
      <c r="D1337" s="25" t="s">
        <v>194</v>
      </c>
      <c r="E1337" s="25">
        <v>59</v>
      </c>
      <c r="G1337" s="26">
        <v>1</v>
      </c>
    </row>
    <row r="1338" spans="1:8" s="25" customFormat="1">
      <c r="A1338" s="25" t="s">
        <v>195</v>
      </c>
      <c r="B1338" s="25" t="s">
        <v>205</v>
      </c>
      <c r="C1338" s="25">
        <v>12</v>
      </c>
      <c r="D1338" s="25" t="s">
        <v>194</v>
      </c>
      <c r="E1338" s="25">
        <v>59</v>
      </c>
      <c r="F1338" s="26">
        <v>0.2858</v>
      </c>
      <c r="G1338" s="26">
        <v>0.66379999999999995</v>
      </c>
      <c r="H1338" s="26">
        <v>5.04E-2</v>
      </c>
    </row>
    <row r="1339" spans="1:8" s="25" customFormat="1">
      <c r="A1339" s="25" t="s">
        <v>199</v>
      </c>
      <c r="B1339" s="25" t="s">
        <v>202</v>
      </c>
      <c r="C1339" s="25">
        <v>7</v>
      </c>
      <c r="D1339" s="25" t="s">
        <v>194</v>
      </c>
      <c r="E1339" s="25">
        <v>59</v>
      </c>
      <c r="F1339" s="26">
        <v>0.43509999999999999</v>
      </c>
      <c r="G1339" s="26">
        <v>0.30059999999999998</v>
      </c>
      <c r="H1339" s="26">
        <v>0.26429999999999998</v>
      </c>
    </row>
    <row r="1340" spans="1:8" s="25" customFormat="1">
      <c r="A1340" s="25" t="s">
        <v>199</v>
      </c>
      <c r="B1340" s="25" t="s">
        <v>204</v>
      </c>
      <c r="C1340" s="25">
        <v>9</v>
      </c>
      <c r="D1340" s="25" t="s">
        <v>194</v>
      </c>
      <c r="E1340" s="25">
        <v>59</v>
      </c>
      <c r="G1340" s="26">
        <v>0.97419999999999995</v>
      </c>
      <c r="H1340" s="26">
        <v>2.58E-2</v>
      </c>
    </row>
    <row r="1341" spans="1:8" s="25" customFormat="1">
      <c r="A1341" s="25" t="s">
        <v>199</v>
      </c>
      <c r="B1341" s="25" t="s">
        <v>205</v>
      </c>
      <c r="C1341" s="25">
        <v>9</v>
      </c>
      <c r="D1341" s="25" t="s">
        <v>194</v>
      </c>
      <c r="E1341" s="25">
        <v>59</v>
      </c>
      <c r="G1341" s="26">
        <v>0.54320000000000002</v>
      </c>
      <c r="H1341" s="26">
        <v>0.45679999999999998</v>
      </c>
    </row>
    <row r="1342" spans="1:8">
      <c r="A1342" t="s">
        <v>200</v>
      </c>
      <c r="B1342" t="s">
        <v>200</v>
      </c>
      <c r="C1342">
        <v>59</v>
      </c>
      <c r="D1342" t="s">
        <v>200</v>
      </c>
      <c r="E1342">
        <v>59</v>
      </c>
      <c r="F1342" s="3">
        <v>8.1299999999999997E-2</v>
      </c>
      <c r="G1342" s="3">
        <v>0.79269999999999996</v>
      </c>
      <c r="H1342" s="3">
        <v>0.126</v>
      </c>
    </row>
    <row r="1344" spans="1:8" ht="45">
      <c r="A1344" s="22" t="s">
        <v>441</v>
      </c>
    </row>
    <row r="1345" spans="1:8">
      <c r="A1345" t="s">
        <v>185</v>
      </c>
      <c r="B1345" t="s">
        <v>186</v>
      </c>
      <c r="C1345" t="s">
        <v>192</v>
      </c>
      <c r="D1345" t="s">
        <v>184</v>
      </c>
      <c r="E1345" t="s">
        <v>193</v>
      </c>
      <c r="F1345" t="s">
        <v>257</v>
      </c>
      <c r="G1345" t="s">
        <v>226</v>
      </c>
      <c r="H1345" t="s">
        <v>227</v>
      </c>
    </row>
    <row r="1346" spans="1:8" s="25" customFormat="1">
      <c r="A1346" s="25" t="s">
        <v>195</v>
      </c>
      <c r="B1346" s="25" t="s">
        <v>207</v>
      </c>
      <c r="C1346" s="25">
        <v>20</v>
      </c>
      <c r="D1346" s="25" t="s">
        <v>194</v>
      </c>
      <c r="E1346" s="25">
        <v>59</v>
      </c>
      <c r="F1346" s="26">
        <v>7.4000000000000003E-3</v>
      </c>
      <c r="G1346" s="26">
        <v>0.96220000000000006</v>
      </c>
      <c r="H1346" s="26">
        <v>3.04E-2</v>
      </c>
    </row>
    <row r="1347" spans="1:8" s="25" customFormat="1">
      <c r="A1347" s="25" t="s">
        <v>195</v>
      </c>
      <c r="B1347" s="25" t="s">
        <v>209</v>
      </c>
      <c r="C1347" s="25">
        <v>14</v>
      </c>
      <c r="D1347" s="25" t="s">
        <v>194</v>
      </c>
      <c r="E1347" s="25">
        <v>59</v>
      </c>
      <c r="F1347" s="26">
        <v>4.1799999999999997E-2</v>
      </c>
      <c r="G1347" s="26">
        <v>0.77980000000000005</v>
      </c>
      <c r="H1347" s="26">
        <v>0.1784</v>
      </c>
    </row>
    <row r="1348" spans="1:8" s="25" customFormat="1">
      <c r="A1348" s="25" t="s">
        <v>199</v>
      </c>
      <c r="B1348" s="25" t="s">
        <v>207</v>
      </c>
      <c r="C1348" s="25">
        <v>10</v>
      </c>
      <c r="D1348" s="25" t="s">
        <v>194</v>
      </c>
      <c r="E1348" s="25">
        <v>59</v>
      </c>
      <c r="F1348" s="26">
        <v>0.52749999999999997</v>
      </c>
      <c r="G1348" s="26">
        <v>0.45269999999999999</v>
      </c>
      <c r="H1348" s="26">
        <v>1.9800000000000002E-2</v>
      </c>
    </row>
    <row r="1349" spans="1:8" s="25" customFormat="1">
      <c r="A1349" s="25" t="s">
        <v>199</v>
      </c>
      <c r="B1349" s="25" t="s">
        <v>209</v>
      </c>
      <c r="C1349" s="25">
        <v>15</v>
      </c>
      <c r="D1349" s="25" t="s">
        <v>194</v>
      </c>
      <c r="E1349" s="25">
        <v>59</v>
      </c>
      <c r="F1349" s="26">
        <v>0.19470000000000001</v>
      </c>
      <c r="G1349" s="26">
        <v>0.48130000000000001</v>
      </c>
      <c r="H1349" s="26">
        <v>0.32390000000000002</v>
      </c>
    </row>
    <row r="1350" spans="1:8">
      <c r="A1350" t="s">
        <v>200</v>
      </c>
      <c r="B1350" t="s">
        <v>200</v>
      </c>
      <c r="C1350">
        <v>59</v>
      </c>
      <c r="D1350" t="s">
        <v>200</v>
      </c>
      <c r="E1350">
        <v>59</v>
      </c>
      <c r="F1350" s="3">
        <v>8.1299999999999997E-2</v>
      </c>
      <c r="G1350" s="3">
        <v>0.79269999999999996</v>
      </c>
      <c r="H1350" s="3">
        <v>0.126</v>
      </c>
    </row>
    <row r="1352" spans="1:8" ht="45">
      <c r="A1352" s="22" t="s">
        <v>442</v>
      </c>
    </row>
    <row r="1353" spans="1:8">
      <c r="A1353" t="s">
        <v>185</v>
      </c>
      <c r="B1353" t="s">
        <v>192</v>
      </c>
      <c r="C1353" t="s">
        <v>184</v>
      </c>
      <c r="D1353" t="s">
        <v>193</v>
      </c>
      <c r="E1353" t="s">
        <v>257</v>
      </c>
      <c r="F1353" t="s">
        <v>226</v>
      </c>
      <c r="G1353" t="s">
        <v>227</v>
      </c>
    </row>
    <row r="1354" spans="1:8">
      <c r="A1354" t="s">
        <v>195</v>
      </c>
      <c r="B1354">
        <v>34</v>
      </c>
      <c r="C1354" t="s">
        <v>194</v>
      </c>
      <c r="D1354">
        <v>59</v>
      </c>
      <c r="E1354" s="3">
        <v>2.1700000000000001E-2</v>
      </c>
      <c r="F1354" s="3">
        <v>0.88639999999999997</v>
      </c>
      <c r="G1354" s="3">
        <v>9.1899999999999996E-2</v>
      </c>
    </row>
    <row r="1355" spans="1:8" s="25" customFormat="1">
      <c r="A1355" s="25" t="s">
        <v>199</v>
      </c>
      <c r="B1355" s="25">
        <v>25</v>
      </c>
      <c r="C1355" s="25" t="s">
        <v>194</v>
      </c>
      <c r="D1355" s="25">
        <v>59</v>
      </c>
      <c r="E1355" s="26">
        <v>0.28439999999999999</v>
      </c>
      <c r="F1355" s="26">
        <v>0.47360000000000002</v>
      </c>
      <c r="G1355" s="26">
        <v>0.2419</v>
      </c>
    </row>
    <row r="1356" spans="1:8">
      <c r="A1356" t="s">
        <v>200</v>
      </c>
      <c r="B1356">
        <v>59</v>
      </c>
      <c r="C1356" t="s">
        <v>200</v>
      </c>
      <c r="D1356">
        <v>59</v>
      </c>
      <c r="E1356" s="3">
        <v>8.1299999999999997E-2</v>
      </c>
      <c r="F1356" s="3">
        <v>0.79269999999999996</v>
      </c>
      <c r="G1356" s="3">
        <v>0.126</v>
      </c>
    </row>
    <row r="1358" spans="1:8" ht="45">
      <c r="A1358" s="22" t="s">
        <v>443</v>
      </c>
    </row>
    <row r="1359" spans="1:8">
      <c r="A1359" t="s">
        <v>185</v>
      </c>
      <c r="B1359" t="s">
        <v>186</v>
      </c>
      <c r="C1359" t="s">
        <v>192</v>
      </c>
      <c r="D1359" t="s">
        <v>184</v>
      </c>
      <c r="E1359" t="s">
        <v>193</v>
      </c>
      <c r="F1359" t="s">
        <v>257</v>
      </c>
      <c r="G1359" t="s">
        <v>226</v>
      </c>
      <c r="H1359" t="s">
        <v>227</v>
      </c>
    </row>
    <row r="1360" spans="1:8" s="25" customFormat="1">
      <c r="A1360" s="25" t="s">
        <v>195</v>
      </c>
      <c r="B1360" s="25" t="s">
        <v>212</v>
      </c>
      <c r="C1360" s="25">
        <v>22</v>
      </c>
      <c r="D1360" s="25" t="s">
        <v>194</v>
      </c>
      <c r="E1360" s="25">
        <v>59</v>
      </c>
      <c r="F1360" s="26">
        <v>2.46E-2</v>
      </c>
      <c r="G1360" s="26">
        <v>0.87949999999999995</v>
      </c>
      <c r="H1360" s="26">
        <v>9.5799999999999996E-2</v>
      </c>
    </row>
    <row r="1361" spans="1:8" s="25" customFormat="1">
      <c r="A1361" s="25" t="s">
        <v>195</v>
      </c>
      <c r="B1361" s="25" t="s">
        <v>214</v>
      </c>
      <c r="C1361" s="25">
        <v>6</v>
      </c>
      <c r="D1361" s="25" t="s">
        <v>194</v>
      </c>
      <c r="E1361" s="25">
        <v>59</v>
      </c>
      <c r="G1361" s="26">
        <v>1</v>
      </c>
    </row>
    <row r="1362" spans="1:8" s="25" customFormat="1">
      <c r="A1362" s="25" t="s">
        <v>195</v>
      </c>
      <c r="B1362" s="25" t="s">
        <v>215</v>
      </c>
      <c r="C1362" s="25">
        <v>6</v>
      </c>
      <c r="D1362" s="25" t="s">
        <v>194</v>
      </c>
      <c r="E1362" s="25">
        <v>59</v>
      </c>
      <c r="F1362" s="26">
        <v>2.41E-2</v>
      </c>
      <c r="G1362" s="26">
        <v>0.79669999999999996</v>
      </c>
      <c r="H1362" s="26">
        <v>0.17910000000000001</v>
      </c>
    </row>
    <row r="1363" spans="1:8" s="25" customFormat="1">
      <c r="A1363" s="25" t="s">
        <v>199</v>
      </c>
      <c r="B1363" s="25" t="s">
        <v>212</v>
      </c>
      <c r="C1363" s="25">
        <v>17</v>
      </c>
      <c r="D1363" s="25" t="s">
        <v>194</v>
      </c>
      <c r="E1363" s="25">
        <v>59</v>
      </c>
      <c r="F1363" s="26">
        <v>0.34110000000000001</v>
      </c>
      <c r="G1363" s="26">
        <v>0.46039999999999998</v>
      </c>
      <c r="H1363" s="26">
        <v>0.19850000000000001</v>
      </c>
    </row>
    <row r="1364" spans="1:8" s="25" customFormat="1">
      <c r="A1364" s="25" t="s">
        <v>199</v>
      </c>
      <c r="B1364" s="25" t="s">
        <v>214</v>
      </c>
      <c r="C1364" s="25">
        <v>2</v>
      </c>
      <c r="D1364" s="25" t="s">
        <v>194</v>
      </c>
      <c r="E1364" s="25">
        <v>59</v>
      </c>
      <c r="H1364" s="26">
        <v>1</v>
      </c>
    </row>
    <row r="1365" spans="1:8" s="25" customFormat="1">
      <c r="A1365" s="25" t="s">
        <v>199</v>
      </c>
      <c r="B1365" s="25" t="s">
        <v>215</v>
      </c>
      <c r="C1365" s="25">
        <v>6</v>
      </c>
      <c r="D1365" s="25" t="s">
        <v>194</v>
      </c>
      <c r="E1365" s="25">
        <v>59</v>
      </c>
      <c r="G1365" s="26">
        <v>0.74590000000000001</v>
      </c>
      <c r="H1365" s="26">
        <v>0.25409999999999999</v>
      </c>
    </row>
    <row r="1366" spans="1:8">
      <c r="A1366" t="s">
        <v>200</v>
      </c>
      <c r="B1366" t="s">
        <v>200</v>
      </c>
      <c r="C1366">
        <v>59</v>
      </c>
      <c r="D1366" t="s">
        <v>200</v>
      </c>
      <c r="E1366">
        <v>59</v>
      </c>
      <c r="F1366" s="3">
        <v>8.1299999999999997E-2</v>
      </c>
      <c r="G1366" s="3">
        <v>0.79269999999999996</v>
      </c>
      <c r="H1366" s="3">
        <v>0.126</v>
      </c>
    </row>
    <row r="1368" spans="1:8" ht="45">
      <c r="A1368" s="22" t="s">
        <v>444</v>
      </c>
    </row>
    <row r="1369" spans="1:8">
      <c r="A1369" t="s">
        <v>185</v>
      </c>
      <c r="B1369" t="s">
        <v>186</v>
      </c>
      <c r="C1369" t="s">
        <v>192</v>
      </c>
      <c r="D1369" t="s">
        <v>184</v>
      </c>
      <c r="E1369" t="s">
        <v>193</v>
      </c>
      <c r="F1369" t="s">
        <v>257</v>
      </c>
      <c r="G1369" t="s">
        <v>226</v>
      </c>
      <c r="H1369" t="s">
        <v>227</v>
      </c>
    </row>
    <row r="1370" spans="1:8" s="25" customFormat="1">
      <c r="A1370" s="25" t="s">
        <v>195</v>
      </c>
      <c r="B1370" s="25" t="s">
        <v>217</v>
      </c>
      <c r="C1370" s="25">
        <v>13</v>
      </c>
      <c r="D1370" s="25" t="s">
        <v>194</v>
      </c>
      <c r="E1370" s="25">
        <v>59</v>
      </c>
      <c r="F1370" s="26">
        <v>4.48E-2</v>
      </c>
      <c r="G1370" s="26">
        <v>0.85860000000000003</v>
      </c>
      <c r="H1370" s="26">
        <v>9.6600000000000005E-2</v>
      </c>
    </row>
    <row r="1371" spans="1:8" s="25" customFormat="1">
      <c r="A1371" s="25" t="s">
        <v>195</v>
      </c>
      <c r="B1371" s="25" t="s">
        <v>219</v>
      </c>
      <c r="C1371" s="25">
        <v>15</v>
      </c>
      <c r="D1371" s="25" t="s">
        <v>194</v>
      </c>
      <c r="E1371" s="25">
        <v>59</v>
      </c>
      <c r="G1371" s="26">
        <v>0.94620000000000004</v>
      </c>
      <c r="H1371" s="26">
        <v>5.3800000000000001E-2</v>
      </c>
    </row>
    <row r="1372" spans="1:8" s="25" customFormat="1">
      <c r="A1372" s="25" t="s">
        <v>195</v>
      </c>
      <c r="B1372" s="25" t="s">
        <v>220</v>
      </c>
      <c r="C1372" s="25">
        <v>6</v>
      </c>
      <c r="D1372" s="25" t="s">
        <v>194</v>
      </c>
      <c r="E1372" s="25">
        <v>59</v>
      </c>
      <c r="F1372" s="26">
        <v>8.0999999999999996E-3</v>
      </c>
      <c r="G1372" s="26">
        <v>0.86499999999999999</v>
      </c>
      <c r="H1372" s="26">
        <v>0.12690000000000001</v>
      </c>
    </row>
    <row r="1373" spans="1:8" s="25" customFormat="1">
      <c r="A1373" s="25" t="s">
        <v>199</v>
      </c>
      <c r="B1373" s="25" t="s">
        <v>217</v>
      </c>
      <c r="C1373" s="25">
        <v>15</v>
      </c>
      <c r="D1373" s="25" t="s">
        <v>194</v>
      </c>
      <c r="E1373" s="25">
        <v>59</v>
      </c>
      <c r="F1373" s="26">
        <v>0.23449999999999999</v>
      </c>
      <c r="G1373" s="26">
        <v>0.44230000000000003</v>
      </c>
      <c r="H1373" s="26">
        <v>0.32329999999999998</v>
      </c>
    </row>
    <row r="1374" spans="1:8" s="25" customFormat="1">
      <c r="A1374" s="25" t="s">
        <v>199</v>
      </c>
      <c r="B1374" s="25" t="s">
        <v>219</v>
      </c>
      <c r="C1374" s="25">
        <v>10</v>
      </c>
      <c r="D1374" s="25" t="s">
        <v>194</v>
      </c>
      <c r="E1374" s="25">
        <v>59</v>
      </c>
      <c r="F1374" s="26">
        <v>0.36149999999999999</v>
      </c>
      <c r="G1374" s="26">
        <v>0.52200000000000002</v>
      </c>
      <c r="H1374" s="26">
        <v>0.1166</v>
      </c>
    </row>
    <row r="1375" spans="1:8">
      <c r="A1375" t="s">
        <v>200</v>
      </c>
      <c r="B1375" t="s">
        <v>200</v>
      </c>
      <c r="C1375">
        <v>59</v>
      </c>
      <c r="D1375" t="s">
        <v>200</v>
      </c>
      <c r="E1375">
        <v>59</v>
      </c>
      <c r="F1375" s="3">
        <v>8.1299999999999997E-2</v>
      </c>
      <c r="G1375" s="3">
        <v>0.79269999999999996</v>
      </c>
      <c r="H1375" s="3">
        <v>0.126</v>
      </c>
    </row>
    <row r="1377" spans="1:8" ht="45">
      <c r="A1377" s="22" t="s">
        <v>445</v>
      </c>
    </row>
    <row r="1378" spans="1:8">
      <c r="A1378" t="s">
        <v>185</v>
      </c>
      <c r="B1378" t="s">
        <v>186</v>
      </c>
      <c r="C1378" t="s">
        <v>192</v>
      </c>
      <c r="D1378" t="s">
        <v>184</v>
      </c>
      <c r="E1378" t="s">
        <v>193</v>
      </c>
      <c r="F1378" t="s">
        <v>446</v>
      </c>
      <c r="G1378" t="s">
        <v>447</v>
      </c>
      <c r="H1378" t="s">
        <v>448</v>
      </c>
    </row>
    <row r="1379" spans="1:8" s="25" customFormat="1">
      <c r="A1379" s="25" t="s">
        <v>195</v>
      </c>
      <c r="B1379" s="25" t="s">
        <v>196</v>
      </c>
      <c r="C1379" s="25">
        <v>1</v>
      </c>
      <c r="D1379" s="25" t="s">
        <v>194</v>
      </c>
      <c r="E1379" s="25">
        <v>11</v>
      </c>
      <c r="G1379" s="26">
        <v>1</v>
      </c>
    </row>
    <row r="1380" spans="1:8" s="25" customFormat="1">
      <c r="A1380" s="25" t="s">
        <v>195</v>
      </c>
      <c r="B1380" s="25" t="s">
        <v>198</v>
      </c>
      <c r="C1380" s="25">
        <v>3</v>
      </c>
      <c r="D1380" s="25" t="s">
        <v>194</v>
      </c>
      <c r="E1380" s="25">
        <v>11</v>
      </c>
      <c r="F1380" s="26">
        <v>1</v>
      </c>
    </row>
    <row r="1381" spans="1:8" s="25" customFormat="1">
      <c r="A1381" s="25" t="s">
        <v>199</v>
      </c>
      <c r="B1381" s="25" t="s">
        <v>196</v>
      </c>
      <c r="C1381" s="25">
        <v>1</v>
      </c>
      <c r="D1381" s="25" t="s">
        <v>194</v>
      </c>
      <c r="E1381" s="25">
        <v>11</v>
      </c>
      <c r="G1381" s="26">
        <v>1</v>
      </c>
    </row>
    <row r="1382" spans="1:8" s="25" customFormat="1">
      <c r="A1382" s="25" t="s">
        <v>199</v>
      </c>
      <c r="B1382" s="25" t="s">
        <v>198</v>
      </c>
      <c r="C1382" s="25">
        <v>6</v>
      </c>
      <c r="D1382" s="25" t="s">
        <v>194</v>
      </c>
      <c r="E1382" s="25">
        <v>11</v>
      </c>
      <c r="F1382" s="26">
        <v>0.25209999999999999</v>
      </c>
      <c r="G1382" s="26">
        <v>0.67349999999999999</v>
      </c>
      <c r="H1382" s="26">
        <v>7.4399999999999994E-2</v>
      </c>
    </row>
    <row r="1383" spans="1:8" s="25" customFormat="1">
      <c r="A1383" s="25" t="s">
        <v>200</v>
      </c>
      <c r="B1383" s="25" t="s">
        <v>200</v>
      </c>
      <c r="C1383" s="25">
        <v>11</v>
      </c>
      <c r="D1383" s="25" t="s">
        <v>200</v>
      </c>
      <c r="E1383" s="25">
        <v>11</v>
      </c>
      <c r="F1383" s="26">
        <v>0.6069</v>
      </c>
      <c r="G1383" s="26">
        <v>0.36180000000000001</v>
      </c>
      <c r="H1383" s="26">
        <v>3.1300000000000001E-2</v>
      </c>
    </row>
    <row r="1385" spans="1:8" ht="60">
      <c r="A1385" s="22" t="s">
        <v>449</v>
      </c>
    </row>
    <row r="1386" spans="1:8">
      <c r="A1386" t="s">
        <v>185</v>
      </c>
      <c r="B1386" t="s">
        <v>186</v>
      </c>
      <c r="C1386" t="s">
        <v>192</v>
      </c>
      <c r="D1386" t="s">
        <v>184</v>
      </c>
      <c r="E1386" t="s">
        <v>193</v>
      </c>
      <c r="F1386" t="s">
        <v>446</v>
      </c>
      <c r="G1386" t="s">
        <v>447</v>
      </c>
      <c r="H1386" t="s">
        <v>448</v>
      </c>
    </row>
    <row r="1387" spans="1:8" s="25" customFormat="1">
      <c r="A1387" s="25" t="s">
        <v>195</v>
      </c>
      <c r="B1387" s="25" t="s">
        <v>202</v>
      </c>
      <c r="C1387" s="25">
        <v>2</v>
      </c>
      <c r="D1387" s="25" t="s">
        <v>194</v>
      </c>
      <c r="E1387" s="25">
        <v>11</v>
      </c>
      <c r="F1387" s="26">
        <v>1</v>
      </c>
    </row>
    <row r="1388" spans="1:8" s="25" customFormat="1">
      <c r="A1388" s="25" t="s">
        <v>195</v>
      </c>
      <c r="B1388" s="25" t="s">
        <v>205</v>
      </c>
      <c r="C1388" s="25">
        <v>2</v>
      </c>
      <c r="D1388" s="25" t="s">
        <v>194</v>
      </c>
      <c r="E1388" s="25">
        <v>11</v>
      </c>
      <c r="F1388" s="26">
        <v>0.2666</v>
      </c>
      <c r="G1388" s="26">
        <v>0.73340000000000005</v>
      </c>
    </row>
    <row r="1389" spans="1:8" s="25" customFormat="1">
      <c r="A1389" s="25" t="s">
        <v>199</v>
      </c>
      <c r="B1389" s="25" t="s">
        <v>202</v>
      </c>
      <c r="C1389" s="25">
        <v>2</v>
      </c>
      <c r="D1389" s="25" t="s">
        <v>194</v>
      </c>
      <c r="E1389" s="25">
        <v>11</v>
      </c>
      <c r="G1389" s="26">
        <v>1</v>
      </c>
    </row>
    <row r="1390" spans="1:8" s="25" customFormat="1">
      <c r="A1390" s="25" t="s">
        <v>199</v>
      </c>
      <c r="B1390" s="25" t="s">
        <v>204</v>
      </c>
      <c r="C1390" s="25">
        <v>1</v>
      </c>
      <c r="D1390" s="25" t="s">
        <v>194</v>
      </c>
      <c r="E1390" s="25">
        <v>11</v>
      </c>
      <c r="F1390" s="26">
        <v>1</v>
      </c>
    </row>
    <row r="1391" spans="1:8" s="25" customFormat="1">
      <c r="A1391" s="25" t="s">
        <v>199</v>
      </c>
      <c r="B1391" s="25" t="s">
        <v>205</v>
      </c>
      <c r="C1391" s="25">
        <v>4</v>
      </c>
      <c r="D1391" s="25" t="s">
        <v>194</v>
      </c>
      <c r="E1391" s="25">
        <v>11</v>
      </c>
      <c r="F1391" s="26">
        <v>0.75309999999999999</v>
      </c>
      <c r="H1391" s="26">
        <v>0.24690000000000001</v>
      </c>
    </row>
    <row r="1392" spans="1:8" s="25" customFormat="1">
      <c r="A1392" s="25" t="s">
        <v>200</v>
      </c>
      <c r="B1392" s="25" t="s">
        <v>200</v>
      </c>
      <c r="C1392" s="25">
        <v>11</v>
      </c>
      <c r="D1392" s="25" t="s">
        <v>200</v>
      </c>
      <c r="E1392" s="25">
        <v>11</v>
      </c>
      <c r="F1392" s="26">
        <v>0.6069</v>
      </c>
      <c r="G1392" s="26">
        <v>0.36180000000000001</v>
      </c>
      <c r="H1392" s="26">
        <v>3.1300000000000001E-2</v>
      </c>
    </row>
    <row r="1394" spans="1:8" ht="60">
      <c r="A1394" s="22" t="s">
        <v>450</v>
      </c>
    </row>
    <row r="1395" spans="1:8">
      <c r="A1395" t="s">
        <v>185</v>
      </c>
      <c r="B1395" t="s">
        <v>186</v>
      </c>
      <c r="C1395" t="s">
        <v>192</v>
      </c>
      <c r="D1395" t="s">
        <v>184</v>
      </c>
      <c r="E1395" t="s">
        <v>193</v>
      </c>
      <c r="F1395" t="s">
        <v>446</v>
      </c>
      <c r="G1395" t="s">
        <v>447</v>
      </c>
      <c r="H1395" t="s">
        <v>448</v>
      </c>
    </row>
    <row r="1396" spans="1:8" s="25" customFormat="1">
      <c r="A1396" s="25" t="s">
        <v>195</v>
      </c>
      <c r="B1396" s="25" t="s">
        <v>207</v>
      </c>
      <c r="C1396" s="25">
        <v>1</v>
      </c>
      <c r="D1396" s="25" t="s">
        <v>194</v>
      </c>
      <c r="E1396" s="25">
        <v>11</v>
      </c>
      <c r="G1396" s="26">
        <v>1</v>
      </c>
    </row>
    <row r="1397" spans="1:8" s="25" customFormat="1">
      <c r="A1397" s="25" t="s">
        <v>195</v>
      </c>
      <c r="B1397" s="25" t="s">
        <v>209</v>
      </c>
      <c r="C1397" s="25">
        <v>3</v>
      </c>
      <c r="D1397" s="25" t="s">
        <v>194</v>
      </c>
      <c r="E1397" s="25">
        <v>11</v>
      </c>
      <c r="F1397" s="26">
        <v>1</v>
      </c>
    </row>
    <row r="1398" spans="1:8" s="25" customFormat="1">
      <c r="A1398" s="25" t="s">
        <v>199</v>
      </c>
      <c r="B1398" s="25" t="s">
        <v>207</v>
      </c>
      <c r="C1398" s="25">
        <v>1</v>
      </c>
      <c r="D1398" s="25" t="s">
        <v>194</v>
      </c>
      <c r="E1398" s="25">
        <v>11</v>
      </c>
      <c r="F1398" s="26">
        <v>1</v>
      </c>
    </row>
    <row r="1399" spans="1:8" s="25" customFormat="1">
      <c r="A1399" s="25" t="s">
        <v>199</v>
      </c>
      <c r="B1399" s="25" t="s">
        <v>209</v>
      </c>
      <c r="C1399" s="25">
        <v>6</v>
      </c>
      <c r="D1399" s="25" t="s">
        <v>194</v>
      </c>
      <c r="E1399" s="25">
        <v>11</v>
      </c>
      <c r="F1399" s="26">
        <v>0.20319999999999999</v>
      </c>
      <c r="G1399" s="26">
        <v>0.73019999999999996</v>
      </c>
      <c r="H1399" s="26">
        <v>6.6600000000000006E-2</v>
      </c>
    </row>
    <row r="1400" spans="1:8" s="25" customFormat="1">
      <c r="A1400" s="25" t="s">
        <v>200</v>
      </c>
      <c r="B1400" s="25" t="s">
        <v>200</v>
      </c>
      <c r="C1400" s="25">
        <v>11</v>
      </c>
      <c r="D1400" s="25" t="s">
        <v>200</v>
      </c>
      <c r="E1400" s="25">
        <v>11</v>
      </c>
      <c r="F1400" s="26">
        <v>0.6069</v>
      </c>
      <c r="G1400" s="26">
        <v>0.36180000000000001</v>
      </c>
      <c r="H1400" s="26">
        <v>3.1300000000000001E-2</v>
      </c>
    </row>
    <row r="1402" spans="1:8" ht="60">
      <c r="A1402" s="22" t="s">
        <v>451</v>
      </c>
    </row>
    <row r="1403" spans="1:8">
      <c r="A1403" t="s">
        <v>185</v>
      </c>
      <c r="B1403" t="s">
        <v>192</v>
      </c>
      <c r="C1403" t="s">
        <v>184</v>
      </c>
      <c r="D1403" t="s">
        <v>193</v>
      </c>
      <c r="E1403" t="s">
        <v>446</v>
      </c>
      <c r="F1403" t="s">
        <v>447</v>
      </c>
      <c r="G1403" t="s">
        <v>448</v>
      </c>
    </row>
    <row r="1404" spans="1:8" s="25" customFormat="1">
      <c r="A1404" s="25" t="s">
        <v>195</v>
      </c>
      <c r="B1404" s="25">
        <v>4</v>
      </c>
      <c r="C1404" s="25" t="s">
        <v>194</v>
      </c>
      <c r="D1404" s="25">
        <v>11</v>
      </c>
      <c r="E1404" s="26">
        <v>0.96360000000000001</v>
      </c>
      <c r="F1404" s="26">
        <v>3.6400000000000002E-2</v>
      </c>
    </row>
    <row r="1405" spans="1:8" s="25" customFormat="1">
      <c r="A1405" s="25" t="s">
        <v>199</v>
      </c>
      <c r="B1405" s="25">
        <v>7</v>
      </c>
      <c r="C1405" s="25" t="s">
        <v>194</v>
      </c>
      <c r="D1405" s="25">
        <v>11</v>
      </c>
      <c r="E1405" s="26">
        <v>0.22070000000000001</v>
      </c>
      <c r="F1405" s="26">
        <v>0.71409999999999996</v>
      </c>
      <c r="G1405" s="26">
        <v>6.5100000000000005E-2</v>
      </c>
    </row>
    <row r="1406" spans="1:8" s="25" customFormat="1">
      <c r="A1406" s="25" t="s">
        <v>200</v>
      </c>
      <c r="B1406" s="25">
        <v>11</v>
      </c>
      <c r="C1406" s="25" t="s">
        <v>200</v>
      </c>
      <c r="D1406" s="25">
        <v>11</v>
      </c>
      <c r="E1406" s="26">
        <v>0.6069</v>
      </c>
      <c r="F1406" s="26">
        <v>0.36180000000000001</v>
      </c>
      <c r="G1406" s="26">
        <v>3.1300000000000001E-2</v>
      </c>
    </row>
    <row r="1408" spans="1:8" ht="45">
      <c r="A1408" s="22" t="s">
        <v>452</v>
      </c>
    </row>
    <row r="1409" spans="1:8">
      <c r="A1409" t="s">
        <v>185</v>
      </c>
      <c r="B1409" t="s">
        <v>186</v>
      </c>
      <c r="C1409" t="s">
        <v>192</v>
      </c>
      <c r="D1409" t="s">
        <v>184</v>
      </c>
      <c r="E1409" t="s">
        <v>193</v>
      </c>
      <c r="F1409" t="s">
        <v>446</v>
      </c>
      <c r="G1409" t="s">
        <v>447</v>
      </c>
      <c r="H1409" t="s">
        <v>448</v>
      </c>
    </row>
    <row r="1410" spans="1:8" s="25" customFormat="1">
      <c r="A1410" s="25" t="s">
        <v>195</v>
      </c>
      <c r="B1410" s="25" t="s">
        <v>212</v>
      </c>
      <c r="C1410" s="25">
        <v>3</v>
      </c>
      <c r="D1410" s="25" t="s">
        <v>194</v>
      </c>
      <c r="E1410" s="25">
        <v>11</v>
      </c>
      <c r="F1410" s="26">
        <v>0.96309999999999996</v>
      </c>
      <c r="G1410" s="26">
        <v>3.6900000000000002E-2</v>
      </c>
    </row>
    <row r="1411" spans="1:8" s="25" customFormat="1">
      <c r="A1411" s="25" t="s">
        <v>195</v>
      </c>
      <c r="B1411" s="25" t="s">
        <v>215</v>
      </c>
      <c r="C1411" s="25">
        <v>1</v>
      </c>
      <c r="D1411" s="25" t="s">
        <v>194</v>
      </c>
      <c r="E1411" s="25">
        <v>11</v>
      </c>
      <c r="F1411" s="26">
        <v>1</v>
      </c>
    </row>
    <row r="1412" spans="1:8" s="25" customFormat="1">
      <c r="A1412" s="25" t="s">
        <v>199</v>
      </c>
      <c r="B1412" s="25" t="s">
        <v>212</v>
      </c>
      <c r="C1412" s="25">
        <v>3</v>
      </c>
      <c r="D1412" s="25" t="s">
        <v>194</v>
      </c>
      <c r="E1412" s="25">
        <v>11</v>
      </c>
      <c r="F1412" s="26">
        <v>0.1381</v>
      </c>
      <c r="G1412" s="26">
        <v>0.8619</v>
      </c>
    </row>
    <row r="1413" spans="1:8" s="25" customFormat="1">
      <c r="A1413" s="25" t="s">
        <v>199</v>
      </c>
      <c r="B1413" s="25" t="s">
        <v>214</v>
      </c>
      <c r="C1413" s="25">
        <v>2</v>
      </c>
      <c r="D1413" s="25" t="s">
        <v>194</v>
      </c>
      <c r="E1413" s="25">
        <v>11</v>
      </c>
      <c r="G1413" s="26">
        <v>0.65629999999999999</v>
      </c>
      <c r="H1413" s="26">
        <v>0.34370000000000001</v>
      </c>
    </row>
    <row r="1414" spans="1:8" s="25" customFormat="1">
      <c r="A1414" s="25" t="s">
        <v>199</v>
      </c>
      <c r="B1414" s="25" t="s">
        <v>215</v>
      </c>
      <c r="C1414" s="25">
        <v>2</v>
      </c>
      <c r="D1414" s="25" t="s">
        <v>194</v>
      </c>
      <c r="E1414" s="25">
        <v>11</v>
      </c>
      <c r="F1414" s="26">
        <v>1</v>
      </c>
    </row>
    <row r="1415" spans="1:8" s="25" customFormat="1">
      <c r="A1415" s="25" t="s">
        <v>200</v>
      </c>
      <c r="B1415" s="25" t="s">
        <v>200</v>
      </c>
      <c r="C1415" s="25">
        <v>11</v>
      </c>
      <c r="D1415" s="25" t="s">
        <v>200</v>
      </c>
      <c r="E1415" s="25">
        <v>11</v>
      </c>
      <c r="F1415" s="26">
        <v>0.6069</v>
      </c>
      <c r="G1415" s="26">
        <v>0.36180000000000001</v>
      </c>
      <c r="H1415" s="26">
        <v>3.1300000000000001E-2</v>
      </c>
    </row>
    <row r="1417" spans="1:8" ht="60">
      <c r="A1417" s="22" t="s">
        <v>453</v>
      </c>
    </row>
    <row r="1418" spans="1:8">
      <c r="A1418" t="s">
        <v>185</v>
      </c>
      <c r="B1418" t="s">
        <v>186</v>
      </c>
      <c r="C1418" t="s">
        <v>192</v>
      </c>
      <c r="D1418" t="s">
        <v>184</v>
      </c>
      <c r="E1418" t="s">
        <v>193</v>
      </c>
      <c r="F1418" t="s">
        <v>446</v>
      </c>
      <c r="G1418" t="s">
        <v>447</v>
      </c>
      <c r="H1418" t="s">
        <v>448</v>
      </c>
    </row>
    <row r="1419" spans="1:8" s="25" customFormat="1">
      <c r="A1419" s="25" t="s">
        <v>195</v>
      </c>
      <c r="B1419" s="25" t="s">
        <v>217</v>
      </c>
      <c r="C1419" s="25">
        <v>2</v>
      </c>
      <c r="D1419" s="25" t="s">
        <v>194</v>
      </c>
      <c r="E1419" s="25">
        <v>11</v>
      </c>
      <c r="F1419" s="26">
        <v>0.9335</v>
      </c>
      <c r="G1419" s="26">
        <v>6.6500000000000004E-2</v>
      </c>
    </row>
    <row r="1420" spans="1:8" s="25" customFormat="1">
      <c r="A1420" s="25" t="s">
        <v>195</v>
      </c>
      <c r="B1420" s="25" t="s">
        <v>219</v>
      </c>
      <c r="C1420" s="25">
        <v>1</v>
      </c>
      <c r="D1420" s="25" t="s">
        <v>194</v>
      </c>
      <c r="E1420" s="25">
        <v>11</v>
      </c>
      <c r="F1420" s="26">
        <v>1</v>
      </c>
    </row>
    <row r="1421" spans="1:8" s="25" customFormat="1">
      <c r="A1421" s="25" t="s">
        <v>195</v>
      </c>
      <c r="B1421" s="25" t="s">
        <v>220</v>
      </c>
      <c r="C1421" s="25">
        <v>1</v>
      </c>
      <c r="D1421" s="25" t="s">
        <v>194</v>
      </c>
      <c r="E1421" s="25">
        <v>11</v>
      </c>
      <c r="F1421" s="26">
        <v>1</v>
      </c>
    </row>
    <row r="1422" spans="1:8" s="25" customFormat="1">
      <c r="A1422" s="25" t="s">
        <v>199</v>
      </c>
      <c r="B1422" s="25" t="s">
        <v>217</v>
      </c>
      <c r="C1422" s="25">
        <v>5</v>
      </c>
      <c r="D1422" s="25" t="s">
        <v>194</v>
      </c>
      <c r="E1422" s="25">
        <v>11</v>
      </c>
      <c r="F1422" s="26">
        <v>0.27239999999999998</v>
      </c>
      <c r="G1422" s="26">
        <v>0.72760000000000002</v>
      </c>
    </row>
    <row r="1423" spans="1:8" s="25" customFormat="1">
      <c r="A1423" s="25" t="s">
        <v>199</v>
      </c>
      <c r="B1423" s="25" t="s">
        <v>219</v>
      </c>
      <c r="C1423" s="25">
        <v>2</v>
      </c>
      <c r="D1423" s="25" t="s">
        <v>194</v>
      </c>
      <c r="E1423" s="25">
        <v>11</v>
      </c>
      <c r="G1423" s="26">
        <v>0.65629999999999999</v>
      </c>
      <c r="H1423" s="26">
        <v>0.34370000000000001</v>
      </c>
    </row>
    <row r="1424" spans="1:8" s="25" customFormat="1">
      <c r="A1424" s="25" t="s">
        <v>200</v>
      </c>
      <c r="B1424" s="25" t="s">
        <v>200</v>
      </c>
      <c r="C1424" s="25">
        <v>11</v>
      </c>
      <c r="D1424" s="25" t="s">
        <v>200</v>
      </c>
      <c r="E1424" s="25">
        <v>11</v>
      </c>
      <c r="F1424" s="26">
        <v>0.6069</v>
      </c>
      <c r="G1424" s="26">
        <v>0.36180000000000001</v>
      </c>
      <c r="H1424" s="26">
        <v>3.1300000000000001E-2</v>
      </c>
    </row>
    <row r="1426" spans="1:20" ht="45">
      <c r="A1426" s="22" t="s">
        <v>454</v>
      </c>
    </row>
    <row r="1427" spans="1:20">
      <c r="A1427" t="s">
        <v>185</v>
      </c>
      <c r="B1427" t="s">
        <v>186</v>
      </c>
      <c r="C1427" t="s">
        <v>192</v>
      </c>
      <c r="D1427" t="s">
        <v>184</v>
      </c>
      <c r="E1427" t="s">
        <v>193</v>
      </c>
      <c r="F1427" t="s">
        <v>455</v>
      </c>
      <c r="G1427" t="s">
        <v>456</v>
      </c>
      <c r="H1427" t="s">
        <v>457</v>
      </c>
      <c r="I1427" t="s">
        <v>257</v>
      </c>
      <c r="J1427" t="s">
        <v>458</v>
      </c>
      <c r="K1427" t="s">
        <v>459</v>
      </c>
      <c r="L1427" t="s">
        <v>329</v>
      </c>
      <c r="M1427" t="s">
        <v>274</v>
      </c>
      <c r="N1427" t="s">
        <v>247</v>
      </c>
      <c r="O1427" t="s">
        <v>460</v>
      </c>
      <c r="P1427" t="s">
        <v>461</v>
      </c>
      <c r="Q1427" t="s">
        <v>462</v>
      </c>
      <c r="R1427" t="s">
        <v>463</v>
      </c>
      <c r="S1427" t="s">
        <v>464</v>
      </c>
      <c r="T1427" t="s">
        <v>465</v>
      </c>
    </row>
    <row r="1428" spans="1:20">
      <c r="A1428" t="s">
        <v>195</v>
      </c>
      <c r="B1428" t="s">
        <v>196</v>
      </c>
      <c r="C1428">
        <v>335</v>
      </c>
      <c r="D1428" t="s">
        <v>194</v>
      </c>
      <c r="E1428">
        <v>2142</v>
      </c>
      <c r="F1428" s="3">
        <v>0.31740000000000002</v>
      </c>
      <c r="G1428" s="3">
        <v>0.19270000000000001</v>
      </c>
      <c r="H1428" s="3">
        <v>2.5999999999999999E-3</v>
      </c>
      <c r="J1428" s="3">
        <v>6.9599999999999995E-2</v>
      </c>
      <c r="K1428" s="3">
        <v>5.74E-2</v>
      </c>
      <c r="L1428" s="3">
        <v>0.52590000000000003</v>
      </c>
      <c r="M1428" s="3">
        <v>2.7000000000000001E-3</v>
      </c>
      <c r="O1428" s="3">
        <v>1.9E-2</v>
      </c>
      <c r="P1428" s="3">
        <v>2.81E-2</v>
      </c>
      <c r="Q1428" s="3">
        <v>2.5000000000000001E-3</v>
      </c>
      <c r="R1428" s="3">
        <v>3.32E-2</v>
      </c>
      <c r="S1428" s="3">
        <v>9.1499999999999998E-2</v>
      </c>
      <c r="T1428" s="3">
        <v>0.1133</v>
      </c>
    </row>
    <row r="1429" spans="1:20">
      <c r="A1429" t="s">
        <v>195</v>
      </c>
      <c r="B1429" t="s">
        <v>198</v>
      </c>
      <c r="C1429">
        <v>591</v>
      </c>
      <c r="D1429" t="s">
        <v>194</v>
      </c>
      <c r="E1429">
        <v>2142</v>
      </c>
      <c r="F1429" s="3">
        <v>0.28239999999999998</v>
      </c>
      <c r="G1429" s="3">
        <v>0.14269999999999999</v>
      </c>
      <c r="H1429" s="3">
        <v>2.24E-2</v>
      </c>
      <c r="I1429" s="3">
        <v>3.0000000000000001E-3</v>
      </c>
      <c r="J1429" s="3">
        <v>2.3099999999999999E-2</v>
      </c>
      <c r="K1429" s="3">
        <v>1E-4</v>
      </c>
      <c r="L1429" s="3">
        <v>0.6179</v>
      </c>
      <c r="M1429" s="3">
        <v>4.0000000000000002E-4</v>
      </c>
      <c r="O1429" s="3">
        <v>5.7999999999999996E-3</v>
      </c>
      <c r="P1429" s="3">
        <v>1.21E-2</v>
      </c>
      <c r="Q1429" s="3">
        <v>7.4999999999999997E-3</v>
      </c>
      <c r="R1429" s="3">
        <v>3.3799999999999997E-2</v>
      </c>
      <c r="S1429" s="3">
        <v>6.0499999999999998E-2</v>
      </c>
      <c r="T1429" s="3">
        <v>1.66E-2</v>
      </c>
    </row>
    <row r="1430" spans="1:20">
      <c r="A1430" t="s">
        <v>199</v>
      </c>
      <c r="B1430" t="s">
        <v>196</v>
      </c>
      <c r="C1430">
        <v>420</v>
      </c>
      <c r="D1430" t="s">
        <v>194</v>
      </c>
      <c r="E1430">
        <v>2142</v>
      </c>
      <c r="F1430" s="3">
        <v>0.26939999999999997</v>
      </c>
      <c r="G1430" s="3">
        <v>0.1787</v>
      </c>
      <c r="H1430" s="3">
        <v>1.5E-3</v>
      </c>
      <c r="I1430" s="3">
        <v>3.3999999999999998E-3</v>
      </c>
      <c r="J1430" s="3">
        <v>8.5000000000000006E-2</v>
      </c>
      <c r="K1430" s="3">
        <v>6.2600000000000003E-2</v>
      </c>
      <c r="L1430" s="3">
        <v>0.54179999999999995</v>
      </c>
      <c r="M1430" s="3">
        <v>1.4800000000000001E-2</v>
      </c>
      <c r="O1430" s="3">
        <v>8.6999999999999994E-3</v>
      </c>
      <c r="P1430" s="3">
        <v>1.8100000000000002E-2</v>
      </c>
      <c r="Q1430" s="3">
        <v>2.9999999999999997E-4</v>
      </c>
      <c r="R1430" s="3">
        <v>3.5400000000000001E-2</v>
      </c>
      <c r="S1430" s="3">
        <v>7.7499999999999999E-2</v>
      </c>
      <c r="T1430" s="3">
        <v>0.11600000000000001</v>
      </c>
    </row>
    <row r="1431" spans="1:20">
      <c r="A1431" t="s">
        <v>199</v>
      </c>
      <c r="B1431" t="s">
        <v>198</v>
      </c>
      <c r="C1431">
        <v>766</v>
      </c>
      <c r="D1431" t="s">
        <v>194</v>
      </c>
      <c r="E1431">
        <v>2142</v>
      </c>
      <c r="F1431" s="3">
        <v>0.26650000000000001</v>
      </c>
      <c r="G1431" s="3">
        <v>0.1633</v>
      </c>
      <c r="H1431" s="3">
        <v>6.9999999999999999E-4</v>
      </c>
      <c r="I1431" s="3">
        <v>5.9999999999999995E-4</v>
      </c>
      <c r="J1431" s="3">
        <v>8.0000000000000002E-3</v>
      </c>
      <c r="K1431" s="3">
        <v>7.7000000000000002E-3</v>
      </c>
      <c r="L1431" s="3">
        <v>0.64249999999999996</v>
      </c>
      <c r="M1431" s="3">
        <v>1.77E-2</v>
      </c>
      <c r="N1431" s="3">
        <v>1.4E-3</v>
      </c>
      <c r="O1431" s="3">
        <v>7.7999999999999996E-3</v>
      </c>
      <c r="P1431" s="3">
        <v>2.06E-2</v>
      </c>
      <c r="Q1431" s="3">
        <v>7.1999999999999998E-3</v>
      </c>
      <c r="R1431" s="3">
        <v>2.47E-2</v>
      </c>
      <c r="S1431" s="3">
        <v>8.1100000000000005E-2</v>
      </c>
      <c r="T1431" s="3">
        <v>1.0999999999999999E-2</v>
      </c>
    </row>
    <row r="1432" spans="1:20">
      <c r="A1432" t="s">
        <v>200</v>
      </c>
      <c r="B1432" t="s">
        <v>200</v>
      </c>
      <c r="C1432">
        <v>2142</v>
      </c>
      <c r="D1432" t="s">
        <v>200</v>
      </c>
      <c r="E1432">
        <v>2142</v>
      </c>
      <c r="F1432" s="3">
        <v>0.27710000000000001</v>
      </c>
      <c r="G1432" s="3">
        <v>0.16120000000000001</v>
      </c>
      <c r="H1432" s="3">
        <v>8.0000000000000002E-3</v>
      </c>
      <c r="I1432" s="3">
        <v>1.6000000000000001E-3</v>
      </c>
      <c r="J1432" s="3">
        <v>2.7900000000000001E-2</v>
      </c>
      <c r="K1432" s="3">
        <v>1.66E-2</v>
      </c>
      <c r="L1432" s="3">
        <v>0.61160000000000003</v>
      </c>
      <c r="M1432" s="3">
        <v>0.01</v>
      </c>
      <c r="N1432" s="3">
        <v>5.9999999999999995E-4</v>
      </c>
      <c r="O1432" s="3">
        <v>8.5000000000000006E-3</v>
      </c>
      <c r="P1432" s="3">
        <v>1.84E-2</v>
      </c>
      <c r="Q1432" s="3">
        <v>6.0000000000000001E-3</v>
      </c>
      <c r="R1432" s="3">
        <v>2.9700000000000001E-2</v>
      </c>
      <c r="S1432" s="3">
        <v>7.5200000000000003E-2</v>
      </c>
      <c r="T1432" s="3">
        <v>3.5499999999999997E-2</v>
      </c>
    </row>
    <row r="1434" spans="1:20" ht="45">
      <c r="A1434" s="22" t="s">
        <v>466</v>
      </c>
    </row>
    <row r="1435" spans="1:20">
      <c r="A1435" t="s">
        <v>185</v>
      </c>
      <c r="B1435" t="s">
        <v>186</v>
      </c>
      <c r="C1435" t="s">
        <v>192</v>
      </c>
      <c r="D1435" t="s">
        <v>184</v>
      </c>
      <c r="E1435" t="s">
        <v>193</v>
      </c>
      <c r="F1435" t="s">
        <v>455</v>
      </c>
      <c r="G1435" t="s">
        <v>456</v>
      </c>
      <c r="H1435" t="s">
        <v>457</v>
      </c>
      <c r="I1435" t="s">
        <v>257</v>
      </c>
      <c r="J1435" t="s">
        <v>458</v>
      </c>
      <c r="K1435" t="s">
        <v>459</v>
      </c>
      <c r="L1435" t="s">
        <v>329</v>
      </c>
      <c r="M1435" t="s">
        <v>274</v>
      </c>
      <c r="N1435" t="s">
        <v>247</v>
      </c>
      <c r="O1435" t="s">
        <v>460</v>
      </c>
      <c r="P1435" t="s">
        <v>461</v>
      </c>
      <c r="Q1435" t="s">
        <v>462</v>
      </c>
      <c r="R1435" t="s">
        <v>463</v>
      </c>
      <c r="S1435" t="s">
        <v>464</v>
      </c>
      <c r="T1435" t="s">
        <v>465</v>
      </c>
    </row>
    <row r="1436" spans="1:20">
      <c r="A1436" t="s">
        <v>195</v>
      </c>
      <c r="B1436" t="s">
        <v>202</v>
      </c>
      <c r="C1436">
        <v>439</v>
      </c>
      <c r="D1436" t="s">
        <v>194</v>
      </c>
      <c r="E1436">
        <v>2142</v>
      </c>
      <c r="F1436" s="3">
        <v>0.30980000000000002</v>
      </c>
      <c r="G1436" s="3">
        <v>0.18340000000000001</v>
      </c>
      <c r="H1436" s="3">
        <v>1.14E-2</v>
      </c>
      <c r="I1436" s="3">
        <v>1.5E-3</v>
      </c>
      <c r="J1436" s="3">
        <v>1.9300000000000001E-2</v>
      </c>
      <c r="K1436" s="3">
        <v>1.4800000000000001E-2</v>
      </c>
      <c r="L1436" s="3">
        <v>0.58260000000000001</v>
      </c>
      <c r="M1436" s="3">
        <v>2.0000000000000001E-4</v>
      </c>
      <c r="O1436" s="3">
        <v>6.7999999999999996E-3</v>
      </c>
      <c r="P1436" s="3">
        <v>1.32E-2</v>
      </c>
      <c r="Q1436" s="3">
        <v>9.2999999999999992E-3</v>
      </c>
      <c r="R1436" s="3">
        <v>4.0500000000000001E-2</v>
      </c>
      <c r="S1436" s="3">
        <v>7.1900000000000006E-2</v>
      </c>
      <c r="T1436" s="3">
        <v>3.3700000000000001E-2</v>
      </c>
    </row>
    <row r="1437" spans="1:20">
      <c r="A1437" t="s">
        <v>195</v>
      </c>
      <c r="B1437" t="s">
        <v>204</v>
      </c>
      <c r="C1437">
        <v>236</v>
      </c>
      <c r="D1437" t="s">
        <v>194</v>
      </c>
      <c r="E1437">
        <v>2142</v>
      </c>
      <c r="F1437" s="3">
        <v>0.1978</v>
      </c>
      <c r="G1437" s="3">
        <v>5.2999999999999999E-2</v>
      </c>
      <c r="H1437" s="3">
        <v>4.4699999999999997E-2</v>
      </c>
      <c r="I1437" s="3">
        <v>6.0000000000000001E-3</v>
      </c>
      <c r="J1437" s="3">
        <v>5.4300000000000001E-2</v>
      </c>
      <c r="K1437" s="3">
        <v>2.1000000000000001E-2</v>
      </c>
      <c r="L1437" s="3">
        <v>0.64070000000000005</v>
      </c>
      <c r="O1437" s="3">
        <v>2.0400000000000001E-2</v>
      </c>
      <c r="P1437" s="3">
        <v>7.7000000000000002E-3</v>
      </c>
      <c r="R1437" s="3">
        <v>2.1700000000000001E-2</v>
      </c>
      <c r="S1437" s="3">
        <v>7.3700000000000002E-2</v>
      </c>
      <c r="T1437" s="3">
        <v>6.0499999999999998E-2</v>
      </c>
    </row>
    <row r="1438" spans="1:20">
      <c r="A1438" t="s">
        <v>195</v>
      </c>
      <c r="B1438" t="s">
        <v>205</v>
      </c>
      <c r="C1438">
        <v>251</v>
      </c>
      <c r="D1438" t="s">
        <v>194</v>
      </c>
      <c r="E1438">
        <v>2142</v>
      </c>
      <c r="F1438" s="3">
        <v>0.33960000000000001</v>
      </c>
      <c r="G1438" s="3">
        <v>0.17130000000000001</v>
      </c>
      <c r="H1438" s="3">
        <v>5.0000000000000001E-3</v>
      </c>
      <c r="J1438" s="3">
        <v>8.6999999999999994E-2</v>
      </c>
      <c r="K1438" s="3">
        <v>1.0200000000000001E-2</v>
      </c>
      <c r="L1438" s="3">
        <v>0.57789999999999997</v>
      </c>
      <c r="M1438" s="3">
        <v>6.1000000000000004E-3</v>
      </c>
      <c r="O1438" s="3">
        <v>5.4999999999999997E-3</v>
      </c>
      <c r="P1438" s="3">
        <v>4.4400000000000002E-2</v>
      </c>
      <c r="R1438" s="3">
        <v>1.78E-2</v>
      </c>
      <c r="S1438" s="3">
        <v>4.6399999999999997E-2</v>
      </c>
      <c r="T1438" s="3">
        <v>5.8000000000000003E-2</v>
      </c>
    </row>
    <row r="1439" spans="1:20">
      <c r="A1439" t="s">
        <v>199</v>
      </c>
      <c r="B1439" t="s">
        <v>202</v>
      </c>
      <c r="C1439">
        <v>444</v>
      </c>
      <c r="D1439" t="s">
        <v>194</v>
      </c>
      <c r="E1439">
        <v>2142</v>
      </c>
      <c r="F1439" s="3">
        <v>0.29609999999999997</v>
      </c>
      <c r="G1439" s="3">
        <v>0.21629999999999999</v>
      </c>
      <c r="H1439" s="3">
        <v>1.2999999999999999E-3</v>
      </c>
      <c r="I1439" s="3">
        <v>6.9999999999999999E-4</v>
      </c>
      <c r="J1439" s="3">
        <v>2.6599999999999999E-2</v>
      </c>
      <c r="K1439" s="3">
        <v>2.1499999999999998E-2</v>
      </c>
      <c r="L1439" s="3">
        <v>0.59189999999999998</v>
      </c>
      <c r="M1439" s="3">
        <v>1.38E-2</v>
      </c>
      <c r="N1439" s="3">
        <v>1.8E-3</v>
      </c>
      <c r="O1439" s="3">
        <v>1.0500000000000001E-2</v>
      </c>
      <c r="P1439" s="3">
        <v>2E-3</v>
      </c>
      <c r="Q1439" s="3">
        <v>9.2999999999999992E-3</v>
      </c>
      <c r="R1439" s="3">
        <v>2.1499999999999998E-2</v>
      </c>
      <c r="S1439" s="3">
        <v>0.1023</v>
      </c>
      <c r="T1439" s="3">
        <v>3.3099999999999997E-2</v>
      </c>
    </row>
    <row r="1440" spans="1:20">
      <c r="A1440" t="s">
        <v>199</v>
      </c>
      <c r="B1440" t="s">
        <v>204</v>
      </c>
      <c r="C1440">
        <v>346</v>
      </c>
      <c r="D1440" t="s">
        <v>194</v>
      </c>
      <c r="E1440">
        <v>2142</v>
      </c>
      <c r="F1440" s="3">
        <v>0.2571</v>
      </c>
      <c r="G1440" s="3">
        <v>0.09</v>
      </c>
      <c r="J1440" s="3">
        <v>1.7899999999999999E-2</v>
      </c>
      <c r="K1440" s="3">
        <v>1.14E-2</v>
      </c>
      <c r="L1440" s="3">
        <v>0.69240000000000002</v>
      </c>
      <c r="M1440" s="3">
        <v>5.0000000000000001E-3</v>
      </c>
      <c r="O1440" s="3">
        <v>3.3E-3</v>
      </c>
      <c r="P1440" s="3">
        <v>7.7000000000000002E-3</v>
      </c>
      <c r="Q1440" s="3">
        <v>6.9999999999999999E-4</v>
      </c>
      <c r="R1440" s="3">
        <v>2.4299999999999999E-2</v>
      </c>
      <c r="S1440" s="3">
        <v>4.6300000000000001E-2</v>
      </c>
      <c r="T1440" s="3">
        <v>2.93E-2</v>
      </c>
    </row>
    <row r="1441" spans="1:20">
      <c r="A1441" t="s">
        <v>199</v>
      </c>
      <c r="B1441" t="s">
        <v>205</v>
      </c>
      <c r="C1441">
        <v>396</v>
      </c>
      <c r="D1441" t="s">
        <v>194</v>
      </c>
      <c r="E1441">
        <v>2142</v>
      </c>
      <c r="F1441" s="3">
        <v>0.17799999999999999</v>
      </c>
      <c r="G1441" s="3">
        <v>7.4399999999999994E-2</v>
      </c>
      <c r="I1441" s="3">
        <v>3.5000000000000001E-3</v>
      </c>
      <c r="J1441" s="3">
        <v>1.0500000000000001E-2</v>
      </c>
      <c r="K1441" s="3">
        <v>1.15E-2</v>
      </c>
      <c r="L1441" s="3">
        <v>0.66259999999999997</v>
      </c>
      <c r="M1441" s="3">
        <v>4.1399999999999999E-2</v>
      </c>
      <c r="O1441" s="3">
        <v>4.1999999999999997E-3</v>
      </c>
      <c r="P1441" s="3">
        <v>9.5100000000000004E-2</v>
      </c>
      <c r="R1441" s="3">
        <v>4.7E-2</v>
      </c>
      <c r="S1441" s="3">
        <v>4.1799999999999997E-2</v>
      </c>
      <c r="T1441" s="3">
        <v>2.0799999999999999E-2</v>
      </c>
    </row>
    <row r="1442" spans="1:20">
      <c r="A1442" t="s">
        <v>200</v>
      </c>
      <c r="B1442" t="s">
        <v>200</v>
      </c>
      <c r="C1442">
        <v>2142</v>
      </c>
      <c r="D1442" t="s">
        <v>200</v>
      </c>
      <c r="E1442">
        <v>2142</v>
      </c>
      <c r="F1442" s="3">
        <v>0.27710000000000001</v>
      </c>
      <c r="G1442" s="3">
        <v>0.16120000000000001</v>
      </c>
      <c r="H1442" s="3">
        <v>8.0000000000000002E-3</v>
      </c>
      <c r="I1442" s="3">
        <v>1.6000000000000001E-3</v>
      </c>
      <c r="J1442" s="3">
        <v>2.7900000000000001E-2</v>
      </c>
      <c r="K1442" s="3">
        <v>1.66E-2</v>
      </c>
      <c r="L1442" s="3">
        <v>0.61160000000000003</v>
      </c>
      <c r="M1442" s="3">
        <v>0.01</v>
      </c>
      <c r="N1442" s="3">
        <v>5.9999999999999995E-4</v>
      </c>
      <c r="O1442" s="3">
        <v>8.5000000000000006E-3</v>
      </c>
      <c r="P1442" s="3">
        <v>1.84E-2</v>
      </c>
      <c r="Q1442" s="3">
        <v>6.0000000000000001E-3</v>
      </c>
      <c r="R1442" s="3">
        <v>2.9700000000000001E-2</v>
      </c>
      <c r="S1442" s="3">
        <v>7.5200000000000003E-2</v>
      </c>
      <c r="T1442" s="3">
        <v>3.5499999999999997E-2</v>
      </c>
    </row>
    <row r="1444" spans="1:20" ht="45">
      <c r="A1444" s="22" t="s">
        <v>467</v>
      </c>
    </row>
    <row r="1445" spans="1:20">
      <c r="A1445" t="s">
        <v>185</v>
      </c>
      <c r="B1445" t="s">
        <v>186</v>
      </c>
      <c r="C1445" t="s">
        <v>192</v>
      </c>
      <c r="D1445" t="s">
        <v>184</v>
      </c>
      <c r="E1445" t="s">
        <v>193</v>
      </c>
      <c r="F1445" t="s">
        <v>455</v>
      </c>
      <c r="G1445" t="s">
        <v>456</v>
      </c>
      <c r="H1445" t="s">
        <v>457</v>
      </c>
      <c r="I1445" t="s">
        <v>257</v>
      </c>
      <c r="J1445" t="s">
        <v>458</v>
      </c>
      <c r="K1445" t="s">
        <v>459</v>
      </c>
      <c r="L1445" t="s">
        <v>329</v>
      </c>
      <c r="M1445" t="s">
        <v>274</v>
      </c>
      <c r="N1445" t="s">
        <v>247</v>
      </c>
      <c r="O1445" t="s">
        <v>460</v>
      </c>
      <c r="P1445" t="s">
        <v>461</v>
      </c>
      <c r="Q1445" t="s">
        <v>462</v>
      </c>
      <c r="R1445" t="s">
        <v>463</v>
      </c>
      <c r="S1445" t="s">
        <v>464</v>
      </c>
      <c r="T1445" t="s">
        <v>465</v>
      </c>
    </row>
    <row r="1446" spans="1:20">
      <c r="A1446" t="s">
        <v>195</v>
      </c>
      <c r="B1446" t="s">
        <v>207</v>
      </c>
      <c r="C1446">
        <v>296</v>
      </c>
      <c r="D1446" t="s">
        <v>194</v>
      </c>
      <c r="E1446">
        <v>2142</v>
      </c>
      <c r="F1446" s="3">
        <v>0.39369999999999999</v>
      </c>
      <c r="G1446" s="3">
        <v>0.1983</v>
      </c>
      <c r="H1446" s="3">
        <v>2.9899999999999999E-2</v>
      </c>
      <c r="I1446" s="3">
        <v>3.3E-3</v>
      </c>
      <c r="J1446" s="3">
        <v>3.7900000000000003E-2</v>
      </c>
      <c r="K1446" s="3">
        <v>8.2000000000000007E-3</v>
      </c>
      <c r="L1446" s="3">
        <v>0.45650000000000002</v>
      </c>
      <c r="M1446" s="3">
        <v>2.8E-3</v>
      </c>
      <c r="O1446" s="3">
        <v>1.6000000000000001E-3</v>
      </c>
      <c r="P1446" s="3">
        <v>1.6E-2</v>
      </c>
      <c r="Q1446" s="3">
        <v>5.3E-3</v>
      </c>
      <c r="R1446" s="3">
        <v>5.62E-2</v>
      </c>
      <c r="S1446" s="3">
        <v>8.9399999999999993E-2</v>
      </c>
      <c r="T1446" s="3">
        <v>4.99E-2</v>
      </c>
    </row>
    <row r="1447" spans="1:20">
      <c r="A1447" t="s">
        <v>195</v>
      </c>
      <c r="B1447" t="s">
        <v>209</v>
      </c>
      <c r="C1447">
        <v>648</v>
      </c>
      <c r="D1447" t="s">
        <v>194</v>
      </c>
      <c r="E1447">
        <v>2142</v>
      </c>
      <c r="F1447" s="3">
        <v>0.24709999999999999</v>
      </c>
      <c r="G1447" s="3">
        <v>0.1371</v>
      </c>
      <c r="H1447" s="3">
        <v>1.1599999999999999E-2</v>
      </c>
      <c r="I1447" s="3">
        <v>1.6999999999999999E-3</v>
      </c>
      <c r="J1447" s="3">
        <v>3.4200000000000001E-2</v>
      </c>
      <c r="K1447" s="3">
        <v>1.83E-2</v>
      </c>
      <c r="L1447" s="3">
        <v>0.65300000000000002</v>
      </c>
      <c r="M1447" s="3">
        <v>2.0000000000000001E-4</v>
      </c>
      <c r="O1447" s="3">
        <v>1.24E-2</v>
      </c>
      <c r="P1447" s="3">
        <v>1.6299999999999999E-2</v>
      </c>
      <c r="Q1447" s="3">
        <v>6.4999999999999997E-3</v>
      </c>
      <c r="R1447" s="3">
        <v>2.4E-2</v>
      </c>
      <c r="S1447" s="3">
        <v>0.06</v>
      </c>
      <c r="T1447" s="3">
        <v>3.8800000000000001E-2</v>
      </c>
    </row>
    <row r="1448" spans="1:20">
      <c r="A1448" t="s">
        <v>199</v>
      </c>
      <c r="B1448" t="s">
        <v>207</v>
      </c>
      <c r="C1448">
        <v>255</v>
      </c>
      <c r="D1448" t="s">
        <v>194</v>
      </c>
      <c r="E1448">
        <v>2142</v>
      </c>
      <c r="F1448" s="3">
        <v>0.51990000000000003</v>
      </c>
      <c r="G1448" s="3">
        <v>0.43559999999999999</v>
      </c>
      <c r="H1448" s="3">
        <v>1.1000000000000001E-3</v>
      </c>
      <c r="I1448" s="3">
        <v>5.7999999999999996E-3</v>
      </c>
      <c r="J1448" s="3">
        <v>4.3700000000000003E-2</v>
      </c>
      <c r="K1448" s="3">
        <v>2.9100000000000001E-2</v>
      </c>
      <c r="L1448" s="3">
        <v>0.318</v>
      </c>
      <c r="M1448" s="3">
        <v>3.4700000000000002E-2</v>
      </c>
      <c r="O1448" s="3">
        <v>3.4700000000000002E-2</v>
      </c>
      <c r="P1448" s="3">
        <v>2.1700000000000001E-2</v>
      </c>
      <c r="Q1448" s="3">
        <v>1E-3</v>
      </c>
      <c r="R1448" s="3">
        <v>6.8900000000000003E-2</v>
      </c>
      <c r="S1448" s="3">
        <v>0.18179999999999999</v>
      </c>
      <c r="T1448" s="3">
        <v>9.4799999999999995E-2</v>
      </c>
    </row>
    <row r="1449" spans="1:20">
      <c r="A1449" t="s">
        <v>199</v>
      </c>
      <c r="B1449" t="s">
        <v>209</v>
      </c>
      <c r="C1449">
        <v>943</v>
      </c>
      <c r="D1449" t="s">
        <v>194</v>
      </c>
      <c r="E1449">
        <v>2142</v>
      </c>
      <c r="F1449" s="3">
        <v>0.22689999999999999</v>
      </c>
      <c r="G1449" s="3">
        <v>0.1234</v>
      </c>
      <c r="H1449" s="3">
        <v>8.9999999999999998E-4</v>
      </c>
      <c r="I1449" s="3">
        <v>2.9999999999999997E-4</v>
      </c>
      <c r="J1449" s="3">
        <v>1.8700000000000001E-2</v>
      </c>
      <c r="K1449" s="3">
        <v>1.5900000000000001E-2</v>
      </c>
      <c r="L1449" s="3">
        <v>0.67269999999999996</v>
      </c>
      <c r="M1449" s="3">
        <v>1.44E-2</v>
      </c>
      <c r="N1449" s="3">
        <v>1.2999999999999999E-3</v>
      </c>
      <c r="O1449" s="3">
        <v>3.7000000000000002E-3</v>
      </c>
      <c r="P1449" s="3">
        <v>1.9900000000000001E-2</v>
      </c>
      <c r="Q1449" s="3">
        <v>6.7000000000000002E-3</v>
      </c>
      <c r="R1449" s="3">
        <v>0.02</v>
      </c>
      <c r="S1449" s="3">
        <v>6.4399999999999999E-2</v>
      </c>
      <c r="T1449" s="3">
        <v>2.01E-2</v>
      </c>
    </row>
    <row r="1450" spans="1:20">
      <c r="A1450" t="s">
        <v>200</v>
      </c>
      <c r="B1450" t="s">
        <v>200</v>
      </c>
      <c r="C1450">
        <v>2142</v>
      </c>
      <c r="D1450" t="s">
        <v>200</v>
      </c>
      <c r="E1450">
        <v>2142</v>
      </c>
      <c r="F1450" s="3">
        <v>0.27710000000000001</v>
      </c>
      <c r="G1450" s="3">
        <v>0.16120000000000001</v>
      </c>
      <c r="H1450" s="3">
        <v>8.0000000000000002E-3</v>
      </c>
      <c r="I1450" s="3">
        <v>1.6000000000000001E-3</v>
      </c>
      <c r="J1450" s="3">
        <v>2.7900000000000001E-2</v>
      </c>
      <c r="K1450" s="3">
        <v>1.66E-2</v>
      </c>
      <c r="L1450" s="3">
        <v>0.61160000000000003</v>
      </c>
      <c r="M1450" s="3">
        <v>0.01</v>
      </c>
      <c r="N1450" s="3">
        <v>5.9999999999999995E-4</v>
      </c>
      <c r="O1450" s="3">
        <v>8.5000000000000006E-3</v>
      </c>
      <c r="P1450" s="3">
        <v>1.84E-2</v>
      </c>
      <c r="Q1450" s="3">
        <v>6.0000000000000001E-3</v>
      </c>
      <c r="R1450" s="3">
        <v>2.9700000000000001E-2</v>
      </c>
      <c r="S1450" s="3">
        <v>7.5200000000000003E-2</v>
      </c>
      <c r="T1450" s="3">
        <v>3.5499999999999997E-2</v>
      </c>
    </row>
    <row r="1452" spans="1:20" ht="45">
      <c r="A1452" s="22" t="s">
        <v>468</v>
      </c>
    </row>
    <row r="1453" spans="1:20">
      <c r="A1453" t="s">
        <v>185</v>
      </c>
      <c r="B1453" t="s">
        <v>192</v>
      </c>
      <c r="C1453" t="s">
        <v>184</v>
      </c>
      <c r="D1453" t="s">
        <v>193</v>
      </c>
      <c r="E1453" t="s">
        <v>455</v>
      </c>
      <c r="F1453" t="s">
        <v>456</v>
      </c>
      <c r="G1453" t="s">
        <v>457</v>
      </c>
      <c r="H1453" t="s">
        <v>257</v>
      </c>
      <c r="I1453" t="s">
        <v>458</v>
      </c>
      <c r="J1453" t="s">
        <v>459</v>
      </c>
      <c r="K1453" t="s">
        <v>329</v>
      </c>
      <c r="L1453" t="s">
        <v>274</v>
      </c>
      <c r="M1453" t="s">
        <v>247</v>
      </c>
      <c r="N1453" t="s">
        <v>460</v>
      </c>
      <c r="O1453" t="s">
        <v>461</v>
      </c>
      <c r="P1453" t="s">
        <v>462</v>
      </c>
      <c r="Q1453" t="s">
        <v>463</v>
      </c>
      <c r="R1453" t="s">
        <v>464</v>
      </c>
      <c r="S1453" t="s">
        <v>465</v>
      </c>
    </row>
    <row r="1454" spans="1:20">
      <c r="A1454" t="s">
        <v>195</v>
      </c>
      <c r="B1454">
        <v>944</v>
      </c>
      <c r="C1454" t="s">
        <v>194</v>
      </c>
      <c r="D1454">
        <v>2142</v>
      </c>
      <c r="E1454" s="3">
        <v>0.29020000000000001</v>
      </c>
      <c r="F1454" s="3">
        <v>0.15509999999999999</v>
      </c>
      <c r="G1454" s="3">
        <v>1.7000000000000001E-2</v>
      </c>
      <c r="H1454" s="3">
        <v>2.2000000000000001E-3</v>
      </c>
      <c r="I1454" s="3">
        <v>3.5299999999999998E-2</v>
      </c>
      <c r="J1454" s="3">
        <v>1.5299999999999999E-2</v>
      </c>
      <c r="K1454" s="3">
        <v>0.59519999999999995</v>
      </c>
      <c r="L1454" s="3">
        <v>1E-3</v>
      </c>
      <c r="N1454" s="3">
        <v>9.1999999999999998E-3</v>
      </c>
      <c r="O1454" s="3">
        <v>1.6299999999999999E-2</v>
      </c>
      <c r="P1454" s="3">
        <v>6.1999999999999998E-3</v>
      </c>
      <c r="Q1454" s="3">
        <v>3.3500000000000002E-2</v>
      </c>
      <c r="R1454" s="3">
        <v>6.8699999999999997E-2</v>
      </c>
      <c r="S1454" s="3">
        <v>4.2099999999999999E-2</v>
      </c>
    </row>
    <row r="1455" spans="1:20">
      <c r="A1455" t="s">
        <v>199</v>
      </c>
      <c r="B1455">
        <v>1198</v>
      </c>
      <c r="C1455" t="s">
        <v>194</v>
      </c>
      <c r="D1455">
        <v>2142</v>
      </c>
      <c r="E1455" s="3">
        <v>0.26679999999999998</v>
      </c>
      <c r="F1455" s="3">
        <v>0.16589999999999999</v>
      </c>
      <c r="G1455" s="3">
        <v>1E-3</v>
      </c>
      <c r="H1455" s="3">
        <v>1.1000000000000001E-3</v>
      </c>
      <c r="I1455" s="3">
        <v>2.2100000000000002E-2</v>
      </c>
      <c r="J1455" s="3">
        <v>1.77E-2</v>
      </c>
      <c r="K1455" s="3">
        <v>0.62439999999999996</v>
      </c>
      <c r="L1455" s="3">
        <v>1.7100000000000001E-2</v>
      </c>
      <c r="M1455" s="3">
        <v>1.1000000000000001E-3</v>
      </c>
      <c r="N1455" s="3">
        <v>7.9000000000000008E-3</v>
      </c>
      <c r="O1455" s="3">
        <v>2.01E-2</v>
      </c>
      <c r="P1455" s="3">
        <v>5.8999999999999999E-3</v>
      </c>
      <c r="Q1455" s="3">
        <v>2.6700000000000002E-2</v>
      </c>
      <c r="R1455" s="3">
        <v>8.0399999999999999E-2</v>
      </c>
      <c r="S1455" s="3">
        <v>3.0200000000000001E-2</v>
      </c>
    </row>
    <row r="1456" spans="1:20">
      <c r="A1456" t="s">
        <v>200</v>
      </c>
      <c r="B1456">
        <v>2142</v>
      </c>
      <c r="C1456" t="s">
        <v>200</v>
      </c>
      <c r="D1456">
        <v>2142</v>
      </c>
      <c r="E1456" s="3">
        <v>0.27710000000000001</v>
      </c>
      <c r="F1456" s="3">
        <v>0.16120000000000001</v>
      </c>
      <c r="G1456" s="3">
        <v>8.0000000000000002E-3</v>
      </c>
      <c r="H1456" s="3">
        <v>1.6000000000000001E-3</v>
      </c>
      <c r="I1456" s="3">
        <v>2.7900000000000001E-2</v>
      </c>
      <c r="J1456" s="3">
        <v>1.66E-2</v>
      </c>
      <c r="K1456" s="3">
        <v>0.61160000000000003</v>
      </c>
      <c r="L1456" s="3">
        <v>0.01</v>
      </c>
      <c r="M1456" s="3">
        <v>5.9999999999999995E-4</v>
      </c>
      <c r="N1456" s="3">
        <v>8.5000000000000006E-3</v>
      </c>
      <c r="O1456" s="3">
        <v>1.84E-2</v>
      </c>
      <c r="P1456" s="3">
        <v>6.0000000000000001E-3</v>
      </c>
      <c r="Q1456" s="3">
        <v>2.9700000000000001E-2</v>
      </c>
      <c r="R1456" s="3">
        <v>7.5200000000000003E-2</v>
      </c>
      <c r="S1456" s="3">
        <v>3.5499999999999997E-2</v>
      </c>
    </row>
    <row r="1458" spans="1:20" ht="45">
      <c r="A1458" s="22" t="s">
        <v>469</v>
      </c>
    </row>
    <row r="1459" spans="1:20">
      <c r="A1459" t="s">
        <v>185</v>
      </c>
      <c r="B1459" t="s">
        <v>186</v>
      </c>
      <c r="C1459" t="s">
        <v>192</v>
      </c>
      <c r="D1459" t="s">
        <v>184</v>
      </c>
      <c r="E1459" t="s">
        <v>193</v>
      </c>
      <c r="F1459" t="s">
        <v>455</v>
      </c>
      <c r="G1459" t="s">
        <v>456</v>
      </c>
      <c r="H1459" t="s">
        <v>457</v>
      </c>
      <c r="I1459" t="s">
        <v>257</v>
      </c>
      <c r="J1459" t="s">
        <v>458</v>
      </c>
      <c r="K1459" t="s">
        <v>459</v>
      </c>
      <c r="L1459" t="s">
        <v>329</v>
      </c>
      <c r="M1459" t="s">
        <v>274</v>
      </c>
      <c r="N1459" t="s">
        <v>247</v>
      </c>
      <c r="O1459" t="s">
        <v>460</v>
      </c>
      <c r="P1459" t="s">
        <v>461</v>
      </c>
      <c r="Q1459" t="s">
        <v>462</v>
      </c>
      <c r="R1459" t="s">
        <v>463</v>
      </c>
      <c r="S1459" t="s">
        <v>464</v>
      </c>
      <c r="T1459" t="s">
        <v>465</v>
      </c>
    </row>
    <row r="1460" spans="1:20">
      <c r="A1460" t="s">
        <v>195</v>
      </c>
      <c r="B1460" t="s">
        <v>212</v>
      </c>
      <c r="C1460">
        <v>693</v>
      </c>
      <c r="D1460" t="s">
        <v>194</v>
      </c>
      <c r="E1460">
        <v>2142</v>
      </c>
      <c r="F1460" s="3">
        <v>0.29630000000000001</v>
      </c>
      <c r="G1460" s="3">
        <v>0.16389999999999999</v>
      </c>
      <c r="H1460" s="3">
        <v>2.2800000000000001E-2</v>
      </c>
      <c r="I1460" s="3">
        <v>2.8999999999999998E-3</v>
      </c>
      <c r="J1460" s="3">
        <v>2.98E-2</v>
      </c>
      <c r="K1460" s="3">
        <v>1.8200000000000001E-2</v>
      </c>
      <c r="L1460" s="3">
        <v>0.57879999999999998</v>
      </c>
      <c r="M1460" s="3">
        <v>1.1000000000000001E-3</v>
      </c>
      <c r="O1460" s="3">
        <v>9.4999999999999998E-3</v>
      </c>
      <c r="P1460" s="3">
        <v>1.5699999999999999E-2</v>
      </c>
      <c r="Q1460" s="3">
        <v>8.3000000000000001E-3</v>
      </c>
      <c r="R1460" s="3">
        <v>3.7499999999999999E-2</v>
      </c>
      <c r="S1460" s="3">
        <v>7.7299999999999994E-2</v>
      </c>
      <c r="T1460" s="3">
        <v>3.9100000000000003E-2</v>
      </c>
    </row>
    <row r="1461" spans="1:20">
      <c r="A1461" t="s">
        <v>195</v>
      </c>
      <c r="B1461" t="s">
        <v>214</v>
      </c>
      <c r="C1461">
        <v>130</v>
      </c>
      <c r="D1461" t="s">
        <v>194</v>
      </c>
      <c r="E1461">
        <v>2142</v>
      </c>
      <c r="F1461" s="3">
        <v>0.24640000000000001</v>
      </c>
      <c r="G1461" s="3">
        <v>0.1323</v>
      </c>
      <c r="J1461" s="3">
        <v>4.4299999999999999E-2</v>
      </c>
      <c r="L1461" s="3">
        <v>0.70030000000000003</v>
      </c>
      <c r="O1461" s="3">
        <v>5.0000000000000001E-4</v>
      </c>
      <c r="P1461" s="3">
        <v>1.4800000000000001E-2</v>
      </c>
      <c r="R1461" s="3">
        <v>1.12E-2</v>
      </c>
      <c r="S1461" s="3">
        <v>2.6700000000000002E-2</v>
      </c>
      <c r="T1461" s="3">
        <v>3.9100000000000003E-2</v>
      </c>
    </row>
    <row r="1462" spans="1:20">
      <c r="A1462" t="s">
        <v>195</v>
      </c>
      <c r="B1462" t="s">
        <v>215</v>
      </c>
      <c r="C1462">
        <v>121</v>
      </c>
      <c r="D1462" t="s">
        <v>194</v>
      </c>
      <c r="E1462">
        <v>2142</v>
      </c>
      <c r="F1462" s="3">
        <v>0.31369999999999998</v>
      </c>
      <c r="G1462" s="3">
        <v>0.12509999999999999</v>
      </c>
      <c r="J1462" s="3">
        <v>6.2700000000000006E-2</v>
      </c>
      <c r="K1462" s="3">
        <v>1.77E-2</v>
      </c>
      <c r="L1462" s="3">
        <v>0.55230000000000001</v>
      </c>
      <c r="M1462" s="3">
        <v>1.6000000000000001E-3</v>
      </c>
      <c r="O1462" s="3">
        <v>2.0899999999999998E-2</v>
      </c>
      <c r="P1462" s="3">
        <v>2.2700000000000001E-2</v>
      </c>
      <c r="R1462" s="3">
        <v>3.8699999999999998E-2</v>
      </c>
      <c r="S1462" s="3">
        <v>7.0300000000000001E-2</v>
      </c>
      <c r="T1462" s="3">
        <v>6.9699999999999998E-2</v>
      </c>
    </row>
    <row r="1463" spans="1:20">
      <c r="A1463" t="s">
        <v>199</v>
      </c>
      <c r="B1463" t="s">
        <v>212</v>
      </c>
      <c r="C1463">
        <v>896</v>
      </c>
      <c r="D1463" t="s">
        <v>194</v>
      </c>
      <c r="E1463">
        <v>2142</v>
      </c>
      <c r="F1463" s="3">
        <v>0.25109999999999999</v>
      </c>
      <c r="G1463" s="3">
        <v>0.16259999999999999</v>
      </c>
      <c r="H1463" s="3">
        <v>2.0000000000000001E-4</v>
      </c>
      <c r="I1463" s="3">
        <v>1.1999999999999999E-3</v>
      </c>
      <c r="J1463" s="3">
        <v>2.1100000000000001E-2</v>
      </c>
      <c r="K1463" s="3">
        <v>1.7600000000000001E-2</v>
      </c>
      <c r="L1463" s="3">
        <v>0.64180000000000004</v>
      </c>
      <c r="M1463" s="3">
        <v>1.84E-2</v>
      </c>
      <c r="N1463" s="3">
        <v>1.5E-3</v>
      </c>
      <c r="O1463" s="3">
        <v>6.7000000000000002E-3</v>
      </c>
      <c r="P1463" s="3">
        <v>2.1299999999999999E-2</v>
      </c>
      <c r="Q1463" s="3">
        <v>6.8999999999999999E-3</v>
      </c>
      <c r="R1463" s="3">
        <v>2.6700000000000002E-2</v>
      </c>
      <c r="S1463" s="3">
        <v>8.9099999999999999E-2</v>
      </c>
      <c r="T1463" s="3">
        <v>2.07E-2</v>
      </c>
    </row>
    <row r="1464" spans="1:20">
      <c r="A1464" t="s">
        <v>199</v>
      </c>
      <c r="B1464" t="s">
        <v>214</v>
      </c>
      <c r="C1464">
        <v>140</v>
      </c>
      <c r="D1464" t="s">
        <v>194</v>
      </c>
      <c r="E1464">
        <v>2142</v>
      </c>
      <c r="F1464" s="3">
        <v>0.33639999999999998</v>
      </c>
      <c r="G1464" s="3">
        <v>0.15840000000000001</v>
      </c>
      <c r="H1464" s="3">
        <v>2.0999999999999999E-3</v>
      </c>
      <c r="J1464" s="3">
        <v>1.2200000000000001E-2</v>
      </c>
      <c r="K1464" s="3">
        <v>4.4999999999999997E-3</v>
      </c>
      <c r="L1464" s="3">
        <v>0.57809999999999995</v>
      </c>
      <c r="M1464" s="3">
        <v>2.07E-2</v>
      </c>
      <c r="O1464" s="3">
        <v>2.01E-2</v>
      </c>
      <c r="P1464" s="3">
        <v>2.3300000000000001E-2</v>
      </c>
      <c r="R1464" s="3">
        <v>6.4999999999999997E-3</v>
      </c>
      <c r="S1464" s="3">
        <v>2.1999999999999999E-2</v>
      </c>
      <c r="T1464" s="3">
        <v>3.3000000000000002E-2</v>
      </c>
    </row>
    <row r="1465" spans="1:20">
      <c r="A1465" t="s">
        <v>199</v>
      </c>
      <c r="B1465" t="s">
        <v>215</v>
      </c>
      <c r="C1465">
        <v>162</v>
      </c>
      <c r="D1465" t="s">
        <v>194</v>
      </c>
      <c r="E1465">
        <v>2142</v>
      </c>
      <c r="F1465" s="3">
        <v>0.29959999999999998</v>
      </c>
      <c r="G1465" s="3">
        <v>0.20230000000000001</v>
      </c>
      <c r="H1465" s="3">
        <v>5.4000000000000003E-3</v>
      </c>
      <c r="I1465" s="3">
        <v>1.5E-3</v>
      </c>
      <c r="J1465" s="3">
        <v>4.3499999999999997E-2</v>
      </c>
      <c r="K1465" s="3">
        <v>3.5299999999999998E-2</v>
      </c>
      <c r="L1465" s="3">
        <v>0.54710000000000003</v>
      </c>
      <c r="M1465" s="3">
        <v>2.8E-3</v>
      </c>
      <c r="O1465" s="3">
        <v>1.5E-3</v>
      </c>
      <c r="P1465" s="3">
        <v>6.4999999999999997E-3</v>
      </c>
      <c r="Q1465" s="3">
        <v>6.0000000000000001E-3</v>
      </c>
      <c r="R1465" s="3">
        <v>5.2900000000000003E-2</v>
      </c>
      <c r="S1465" s="3">
        <v>8.7400000000000005E-2</v>
      </c>
      <c r="T1465" s="3">
        <v>0.1024</v>
      </c>
    </row>
    <row r="1466" spans="1:20">
      <c r="A1466" t="s">
        <v>200</v>
      </c>
      <c r="B1466" t="s">
        <v>200</v>
      </c>
      <c r="C1466">
        <v>2142</v>
      </c>
      <c r="D1466" t="s">
        <v>200</v>
      </c>
      <c r="E1466">
        <v>2142</v>
      </c>
      <c r="F1466" s="3">
        <v>0.27710000000000001</v>
      </c>
      <c r="G1466" s="3">
        <v>0.16120000000000001</v>
      </c>
      <c r="H1466" s="3">
        <v>8.0000000000000002E-3</v>
      </c>
      <c r="I1466" s="3">
        <v>1.6000000000000001E-3</v>
      </c>
      <c r="J1466" s="3">
        <v>2.7900000000000001E-2</v>
      </c>
      <c r="K1466" s="3">
        <v>1.66E-2</v>
      </c>
      <c r="L1466" s="3">
        <v>0.61160000000000003</v>
      </c>
      <c r="M1466" s="3">
        <v>0.01</v>
      </c>
      <c r="N1466" s="3">
        <v>5.9999999999999995E-4</v>
      </c>
      <c r="O1466" s="3">
        <v>8.5000000000000006E-3</v>
      </c>
      <c r="P1466" s="3">
        <v>1.84E-2</v>
      </c>
      <c r="Q1466" s="3">
        <v>6.0000000000000001E-3</v>
      </c>
      <c r="R1466" s="3">
        <v>2.9700000000000001E-2</v>
      </c>
      <c r="S1466" s="3">
        <v>7.5200000000000003E-2</v>
      </c>
      <c r="T1466" s="3">
        <v>3.5499999999999997E-2</v>
      </c>
    </row>
    <row r="1468" spans="1:20" ht="45">
      <c r="A1468" s="22" t="s">
        <v>470</v>
      </c>
    </row>
    <row r="1469" spans="1:20">
      <c r="A1469" t="s">
        <v>185</v>
      </c>
      <c r="B1469" t="s">
        <v>186</v>
      </c>
      <c r="C1469" t="s">
        <v>192</v>
      </c>
      <c r="D1469" t="s">
        <v>184</v>
      </c>
      <c r="E1469" t="s">
        <v>193</v>
      </c>
      <c r="F1469" t="s">
        <v>455</v>
      </c>
      <c r="G1469" t="s">
        <v>456</v>
      </c>
      <c r="H1469" t="s">
        <v>457</v>
      </c>
      <c r="I1469" t="s">
        <v>257</v>
      </c>
      <c r="J1469" t="s">
        <v>458</v>
      </c>
      <c r="K1469" t="s">
        <v>459</v>
      </c>
      <c r="L1469" t="s">
        <v>329</v>
      </c>
      <c r="M1469" t="s">
        <v>274</v>
      </c>
      <c r="N1469" t="s">
        <v>247</v>
      </c>
      <c r="O1469" t="s">
        <v>460</v>
      </c>
      <c r="P1469" t="s">
        <v>461</v>
      </c>
      <c r="Q1469" t="s">
        <v>462</v>
      </c>
      <c r="R1469" t="s">
        <v>463</v>
      </c>
      <c r="S1469" t="s">
        <v>464</v>
      </c>
      <c r="T1469" t="s">
        <v>465</v>
      </c>
    </row>
    <row r="1470" spans="1:20">
      <c r="A1470" t="s">
        <v>195</v>
      </c>
      <c r="B1470" t="s">
        <v>217</v>
      </c>
      <c r="C1470">
        <v>427</v>
      </c>
      <c r="D1470" t="s">
        <v>194</v>
      </c>
      <c r="E1470">
        <v>2142</v>
      </c>
      <c r="F1470" s="3">
        <v>0.28870000000000001</v>
      </c>
      <c r="G1470" s="3">
        <v>0.16420000000000001</v>
      </c>
      <c r="H1470" s="3">
        <v>6.7999999999999996E-3</v>
      </c>
      <c r="I1470" s="3">
        <v>4.7999999999999996E-3</v>
      </c>
      <c r="J1470" s="3">
        <v>3.6900000000000002E-2</v>
      </c>
      <c r="K1470" s="3">
        <v>2.5000000000000001E-2</v>
      </c>
      <c r="L1470" s="3">
        <v>0.59309999999999996</v>
      </c>
      <c r="M1470" s="3">
        <v>2.9999999999999997E-4</v>
      </c>
      <c r="O1470" s="3">
        <v>9.9000000000000008E-3</v>
      </c>
      <c r="P1470" s="3">
        <v>1.5699999999999999E-2</v>
      </c>
      <c r="Q1470" s="3">
        <v>1.4E-3</v>
      </c>
      <c r="R1470" s="3">
        <v>2.5000000000000001E-2</v>
      </c>
      <c r="S1470" s="3">
        <v>6.1400000000000003E-2</v>
      </c>
      <c r="T1470" s="3">
        <v>5.7799999999999997E-2</v>
      </c>
    </row>
    <row r="1471" spans="1:20">
      <c r="A1471" t="s">
        <v>195</v>
      </c>
      <c r="B1471" t="s">
        <v>219</v>
      </c>
      <c r="C1471">
        <v>381</v>
      </c>
      <c r="D1471" t="s">
        <v>194</v>
      </c>
      <c r="E1471">
        <v>2142</v>
      </c>
      <c r="F1471" s="3">
        <v>0.28989999999999999</v>
      </c>
      <c r="G1471" s="3">
        <v>0.1217</v>
      </c>
      <c r="H1471" s="3">
        <v>1.4999999999999999E-2</v>
      </c>
      <c r="J1471" s="3">
        <v>3.9800000000000002E-2</v>
      </c>
      <c r="K1471" s="3">
        <v>8.5000000000000006E-3</v>
      </c>
      <c r="L1471" s="3">
        <v>0.6139</v>
      </c>
      <c r="M1471" s="3">
        <v>2.2000000000000001E-3</v>
      </c>
      <c r="O1471" s="3">
        <v>7.7999999999999996E-3</v>
      </c>
      <c r="P1471" s="3">
        <v>1.9699999999999999E-2</v>
      </c>
      <c r="R1471" s="3">
        <v>3.3799999999999997E-2</v>
      </c>
      <c r="S1471" s="3">
        <v>6.1400000000000003E-2</v>
      </c>
      <c r="T1471" s="3">
        <v>2.9899999999999999E-2</v>
      </c>
    </row>
    <row r="1472" spans="1:20">
      <c r="A1472" t="s">
        <v>195</v>
      </c>
      <c r="B1472" t="s">
        <v>220</v>
      </c>
      <c r="C1472">
        <v>135</v>
      </c>
      <c r="D1472" t="s">
        <v>194</v>
      </c>
      <c r="E1472">
        <v>2142</v>
      </c>
      <c r="F1472" s="3">
        <v>0.29549999999999998</v>
      </c>
      <c r="G1472" s="3">
        <v>0.21029999999999999</v>
      </c>
      <c r="H1472" s="3">
        <v>5.1400000000000001E-2</v>
      </c>
      <c r="J1472" s="3">
        <v>1.95E-2</v>
      </c>
      <c r="K1472" s="3">
        <v>3.5999999999999999E-3</v>
      </c>
      <c r="L1472" s="3">
        <v>0.55559999999999998</v>
      </c>
      <c r="O1472" s="3">
        <v>1.0699999999999999E-2</v>
      </c>
      <c r="P1472" s="3">
        <v>9.4999999999999998E-3</v>
      </c>
      <c r="Q1472" s="3">
        <v>3.49E-2</v>
      </c>
      <c r="R1472" s="3">
        <v>5.7299999999999997E-2</v>
      </c>
      <c r="S1472" s="3">
        <v>0.1076</v>
      </c>
      <c r="T1472" s="3">
        <v>2.63E-2</v>
      </c>
    </row>
    <row r="1473" spans="1:20">
      <c r="A1473" t="s">
        <v>199</v>
      </c>
      <c r="B1473" t="s">
        <v>217</v>
      </c>
      <c r="C1473">
        <v>690</v>
      </c>
      <c r="D1473" t="s">
        <v>194</v>
      </c>
      <c r="E1473">
        <v>2142</v>
      </c>
      <c r="F1473" s="3">
        <v>0.24110000000000001</v>
      </c>
      <c r="G1473" s="3">
        <v>0.14910000000000001</v>
      </c>
      <c r="H1473" s="3">
        <v>8.9999999999999998E-4</v>
      </c>
      <c r="I1473" s="3">
        <v>1.6000000000000001E-3</v>
      </c>
      <c r="J1473" s="3">
        <v>2.41E-2</v>
      </c>
      <c r="K1473" s="3">
        <v>1.54E-2</v>
      </c>
      <c r="L1473" s="3">
        <v>0.65580000000000005</v>
      </c>
      <c r="M1473" s="3">
        <v>1.0800000000000001E-2</v>
      </c>
      <c r="N1473" s="3">
        <v>1.9E-3</v>
      </c>
      <c r="O1473" s="3">
        <v>7.7000000000000002E-3</v>
      </c>
      <c r="P1473" s="3">
        <v>2.29E-2</v>
      </c>
      <c r="Q1473" s="3">
        <v>8.0000000000000002E-3</v>
      </c>
      <c r="R1473" s="3">
        <v>3.44E-2</v>
      </c>
      <c r="S1473" s="3">
        <v>7.5399999999999995E-2</v>
      </c>
      <c r="T1473" s="3">
        <v>3.39E-2</v>
      </c>
    </row>
    <row r="1474" spans="1:20">
      <c r="A1474" t="s">
        <v>199</v>
      </c>
      <c r="B1474" t="s">
        <v>219</v>
      </c>
      <c r="C1474">
        <v>344</v>
      </c>
      <c r="D1474" t="s">
        <v>194</v>
      </c>
      <c r="E1474">
        <v>2142</v>
      </c>
      <c r="F1474" s="3">
        <v>0.375</v>
      </c>
      <c r="G1474" s="3">
        <v>0.21790000000000001</v>
      </c>
      <c r="H1474" s="3">
        <v>1.8E-3</v>
      </c>
      <c r="I1474" s="3">
        <v>5.9999999999999995E-4</v>
      </c>
      <c r="J1474" s="3">
        <v>1.7100000000000001E-2</v>
      </c>
      <c r="K1474" s="3">
        <v>1.61E-2</v>
      </c>
      <c r="L1474" s="3">
        <v>0.53669999999999995</v>
      </c>
      <c r="M1474" s="3">
        <v>1.06E-2</v>
      </c>
      <c r="O1474" s="3">
        <v>1.37E-2</v>
      </c>
      <c r="P1474" s="3">
        <v>2.46E-2</v>
      </c>
      <c r="Q1474" s="3">
        <v>4.4999999999999997E-3</v>
      </c>
      <c r="R1474" s="3">
        <v>1.78E-2</v>
      </c>
      <c r="S1474" s="3">
        <v>6.5199999999999994E-2</v>
      </c>
      <c r="T1474" s="3">
        <v>3.8899999999999997E-2</v>
      </c>
    </row>
    <row r="1475" spans="1:20">
      <c r="A1475" t="s">
        <v>199</v>
      </c>
      <c r="B1475" t="s">
        <v>220</v>
      </c>
      <c r="C1475">
        <v>164</v>
      </c>
      <c r="D1475" t="s">
        <v>194</v>
      </c>
      <c r="E1475">
        <v>2142</v>
      </c>
      <c r="F1475" s="3">
        <v>0.19889999999999999</v>
      </c>
      <c r="G1475" s="3">
        <v>0.15110000000000001</v>
      </c>
      <c r="J1475" s="3">
        <v>2.1899999999999999E-2</v>
      </c>
      <c r="K1475" s="3">
        <v>2.9499999999999998E-2</v>
      </c>
      <c r="L1475" s="3">
        <v>0.6371</v>
      </c>
      <c r="M1475" s="3">
        <v>5.2499999999999998E-2</v>
      </c>
      <c r="P1475" s="3">
        <v>2.2000000000000001E-3</v>
      </c>
      <c r="R1475" s="3">
        <v>0.01</v>
      </c>
      <c r="S1475" s="3">
        <v>0.1239</v>
      </c>
      <c r="T1475" s="3">
        <v>2E-3</v>
      </c>
    </row>
    <row r="1476" spans="1:20">
      <c r="A1476" t="s">
        <v>200</v>
      </c>
      <c r="B1476" t="s">
        <v>200</v>
      </c>
      <c r="C1476">
        <v>2142</v>
      </c>
      <c r="D1476" t="s">
        <v>200</v>
      </c>
      <c r="E1476">
        <v>2142</v>
      </c>
      <c r="F1476" s="3">
        <v>0.27710000000000001</v>
      </c>
      <c r="G1476" s="3">
        <v>0.16120000000000001</v>
      </c>
      <c r="H1476" s="3">
        <v>8.0000000000000002E-3</v>
      </c>
      <c r="I1476" s="3">
        <v>1.6000000000000001E-3</v>
      </c>
      <c r="J1476" s="3">
        <v>2.7900000000000001E-2</v>
      </c>
      <c r="K1476" s="3">
        <v>1.66E-2</v>
      </c>
      <c r="L1476" s="3">
        <v>0.61160000000000003</v>
      </c>
      <c r="M1476" s="3">
        <v>0.01</v>
      </c>
      <c r="N1476" s="3">
        <v>5.9999999999999995E-4</v>
      </c>
      <c r="O1476" s="3">
        <v>8.5000000000000006E-3</v>
      </c>
      <c r="P1476" s="3">
        <v>1.84E-2</v>
      </c>
      <c r="Q1476" s="3">
        <v>6.0000000000000001E-3</v>
      </c>
      <c r="R1476" s="3">
        <v>2.9700000000000001E-2</v>
      </c>
      <c r="S1476" s="3">
        <v>7.5200000000000003E-2</v>
      </c>
      <c r="T1476" s="3">
        <v>3.5499999999999997E-2</v>
      </c>
    </row>
    <row r="1478" spans="1:20" ht="60">
      <c r="A1478" s="22" t="s">
        <v>471</v>
      </c>
    </row>
    <row r="1479" spans="1:20">
      <c r="A1479" t="s">
        <v>185</v>
      </c>
      <c r="B1479" t="s">
        <v>186</v>
      </c>
      <c r="C1479" t="s">
        <v>192</v>
      </c>
      <c r="D1479" t="s">
        <v>184</v>
      </c>
      <c r="E1479" t="s">
        <v>193</v>
      </c>
      <c r="F1479" t="s">
        <v>257</v>
      </c>
      <c r="G1479" t="s">
        <v>226</v>
      </c>
      <c r="H1479" t="s">
        <v>247</v>
      </c>
      <c r="I1479" t="s">
        <v>227</v>
      </c>
    </row>
    <row r="1480" spans="1:20">
      <c r="A1480" t="s">
        <v>195</v>
      </c>
      <c r="B1480" t="s">
        <v>196</v>
      </c>
      <c r="C1480">
        <v>258</v>
      </c>
      <c r="D1480" t="s">
        <v>194</v>
      </c>
      <c r="E1480">
        <v>1843</v>
      </c>
      <c r="F1480" s="3">
        <v>0.13339999999999999</v>
      </c>
      <c r="G1480" s="3">
        <v>0.25729999999999997</v>
      </c>
      <c r="I1480" s="3">
        <v>0.60919999999999996</v>
      </c>
    </row>
    <row r="1481" spans="1:20">
      <c r="A1481" t="s">
        <v>195</v>
      </c>
      <c r="B1481" t="s">
        <v>198</v>
      </c>
      <c r="C1481">
        <v>521</v>
      </c>
      <c r="D1481" t="s">
        <v>194</v>
      </c>
      <c r="E1481">
        <v>1843</v>
      </c>
      <c r="F1481" s="3">
        <v>9.9199999999999997E-2</v>
      </c>
      <c r="G1481" s="3">
        <v>0.1903</v>
      </c>
      <c r="H1481" s="3">
        <v>5.9999999999999995E-4</v>
      </c>
      <c r="I1481" s="3">
        <v>0.70979999999999999</v>
      </c>
    </row>
    <row r="1482" spans="1:20">
      <c r="A1482" t="s">
        <v>199</v>
      </c>
      <c r="B1482" t="s">
        <v>196</v>
      </c>
      <c r="C1482">
        <v>363</v>
      </c>
      <c r="D1482" t="s">
        <v>194</v>
      </c>
      <c r="E1482">
        <v>1843</v>
      </c>
      <c r="F1482" s="3">
        <v>7.1800000000000003E-2</v>
      </c>
      <c r="G1482" s="3">
        <v>0.16339999999999999</v>
      </c>
      <c r="I1482" s="3">
        <v>0.76480000000000004</v>
      </c>
    </row>
    <row r="1483" spans="1:20">
      <c r="A1483" t="s">
        <v>199</v>
      </c>
      <c r="B1483" t="s">
        <v>198</v>
      </c>
      <c r="C1483">
        <v>673</v>
      </c>
      <c r="D1483" t="s">
        <v>194</v>
      </c>
      <c r="E1483">
        <v>1843</v>
      </c>
      <c r="F1483" s="3">
        <v>4.9500000000000002E-2</v>
      </c>
      <c r="G1483" s="3">
        <v>0.13539999999999999</v>
      </c>
      <c r="H1483" s="3">
        <v>2.0000000000000001E-4</v>
      </c>
      <c r="I1483" s="3">
        <v>0.81489999999999996</v>
      </c>
    </row>
    <row r="1484" spans="1:20">
      <c r="A1484" t="s">
        <v>200</v>
      </c>
      <c r="B1484" t="s">
        <v>200</v>
      </c>
      <c r="C1484">
        <v>1843</v>
      </c>
      <c r="D1484" t="s">
        <v>200</v>
      </c>
      <c r="E1484">
        <v>1843</v>
      </c>
      <c r="F1484" s="3">
        <v>7.6200000000000004E-2</v>
      </c>
      <c r="G1484" s="3">
        <v>0.1681</v>
      </c>
      <c r="H1484" s="3">
        <v>2.9999999999999997E-4</v>
      </c>
      <c r="I1484" s="3">
        <v>0.75539999999999996</v>
      </c>
    </row>
    <row r="1486" spans="1:20" ht="60">
      <c r="A1486" s="22" t="s">
        <v>472</v>
      </c>
    </row>
    <row r="1487" spans="1:20">
      <c r="A1487" t="s">
        <v>185</v>
      </c>
      <c r="B1487" t="s">
        <v>186</v>
      </c>
      <c r="C1487" t="s">
        <v>192</v>
      </c>
      <c r="D1487" t="s">
        <v>184</v>
      </c>
      <c r="E1487" t="s">
        <v>193</v>
      </c>
      <c r="F1487" t="s">
        <v>257</v>
      </c>
      <c r="G1487" t="s">
        <v>226</v>
      </c>
      <c r="H1487" t="s">
        <v>247</v>
      </c>
      <c r="I1487" t="s">
        <v>227</v>
      </c>
    </row>
    <row r="1488" spans="1:20">
      <c r="A1488" t="s">
        <v>195</v>
      </c>
      <c r="B1488" t="s">
        <v>202</v>
      </c>
      <c r="C1488">
        <v>342</v>
      </c>
      <c r="D1488" t="s">
        <v>194</v>
      </c>
      <c r="E1488">
        <v>1843</v>
      </c>
      <c r="F1488" s="3">
        <v>0.126</v>
      </c>
      <c r="G1488" s="3">
        <v>0.21149999999999999</v>
      </c>
      <c r="H1488" s="3">
        <v>2.9999999999999997E-4</v>
      </c>
      <c r="I1488" s="3">
        <v>0.66220000000000001</v>
      </c>
    </row>
    <row r="1489" spans="1:9">
      <c r="A1489" t="s">
        <v>195</v>
      </c>
      <c r="B1489" t="s">
        <v>204</v>
      </c>
      <c r="C1489">
        <v>221</v>
      </c>
      <c r="D1489" t="s">
        <v>194</v>
      </c>
      <c r="E1489">
        <v>1843</v>
      </c>
      <c r="F1489" s="3">
        <v>3.5099999999999999E-2</v>
      </c>
      <c r="G1489" s="3">
        <v>0.22320000000000001</v>
      </c>
      <c r="H1489" s="3">
        <v>2.0000000000000001E-4</v>
      </c>
      <c r="I1489" s="3">
        <v>0.74150000000000005</v>
      </c>
    </row>
    <row r="1490" spans="1:9">
      <c r="A1490" t="s">
        <v>195</v>
      </c>
      <c r="B1490" t="s">
        <v>205</v>
      </c>
      <c r="C1490">
        <v>216</v>
      </c>
      <c r="D1490" t="s">
        <v>194</v>
      </c>
      <c r="E1490">
        <v>1843</v>
      </c>
      <c r="F1490" s="3">
        <v>0.14199999999999999</v>
      </c>
      <c r="G1490" s="3">
        <v>0.1474</v>
      </c>
      <c r="H1490" s="3">
        <v>1.9E-3</v>
      </c>
      <c r="I1490" s="3">
        <v>0.7087</v>
      </c>
    </row>
    <row r="1491" spans="1:9">
      <c r="A1491" t="s">
        <v>199</v>
      </c>
      <c r="B1491" t="s">
        <v>202</v>
      </c>
      <c r="C1491">
        <v>392</v>
      </c>
      <c r="D1491" t="s">
        <v>194</v>
      </c>
      <c r="E1491">
        <v>1843</v>
      </c>
      <c r="F1491" s="3">
        <v>5.4399999999999997E-2</v>
      </c>
      <c r="G1491" s="3">
        <v>9.1899999999999996E-2</v>
      </c>
      <c r="I1491" s="3">
        <v>0.85370000000000001</v>
      </c>
    </row>
    <row r="1492" spans="1:9">
      <c r="A1492" t="s">
        <v>199</v>
      </c>
      <c r="B1492" t="s">
        <v>204</v>
      </c>
      <c r="C1492">
        <v>287</v>
      </c>
      <c r="D1492" t="s">
        <v>194</v>
      </c>
      <c r="E1492">
        <v>1843</v>
      </c>
      <c r="F1492" s="3">
        <v>2.7699999999999999E-2</v>
      </c>
      <c r="G1492" s="3">
        <v>0.20649999999999999</v>
      </c>
      <c r="I1492" s="3">
        <v>0.76580000000000004</v>
      </c>
    </row>
    <row r="1493" spans="1:9">
      <c r="A1493" t="s">
        <v>199</v>
      </c>
      <c r="B1493" t="s">
        <v>205</v>
      </c>
      <c r="C1493">
        <v>357</v>
      </c>
      <c r="D1493" t="s">
        <v>194</v>
      </c>
      <c r="E1493">
        <v>1843</v>
      </c>
      <c r="F1493" s="3">
        <v>8.3400000000000002E-2</v>
      </c>
      <c r="G1493" s="3">
        <v>0.24929999999999999</v>
      </c>
      <c r="H1493" s="3">
        <v>8.9999999999999998E-4</v>
      </c>
      <c r="I1493" s="3">
        <v>0.6663</v>
      </c>
    </row>
    <row r="1494" spans="1:9">
      <c r="A1494" t="s">
        <v>200</v>
      </c>
      <c r="B1494" t="s">
        <v>200</v>
      </c>
      <c r="C1494">
        <v>1843</v>
      </c>
      <c r="D1494" t="s">
        <v>200</v>
      </c>
      <c r="E1494">
        <v>1843</v>
      </c>
      <c r="F1494" s="3">
        <v>7.6200000000000004E-2</v>
      </c>
      <c r="G1494" s="3">
        <v>0.1681</v>
      </c>
      <c r="H1494" s="3">
        <v>2.9999999999999997E-4</v>
      </c>
      <c r="I1494" s="3">
        <v>0.75539999999999996</v>
      </c>
    </row>
    <row r="1496" spans="1:9" ht="60">
      <c r="A1496" s="22" t="s">
        <v>473</v>
      </c>
    </row>
    <row r="1497" spans="1:9">
      <c r="A1497" t="s">
        <v>185</v>
      </c>
      <c r="B1497" t="s">
        <v>186</v>
      </c>
      <c r="C1497" t="s">
        <v>192</v>
      </c>
      <c r="D1497" t="s">
        <v>184</v>
      </c>
      <c r="E1497" t="s">
        <v>193</v>
      </c>
      <c r="F1497" t="s">
        <v>257</v>
      </c>
      <c r="G1497" t="s">
        <v>226</v>
      </c>
      <c r="H1497" t="s">
        <v>247</v>
      </c>
      <c r="I1497" t="s">
        <v>227</v>
      </c>
    </row>
    <row r="1498" spans="1:9">
      <c r="A1498" t="s">
        <v>195</v>
      </c>
      <c r="B1498" t="s">
        <v>207</v>
      </c>
      <c r="C1498">
        <v>166</v>
      </c>
      <c r="D1498" t="s">
        <v>194</v>
      </c>
      <c r="E1498">
        <v>1843</v>
      </c>
      <c r="F1498" s="3">
        <v>0.1615</v>
      </c>
      <c r="G1498" s="3">
        <v>0.21360000000000001</v>
      </c>
      <c r="I1498" s="3">
        <v>0.625</v>
      </c>
    </row>
    <row r="1499" spans="1:9">
      <c r="A1499" t="s">
        <v>195</v>
      </c>
      <c r="B1499" t="s">
        <v>209</v>
      </c>
      <c r="C1499">
        <v>628</v>
      </c>
      <c r="D1499" t="s">
        <v>194</v>
      </c>
      <c r="E1499">
        <v>1843</v>
      </c>
      <c r="F1499" s="3">
        <v>9.3799999999999994E-2</v>
      </c>
      <c r="G1499" s="3">
        <v>0.2031</v>
      </c>
      <c r="H1499" s="3">
        <v>5.9999999999999995E-4</v>
      </c>
      <c r="I1499" s="3">
        <v>0.70250000000000001</v>
      </c>
    </row>
    <row r="1500" spans="1:9">
      <c r="A1500" t="s">
        <v>199</v>
      </c>
      <c r="B1500" t="s">
        <v>207</v>
      </c>
      <c r="C1500">
        <v>156</v>
      </c>
      <c r="D1500" t="s">
        <v>194</v>
      </c>
      <c r="E1500">
        <v>1843</v>
      </c>
      <c r="F1500" s="3">
        <v>9.8699999999999996E-2</v>
      </c>
      <c r="G1500" s="3">
        <v>0.14449999999999999</v>
      </c>
      <c r="H1500" s="3">
        <v>1.5E-3</v>
      </c>
      <c r="I1500" s="3">
        <v>0.75529999999999997</v>
      </c>
    </row>
    <row r="1501" spans="1:9">
      <c r="A1501" t="s">
        <v>199</v>
      </c>
      <c r="B1501" t="s">
        <v>209</v>
      </c>
      <c r="C1501">
        <v>893</v>
      </c>
      <c r="D1501" t="s">
        <v>194</v>
      </c>
      <c r="E1501">
        <v>1843</v>
      </c>
      <c r="F1501" s="3">
        <v>4.87E-2</v>
      </c>
      <c r="G1501" s="3">
        <v>0.14050000000000001</v>
      </c>
      <c r="I1501" s="3">
        <v>0.81079999999999997</v>
      </c>
    </row>
    <row r="1502" spans="1:9">
      <c r="A1502" t="s">
        <v>200</v>
      </c>
      <c r="B1502" t="s">
        <v>200</v>
      </c>
      <c r="C1502">
        <v>1843</v>
      </c>
      <c r="D1502" t="s">
        <v>200</v>
      </c>
      <c r="E1502">
        <v>1843</v>
      </c>
      <c r="F1502" s="3">
        <v>7.6200000000000004E-2</v>
      </c>
      <c r="G1502" s="3">
        <v>0.1681</v>
      </c>
      <c r="H1502" s="3">
        <v>2.9999999999999997E-4</v>
      </c>
      <c r="I1502" s="3">
        <v>0.75539999999999996</v>
      </c>
    </row>
    <row r="1504" spans="1:9" ht="60">
      <c r="A1504" s="22" t="s">
        <v>474</v>
      </c>
    </row>
    <row r="1505" spans="1:9">
      <c r="A1505" t="s">
        <v>185</v>
      </c>
      <c r="B1505" t="s">
        <v>192</v>
      </c>
      <c r="C1505" t="s">
        <v>184</v>
      </c>
      <c r="D1505" t="s">
        <v>193</v>
      </c>
      <c r="E1505" t="s">
        <v>257</v>
      </c>
      <c r="F1505" t="s">
        <v>226</v>
      </c>
      <c r="G1505" t="s">
        <v>247</v>
      </c>
      <c r="H1505" t="s">
        <v>227</v>
      </c>
    </row>
    <row r="1506" spans="1:9">
      <c r="A1506" t="s">
        <v>195</v>
      </c>
      <c r="B1506">
        <v>794</v>
      </c>
      <c r="C1506" t="s">
        <v>194</v>
      </c>
      <c r="D1506">
        <v>1843</v>
      </c>
      <c r="E1506" s="3">
        <v>0.1067</v>
      </c>
      <c r="F1506" s="3">
        <v>0.2051</v>
      </c>
      <c r="G1506" s="3">
        <v>5.0000000000000001E-4</v>
      </c>
      <c r="H1506" s="3">
        <v>0.68769999999999998</v>
      </c>
    </row>
    <row r="1507" spans="1:9">
      <c r="A1507" t="s">
        <v>199</v>
      </c>
      <c r="B1507">
        <v>1049</v>
      </c>
      <c r="C1507" t="s">
        <v>194</v>
      </c>
      <c r="D1507">
        <v>1843</v>
      </c>
      <c r="E1507" s="3">
        <v>5.3800000000000001E-2</v>
      </c>
      <c r="F1507" s="3">
        <v>0.1409</v>
      </c>
      <c r="G1507" s="3">
        <v>2.0000000000000001E-4</v>
      </c>
      <c r="H1507" s="3">
        <v>0.80510000000000004</v>
      </c>
    </row>
    <row r="1508" spans="1:9">
      <c r="A1508" t="s">
        <v>200</v>
      </c>
      <c r="B1508">
        <v>1843</v>
      </c>
      <c r="C1508" t="s">
        <v>200</v>
      </c>
      <c r="D1508">
        <v>1843</v>
      </c>
      <c r="E1508" s="3">
        <v>7.6200000000000004E-2</v>
      </c>
      <c r="F1508" s="3">
        <v>0.1681</v>
      </c>
      <c r="G1508" s="3">
        <v>2.9999999999999997E-4</v>
      </c>
      <c r="H1508" s="3">
        <v>0.75539999999999996</v>
      </c>
    </row>
    <row r="1510" spans="1:9" ht="60">
      <c r="A1510" s="22" t="s">
        <v>475</v>
      </c>
    </row>
    <row r="1511" spans="1:9">
      <c r="A1511" t="s">
        <v>185</v>
      </c>
      <c r="B1511" t="s">
        <v>186</v>
      </c>
      <c r="C1511" t="s">
        <v>192</v>
      </c>
      <c r="D1511" t="s">
        <v>184</v>
      </c>
      <c r="E1511" t="s">
        <v>193</v>
      </c>
      <c r="F1511" t="s">
        <v>257</v>
      </c>
      <c r="G1511" t="s">
        <v>226</v>
      </c>
      <c r="H1511" t="s">
        <v>247</v>
      </c>
      <c r="I1511" t="s">
        <v>227</v>
      </c>
    </row>
    <row r="1512" spans="1:9">
      <c r="A1512" t="s">
        <v>195</v>
      </c>
      <c r="B1512" t="s">
        <v>212</v>
      </c>
      <c r="C1512">
        <v>635</v>
      </c>
      <c r="D1512" t="s">
        <v>194</v>
      </c>
      <c r="E1512">
        <v>1843</v>
      </c>
      <c r="F1512" s="3">
        <v>0.1114</v>
      </c>
      <c r="G1512" s="3">
        <v>0.18099999999999999</v>
      </c>
      <c r="H1512" s="3">
        <v>2.0000000000000001E-4</v>
      </c>
      <c r="I1512" s="3">
        <v>0.70740000000000003</v>
      </c>
    </row>
    <row r="1513" spans="1:9" s="25" customFormat="1">
      <c r="A1513" s="25" t="s">
        <v>195</v>
      </c>
      <c r="B1513" s="25" t="s">
        <v>214</v>
      </c>
      <c r="C1513" s="25">
        <v>28</v>
      </c>
      <c r="D1513" s="25" t="s">
        <v>194</v>
      </c>
      <c r="E1513" s="25">
        <v>1843</v>
      </c>
      <c r="F1513" s="26">
        <v>1.4E-3</v>
      </c>
      <c r="G1513" s="26">
        <v>0.5837</v>
      </c>
      <c r="H1513" s="26">
        <v>3.5000000000000001E-3</v>
      </c>
      <c r="I1513" s="26">
        <v>0.41139999999999999</v>
      </c>
    </row>
    <row r="1514" spans="1:9">
      <c r="A1514" t="s">
        <v>195</v>
      </c>
      <c r="B1514" t="s">
        <v>215</v>
      </c>
      <c r="C1514">
        <v>131</v>
      </c>
      <c r="D1514" t="s">
        <v>194</v>
      </c>
      <c r="E1514">
        <v>1843</v>
      </c>
      <c r="F1514" s="3">
        <v>9.9400000000000002E-2</v>
      </c>
      <c r="G1514" s="3">
        <v>0.28079999999999999</v>
      </c>
      <c r="H1514" s="3">
        <v>1.6000000000000001E-3</v>
      </c>
      <c r="I1514" s="3">
        <v>0.61829999999999996</v>
      </c>
    </row>
    <row r="1515" spans="1:9">
      <c r="A1515" t="s">
        <v>199</v>
      </c>
      <c r="B1515" t="s">
        <v>212</v>
      </c>
      <c r="C1515">
        <v>839</v>
      </c>
      <c r="D1515" t="s">
        <v>194</v>
      </c>
      <c r="E1515">
        <v>1843</v>
      </c>
      <c r="F1515" s="3">
        <v>5.5800000000000002E-2</v>
      </c>
      <c r="G1515" s="3">
        <v>0.13389999999999999</v>
      </c>
      <c r="H1515" s="3">
        <v>2.0000000000000001E-4</v>
      </c>
      <c r="I1515" s="3">
        <v>0.81010000000000004</v>
      </c>
    </row>
    <row r="1516" spans="1:9">
      <c r="A1516" t="s">
        <v>199</v>
      </c>
      <c r="B1516" t="s">
        <v>214</v>
      </c>
      <c r="C1516">
        <v>39</v>
      </c>
      <c r="D1516" t="s">
        <v>194</v>
      </c>
      <c r="E1516">
        <v>1843</v>
      </c>
      <c r="F1516" s="3">
        <v>4.5199999999999997E-2</v>
      </c>
      <c r="G1516" s="3">
        <v>6.2899999999999998E-2</v>
      </c>
      <c r="I1516" s="3">
        <v>0.89190000000000003</v>
      </c>
    </row>
    <row r="1517" spans="1:9">
      <c r="A1517" t="s">
        <v>199</v>
      </c>
      <c r="B1517" t="s">
        <v>215</v>
      </c>
      <c r="C1517">
        <v>171</v>
      </c>
      <c r="D1517" t="s">
        <v>194</v>
      </c>
      <c r="E1517">
        <v>1843</v>
      </c>
      <c r="F1517" s="3">
        <v>4.3999999999999997E-2</v>
      </c>
      <c r="G1517" s="3">
        <v>0.2339</v>
      </c>
      <c r="I1517" s="3">
        <v>0.72209999999999996</v>
      </c>
    </row>
    <row r="1518" spans="1:9">
      <c r="A1518" t="s">
        <v>200</v>
      </c>
      <c r="B1518" t="s">
        <v>200</v>
      </c>
      <c r="C1518">
        <v>1843</v>
      </c>
      <c r="D1518" t="s">
        <v>200</v>
      </c>
      <c r="E1518">
        <v>1843</v>
      </c>
      <c r="F1518" s="3">
        <v>7.6200000000000004E-2</v>
      </c>
      <c r="G1518" s="3">
        <v>0.1681</v>
      </c>
      <c r="H1518" s="3">
        <v>2.9999999999999997E-4</v>
      </c>
      <c r="I1518" s="3">
        <v>0.75539999999999996</v>
      </c>
    </row>
    <row r="1520" spans="1:9" ht="60">
      <c r="A1520" s="22" t="s">
        <v>476</v>
      </c>
    </row>
    <row r="1521" spans="1:9">
      <c r="A1521" t="s">
        <v>185</v>
      </c>
      <c r="B1521" t="s">
        <v>186</v>
      </c>
      <c r="C1521" t="s">
        <v>192</v>
      </c>
      <c r="D1521" t="s">
        <v>184</v>
      </c>
      <c r="E1521" t="s">
        <v>193</v>
      </c>
      <c r="F1521" t="s">
        <v>257</v>
      </c>
      <c r="G1521" t="s">
        <v>226</v>
      </c>
      <c r="H1521" t="s">
        <v>247</v>
      </c>
      <c r="I1521" t="s">
        <v>227</v>
      </c>
    </row>
    <row r="1522" spans="1:9">
      <c r="A1522" t="s">
        <v>195</v>
      </c>
      <c r="B1522" t="s">
        <v>217</v>
      </c>
      <c r="C1522">
        <v>366</v>
      </c>
      <c r="D1522" t="s">
        <v>194</v>
      </c>
      <c r="E1522">
        <v>1843</v>
      </c>
      <c r="F1522" s="3">
        <v>0.1008</v>
      </c>
      <c r="G1522" s="3">
        <v>0.19159999999999999</v>
      </c>
      <c r="H1522" s="3">
        <v>5.0000000000000001E-4</v>
      </c>
      <c r="I1522" s="3">
        <v>0.70720000000000005</v>
      </c>
    </row>
    <row r="1523" spans="1:9">
      <c r="A1523" t="s">
        <v>195</v>
      </c>
      <c r="B1523" t="s">
        <v>219</v>
      </c>
      <c r="C1523">
        <v>337</v>
      </c>
      <c r="D1523" t="s">
        <v>194</v>
      </c>
      <c r="E1523">
        <v>1843</v>
      </c>
      <c r="F1523" s="3">
        <v>7.7100000000000002E-2</v>
      </c>
      <c r="G1523" s="3">
        <v>0.26729999999999998</v>
      </c>
      <c r="H1523" s="3">
        <v>5.9999999999999995E-4</v>
      </c>
      <c r="I1523" s="3">
        <v>0.65500000000000003</v>
      </c>
    </row>
    <row r="1524" spans="1:9">
      <c r="A1524" t="s">
        <v>195</v>
      </c>
      <c r="B1524" t="s">
        <v>220</v>
      </c>
      <c r="C1524">
        <v>90</v>
      </c>
      <c r="D1524" t="s">
        <v>194</v>
      </c>
      <c r="E1524">
        <v>1843</v>
      </c>
      <c r="F1524" s="3">
        <v>0.2072</v>
      </c>
      <c r="G1524" s="3">
        <v>8.3099999999999993E-2</v>
      </c>
      <c r="I1524" s="3">
        <v>0.70979999999999999</v>
      </c>
    </row>
    <row r="1525" spans="1:9">
      <c r="A1525" t="s">
        <v>199</v>
      </c>
      <c r="B1525" t="s">
        <v>217</v>
      </c>
      <c r="C1525">
        <v>636</v>
      </c>
      <c r="D1525" t="s">
        <v>194</v>
      </c>
      <c r="E1525">
        <v>1843</v>
      </c>
      <c r="F1525" s="3">
        <v>6.3399999999999998E-2</v>
      </c>
      <c r="G1525" s="3">
        <v>0.1245</v>
      </c>
      <c r="H1525" s="3">
        <v>2.0000000000000001E-4</v>
      </c>
      <c r="I1525" s="3">
        <v>0.81189999999999996</v>
      </c>
    </row>
    <row r="1526" spans="1:9">
      <c r="A1526" t="s">
        <v>199</v>
      </c>
      <c r="B1526" t="s">
        <v>219</v>
      </c>
      <c r="C1526">
        <v>282</v>
      </c>
      <c r="D1526" t="s">
        <v>194</v>
      </c>
      <c r="E1526">
        <v>1843</v>
      </c>
      <c r="F1526" s="3">
        <v>2.7799999999999998E-2</v>
      </c>
      <c r="G1526" s="3">
        <v>0.1867</v>
      </c>
      <c r="I1526" s="3">
        <v>0.78549999999999998</v>
      </c>
    </row>
    <row r="1527" spans="1:9">
      <c r="A1527" t="s">
        <v>199</v>
      </c>
      <c r="B1527" t="s">
        <v>220</v>
      </c>
      <c r="C1527">
        <v>131</v>
      </c>
      <c r="D1527" t="s">
        <v>194</v>
      </c>
      <c r="E1527">
        <v>1843</v>
      </c>
      <c r="F1527" s="3">
        <v>4.7699999999999999E-2</v>
      </c>
      <c r="G1527" s="3">
        <v>0.14910000000000001</v>
      </c>
      <c r="I1527" s="3">
        <v>0.80310000000000004</v>
      </c>
    </row>
    <row r="1528" spans="1:9">
      <c r="A1528" t="s">
        <v>200</v>
      </c>
      <c r="B1528" t="s">
        <v>200</v>
      </c>
      <c r="C1528">
        <v>1843</v>
      </c>
      <c r="D1528" t="s">
        <v>200</v>
      </c>
      <c r="E1528">
        <v>1843</v>
      </c>
      <c r="F1528" s="3">
        <v>7.6200000000000004E-2</v>
      </c>
      <c r="G1528" s="3">
        <v>0.1681</v>
      </c>
      <c r="H1528" s="3">
        <v>2.9999999999999997E-4</v>
      </c>
      <c r="I1528" s="3">
        <v>0.75539999999999996</v>
      </c>
    </row>
    <row r="1530" spans="1:9" ht="45">
      <c r="A1530" s="22" t="s">
        <v>477</v>
      </c>
    </row>
    <row r="1531" spans="1:9">
      <c r="A1531" t="s">
        <v>185</v>
      </c>
      <c r="B1531" t="s">
        <v>186</v>
      </c>
      <c r="C1531" t="s">
        <v>192</v>
      </c>
      <c r="D1531" t="s">
        <v>184</v>
      </c>
      <c r="E1531" t="s">
        <v>193</v>
      </c>
      <c r="F1531" t="s">
        <v>257</v>
      </c>
      <c r="G1531" t="s">
        <v>226</v>
      </c>
      <c r="H1531" t="s">
        <v>247</v>
      </c>
      <c r="I1531" t="s">
        <v>227</v>
      </c>
    </row>
    <row r="1532" spans="1:9">
      <c r="A1532" t="s">
        <v>195</v>
      </c>
      <c r="B1532" t="s">
        <v>196</v>
      </c>
      <c r="C1532">
        <v>413</v>
      </c>
      <c r="D1532" t="s">
        <v>194</v>
      </c>
      <c r="E1532">
        <v>2674</v>
      </c>
      <c r="F1532" s="3">
        <v>5.0000000000000001E-3</v>
      </c>
      <c r="G1532" s="3">
        <v>0.36859999999999998</v>
      </c>
      <c r="I1532" s="3">
        <v>0.62639999999999996</v>
      </c>
    </row>
    <row r="1533" spans="1:9">
      <c r="A1533" t="s">
        <v>195</v>
      </c>
      <c r="B1533" t="s">
        <v>198</v>
      </c>
      <c r="C1533">
        <v>754</v>
      </c>
      <c r="D1533" t="s">
        <v>194</v>
      </c>
      <c r="E1533">
        <v>2674</v>
      </c>
      <c r="F1533" s="3">
        <v>8.8000000000000005E-3</v>
      </c>
      <c r="G1533" s="3">
        <v>0.40579999999999999</v>
      </c>
      <c r="H1533" s="3">
        <v>2.9999999999999997E-4</v>
      </c>
      <c r="I1533" s="3">
        <v>0.58499999999999996</v>
      </c>
    </row>
    <row r="1534" spans="1:9">
      <c r="A1534" t="s">
        <v>199</v>
      </c>
      <c r="B1534" t="s">
        <v>196</v>
      </c>
      <c r="C1534">
        <v>525</v>
      </c>
      <c r="D1534" t="s">
        <v>194</v>
      </c>
      <c r="E1534">
        <v>2674</v>
      </c>
      <c r="F1534" s="3">
        <v>1.52E-2</v>
      </c>
      <c r="G1534" s="3">
        <v>0.48709999999999998</v>
      </c>
      <c r="I1534" s="3">
        <v>0.49769999999999998</v>
      </c>
    </row>
    <row r="1535" spans="1:9">
      <c r="A1535" t="s">
        <v>199</v>
      </c>
      <c r="B1535" t="s">
        <v>198</v>
      </c>
      <c r="C1535">
        <v>944</v>
      </c>
      <c r="D1535" t="s">
        <v>194</v>
      </c>
      <c r="E1535">
        <v>2674</v>
      </c>
      <c r="F1535" s="3">
        <v>8.6E-3</v>
      </c>
      <c r="G1535" s="3">
        <v>0.56159999999999999</v>
      </c>
      <c r="H1535" s="3">
        <v>1.8E-3</v>
      </c>
      <c r="I1535" s="3">
        <v>0.4279</v>
      </c>
    </row>
    <row r="1536" spans="1:9">
      <c r="A1536" t="s">
        <v>200</v>
      </c>
      <c r="B1536" t="s">
        <v>200</v>
      </c>
      <c r="C1536">
        <v>2674</v>
      </c>
      <c r="D1536" t="s">
        <v>200</v>
      </c>
      <c r="E1536">
        <v>2674</v>
      </c>
      <c r="F1536" s="3">
        <v>8.8999999999999999E-3</v>
      </c>
      <c r="G1536" s="3">
        <v>0.47939999999999999</v>
      </c>
      <c r="H1536" s="3">
        <v>8.9999999999999998E-4</v>
      </c>
      <c r="I1536" s="3">
        <v>0.51080000000000003</v>
      </c>
    </row>
    <row r="1538" spans="1:9" ht="60">
      <c r="A1538" s="22" t="s">
        <v>478</v>
      </c>
    </row>
    <row r="1539" spans="1:9">
      <c r="A1539" t="s">
        <v>185</v>
      </c>
      <c r="B1539" t="s">
        <v>186</v>
      </c>
      <c r="C1539" t="s">
        <v>192</v>
      </c>
      <c r="D1539" t="s">
        <v>184</v>
      </c>
      <c r="E1539" t="s">
        <v>193</v>
      </c>
      <c r="F1539" t="s">
        <v>257</v>
      </c>
      <c r="G1539" t="s">
        <v>226</v>
      </c>
      <c r="H1539" t="s">
        <v>247</v>
      </c>
      <c r="I1539" t="s">
        <v>227</v>
      </c>
    </row>
    <row r="1540" spans="1:9">
      <c r="A1540" t="s">
        <v>195</v>
      </c>
      <c r="B1540" t="s">
        <v>202</v>
      </c>
      <c r="C1540">
        <v>533</v>
      </c>
      <c r="D1540" t="s">
        <v>194</v>
      </c>
      <c r="E1540">
        <v>2674</v>
      </c>
      <c r="F1540" s="3">
        <v>9.4000000000000004E-3</v>
      </c>
      <c r="G1540" s="3">
        <v>0.35980000000000001</v>
      </c>
      <c r="I1540" s="3">
        <v>0.63080000000000003</v>
      </c>
    </row>
    <row r="1541" spans="1:9">
      <c r="A1541" t="s">
        <v>195</v>
      </c>
      <c r="B1541" t="s">
        <v>204</v>
      </c>
      <c r="C1541">
        <v>301</v>
      </c>
      <c r="D1541" t="s">
        <v>194</v>
      </c>
      <c r="E1541">
        <v>2674</v>
      </c>
      <c r="F1541" s="3">
        <v>2.5000000000000001E-3</v>
      </c>
      <c r="G1541" s="3">
        <v>0.56040000000000001</v>
      </c>
      <c r="H1541" s="3">
        <v>1E-3</v>
      </c>
      <c r="I1541" s="3">
        <v>0.43609999999999999</v>
      </c>
    </row>
    <row r="1542" spans="1:9">
      <c r="A1542" t="s">
        <v>195</v>
      </c>
      <c r="B1542" t="s">
        <v>205</v>
      </c>
      <c r="C1542">
        <v>333</v>
      </c>
      <c r="D1542" t="s">
        <v>194</v>
      </c>
      <c r="E1542">
        <v>2674</v>
      </c>
      <c r="F1542" s="3">
        <v>8.6E-3</v>
      </c>
      <c r="G1542" s="3">
        <v>0.30830000000000002</v>
      </c>
      <c r="I1542" s="3">
        <v>0.68310000000000004</v>
      </c>
    </row>
    <row r="1543" spans="1:9">
      <c r="A1543" t="s">
        <v>199</v>
      </c>
      <c r="B1543" t="s">
        <v>202</v>
      </c>
      <c r="C1543">
        <v>538</v>
      </c>
      <c r="D1543" t="s">
        <v>194</v>
      </c>
      <c r="E1543">
        <v>2674</v>
      </c>
      <c r="F1543" s="3">
        <v>8.3000000000000001E-3</v>
      </c>
      <c r="G1543" s="3">
        <v>0.57599999999999996</v>
      </c>
      <c r="H1543" s="3">
        <v>2E-3</v>
      </c>
      <c r="I1543" s="3">
        <v>0.41370000000000001</v>
      </c>
    </row>
    <row r="1544" spans="1:9">
      <c r="A1544" t="s">
        <v>199</v>
      </c>
      <c r="B1544" t="s">
        <v>204</v>
      </c>
      <c r="C1544">
        <v>425</v>
      </c>
      <c r="D1544" t="s">
        <v>194</v>
      </c>
      <c r="E1544">
        <v>2674</v>
      </c>
      <c r="F1544" s="3">
        <v>1.9300000000000001E-2</v>
      </c>
      <c r="G1544" s="3">
        <v>0.5917</v>
      </c>
      <c r="H1544" s="3">
        <v>5.9999999999999995E-4</v>
      </c>
      <c r="I1544" s="3">
        <v>0.38850000000000001</v>
      </c>
    </row>
    <row r="1545" spans="1:9">
      <c r="A1545" t="s">
        <v>199</v>
      </c>
      <c r="B1545" t="s">
        <v>205</v>
      </c>
      <c r="C1545">
        <v>506</v>
      </c>
      <c r="D1545" t="s">
        <v>194</v>
      </c>
      <c r="E1545">
        <v>2674</v>
      </c>
      <c r="F1545" s="3">
        <v>4.7999999999999996E-3</v>
      </c>
      <c r="G1545" s="3">
        <v>0.39150000000000001</v>
      </c>
      <c r="H1545" s="3">
        <v>5.9999999999999995E-4</v>
      </c>
      <c r="I1545" s="3">
        <v>0.60309999999999997</v>
      </c>
    </row>
    <row r="1546" spans="1:9">
      <c r="A1546" t="s">
        <v>200</v>
      </c>
      <c r="B1546" t="s">
        <v>200</v>
      </c>
      <c r="C1546">
        <v>2674</v>
      </c>
      <c r="D1546" t="s">
        <v>200</v>
      </c>
      <c r="E1546">
        <v>2674</v>
      </c>
      <c r="F1546" s="3">
        <v>8.8999999999999999E-3</v>
      </c>
      <c r="G1546" s="3">
        <v>0.47939999999999999</v>
      </c>
      <c r="H1546" s="3">
        <v>8.9999999999999998E-4</v>
      </c>
      <c r="I1546" s="3">
        <v>0.51080000000000003</v>
      </c>
    </row>
    <row r="1548" spans="1:9" ht="45">
      <c r="A1548" s="22" t="s">
        <v>479</v>
      </c>
    </row>
    <row r="1549" spans="1:9">
      <c r="A1549" t="s">
        <v>185</v>
      </c>
      <c r="B1549" t="s">
        <v>186</v>
      </c>
      <c r="C1549" t="s">
        <v>192</v>
      </c>
      <c r="D1549" t="s">
        <v>184</v>
      </c>
      <c r="E1549" t="s">
        <v>193</v>
      </c>
      <c r="F1549" t="s">
        <v>257</v>
      </c>
      <c r="G1549" t="s">
        <v>226</v>
      </c>
      <c r="H1549" t="s">
        <v>247</v>
      </c>
      <c r="I1549" t="s">
        <v>227</v>
      </c>
    </row>
    <row r="1550" spans="1:9">
      <c r="A1550" t="s">
        <v>195</v>
      </c>
      <c r="B1550" t="s">
        <v>207</v>
      </c>
      <c r="C1550">
        <v>322</v>
      </c>
      <c r="D1550" t="s">
        <v>194</v>
      </c>
      <c r="E1550">
        <v>2674</v>
      </c>
      <c r="F1550" s="3">
        <v>1.3299999999999999E-2</v>
      </c>
      <c r="G1550" s="3">
        <v>0.25459999999999999</v>
      </c>
      <c r="I1550" s="3">
        <v>0.73209999999999997</v>
      </c>
    </row>
    <row r="1551" spans="1:9">
      <c r="A1551" t="s">
        <v>195</v>
      </c>
      <c r="B1551" t="s">
        <v>209</v>
      </c>
      <c r="C1551">
        <v>865</v>
      </c>
      <c r="D1551" t="s">
        <v>194</v>
      </c>
      <c r="E1551">
        <v>2674</v>
      </c>
      <c r="F1551" s="3">
        <v>5.7999999999999996E-3</v>
      </c>
      <c r="G1551" s="3">
        <v>0.44290000000000002</v>
      </c>
      <c r="H1551" s="3">
        <v>2.9999999999999997E-4</v>
      </c>
      <c r="I1551" s="3">
        <v>0.55089999999999995</v>
      </c>
    </row>
    <row r="1552" spans="1:9">
      <c r="A1552" t="s">
        <v>199</v>
      </c>
      <c r="B1552" t="s">
        <v>207</v>
      </c>
      <c r="C1552">
        <v>283</v>
      </c>
      <c r="D1552" t="s">
        <v>194</v>
      </c>
      <c r="E1552">
        <v>2674</v>
      </c>
      <c r="F1552" s="3">
        <v>6.4999999999999997E-3</v>
      </c>
      <c r="G1552" s="3">
        <v>0.2437</v>
      </c>
      <c r="H1552" s="3">
        <v>1.9E-3</v>
      </c>
      <c r="I1552" s="3">
        <v>0.748</v>
      </c>
    </row>
    <row r="1553" spans="1:9">
      <c r="A1553" t="s">
        <v>199</v>
      </c>
      <c r="B1553" t="s">
        <v>209</v>
      </c>
      <c r="C1553">
        <v>1204</v>
      </c>
      <c r="D1553" t="s">
        <v>194</v>
      </c>
      <c r="E1553">
        <v>2674</v>
      </c>
      <c r="F1553" s="3">
        <v>1.03E-2</v>
      </c>
      <c r="G1553" s="3">
        <v>0.58930000000000005</v>
      </c>
      <c r="H1553" s="3">
        <v>1.4E-3</v>
      </c>
      <c r="I1553" s="3">
        <v>0.39900000000000002</v>
      </c>
    </row>
    <row r="1554" spans="1:9">
      <c r="A1554" t="s">
        <v>200</v>
      </c>
      <c r="B1554" t="s">
        <v>200</v>
      </c>
      <c r="C1554">
        <v>2674</v>
      </c>
      <c r="D1554" t="s">
        <v>200</v>
      </c>
      <c r="E1554">
        <v>2674</v>
      </c>
      <c r="F1554" s="3">
        <v>8.8999999999999999E-3</v>
      </c>
      <c r="G1554" s="3">
        <v>0.47939999999999999</v>
      </c>
      <c r="H1554" s="3">
        <v>8.9999999999999998E-4</v>
      </c>
      <c r="I1554" s="3">
        <v>0.51080000000000003</v>
      </c>
    </row>
    <row r="1556" spans="1:9" ht="45">
      <c r="A1556" s="22" t="s">
        <v>480</v>
      </c>
    </row>
    <row r="1557" spans="1:9">
      <c r="A1557" t="s">
        <v>185</v>
      </c>
      <c r="B1557" t="s">
        <v>192</v>
      </c>
      <c r="C1557" t="s">
        <v>184</v>
      </c>
      <c r="D1557" t="s">
        <v>193</v>
      </c>
      <c r="E1557" t="s">
        <v>257</v>
      </c>
      <c r="F1557" t="s">
        <v>226</v>
      </c>
      <c r="G1557" t="s">
        <v>247</v>
      </c>
      <c r="H1557" t="s">
        <v>227</v>
      </c>
    </row>
    <row r="1558" spans="1:9">
      <c r="A1558" t="s">
        <v>195</v>
      </c>
      <c r="B1558">
        <v>1187</v>
      </c>
      <c r="C1558" t="s">
        <v>194</v>
      </c>
      <c r="D1558">
        <v>2674</v>
      </c>
      <c r="E1558" s="3">
        <v>7.7999999999999996E-3</v>
      </c>
      <c r="F1558" s="3">
        <v>0.39450000000000002</v>
      </c>
      <c r="G1558" s="3">
        <v>2.0000000000000001E-4</v>
      </c>
      <c r="H1558" s="3">
        <v>0.59750000000000003</v>
      </c>
    </row>
    <row r="1559" spans="1:9">
      <c r="A1559" t="s">
        <v>199</v>
      </c>
      <c r="B1559">
        <v>1487</v>
      </c>
      <c r="C1559" t="s">
        <v>194</v>
      </c>
      <c r="D1559">
        <v>2674</v>
      </c>
      <c r="E1559" s="3">
        <v>9.7999999999999997E-3</v>
      </c>
      <c r="F1559" s="3">
        <v>0.54720000000000002</v>
      </c>
      <c r="G1559" s="3">
        <v>1.5E-3</v>
      </c>
      <c r="H1559" s="3">
        <v>0.4415</v>
      </c>
    </row>
    <row r="1560" spans="1:9">
      <c r="A1560" t="s">
        <v>200</v>
      </c>
      <c r="B1560">
        <v>2674</v>
      </c>
      <c r="C1560" t="s">
        <v>200</v>
      </c>
      <c r="D1560">
        <v>2674</v>
      </c>
      <c r="E1560" s="3">
        <v>8.8999999999999999E-3</v>
      </c>
      <c r="F1560" s="3">
        <v>0.47939999999999999</v>
      </c>
      <c r="G1560" s="3">
        <v>8.9999999999999998E-4</v>
      </c>
      <c r="H1560" s="3">
        <v>0.51080000000000003</v>
      </c>
    </row>
    <row r="1562" spans="1:9" ht="45">
      <c r="A1562" s="22" t="s">
        <v>481</v>
      </c>
    </row>
    <row r="1563" spans="1:9">
      <c r="A1563" t="s">
        <v>185</v>
      </c>
      <c r="B1563" t="s">
        <v>186</v>
      </c>
      <c r="C1563" t="s">
        <v>192</v>
      </c>
      <c r="D1563" t="s">
        <v>184</v>
      </c>
      <c r="E1563" t="s">
        <v>193</v>
      </c>
      <c r="F1563" t="s">
        <v>257</v>
      </c>
      <c r="G1563" t="s">
        <v>226</v>
      </c>
      <c r="H1563" t="s">
        <v>247</v>
      </c>
      <c r="I1563" t="s">
        <v>227</v>
      </c>
    </row>
    <row r="1564" spans="1:9">
      <c r="A1564" t="s">
        <v>195</v>
      </c>
      <c r="B1564" t="s">
        <v>212</v>
      </c>
      <c r="C1564">
        <v>871</v>
      </c>
      <c r="D1564" t="s">
        <v>194</v>
      </c>
      <c r="E1564">
        <v>2674</v>
      </c>
      <c r="F1564" s="3">
        <v>5.8999999999999999E-3</v>
      </c>
      <c r="G1564" s="3">
        <v>0.40689999999999998</v>
      </c>
      <c r="I1564" s="3">
        <v>0.58720000000000006</v>
      </c>
    </row>
    <row r="1565" spans="1:9">
      <c r="A1565" t="s">
        <v>195</v>
      </c>
      <c r="B1565" t="s">
        <v>214</v>
      </c>
      <c r="C1565">
        <v>181</v>
      </c>
      <c r="D1565" t="s">
        <v>194</v>
      </c>
      <c r="E1565">
        <v>2674</v>
      </c>
      <c r="F1565" s="3">
        <v>1.06E-2</v>
      </c>
      <c r="G1565" s="3">
        <v>0.40870000000000001</v>
      </c>
      <c r="I1565" s="3">
        <v>0.5806</v>
      </c>
    </row>
    <row r="1566" spans="1:9">
      <c r="A1566" t="s">
        <v>195</v>
      </c>
      <c r="B1566" t="s">
        <v>215</v>
      </c>
      <c r="C1566">
        <v>135</v>
      </c>
      <c r="D1566" t="s">
        <v>194</v>
      </c>
      <c r="E1566">
        <v>2674</v>
      </c>
      <c r="F1566" s="3">
        <v>1.9199999999999998E-2</v>
      </c>
      <c r="G1566" s="3">
        <v>0.25509999999999999</v>
      </c>
      <c r="H1566" s="3">
        <v>2.5999999999999999E-3</v>
      </c>
      <c r="I1566" s="3">
        <v>0.72309999999999997</v>
      </c>
    </row>
    <row r="1567" spans="1:9">
      <c r="A1567" t="s">
        <v>199</v>
      </c>
      <c r="B1567" t="s">
        <v>212</v>
      </c>
      <c r="C1567">
        <v>1117</v>
      </c>
      <c r="D1567" t="s">
        <v>194</v>
      </c>
      <c r="E1567">
        <v>2674</v>
      </c>
      <c r="F1567" s="3">
        <v>1.24E-2</v>
      </c>
      <c r="G1567" s="3">
        <v>0.5343</v>
      </c>
      <c r="H1567" s="3">
        <v>1.6000000000000001E-3</v>
      </c>
      <c r="I1567" s="3">
        <v>0.45169999999999999</v>
      </c>
    </row>
    <row r="1568" spans="1:9">
      <c r="A1568" t="s">
        <v>199</v>
      </c>
      <c r="B1568" t="s">
        <v>214</v>
      </c>
      <c r="C1568">
        <v>197</v>
      </c>
      <c r="D1568" t="s">
        <v>194</v>
      </c>
      <c r="E1568">
        <v>2674</v>
      </c>
      <c r="F1568" s="3">
        <v>2.3E-3</v>
      </c>
      <c r="G1568" s="3">
        <v>0.59870000000000001</v>
      </c>
      <c r="H1568" s="3">
        <v>6.9999999999999999E-4</v>
      </c>
      <c r="I1568" s="3">
        <v>0.39829999999999999</v>
      </c>
    </row>
    <row r="1569" spans="1:9">
      <c r="A1569" t="s">
        <v>199</v>
      </c>
      <c r="B1569" t="s">
        <v>215</v>
      </c>
      <c r="C1569">
        <v>173</v>
      </c>
      <c r="D1569" t="s">
        <v>194</v>
      </c>
      <c r="E1569">
        <v>2674</v>
      </c>
      <c r="G1569" s="3">
        <v>0.57179999999999997</v>
      </c>
      <c r="H1569" s="3">
        <v>1.4E-3</v>
      </c>
      <c r="I1569" s="3">
        <v>0.42680000000000001</v>
      </c>
    </row>
    <row r="1570" spans="1:9">
      <c r="A1570" t="s">
        <v>200</v>
      </c>
      <c r="B1570" t="s">
        <v>200</v>
      </c>
      <c r="C1570">
        <v>2674</v>
      </c>
      <c r="D1570" t="s">
        <v>200</v>
      </c>
      <c r="E1570">
        <v>2674</v>
      </c>
      <c r="F1570" s="3">
        <v>8.8999999999999999E-3</v>
      </c>
      <c r="G1570" s="3">
        <v>0.47939999999999999</v>
      </c>
      <c r="H1570" s="3">
        <v>8.9999999999999998E-4</v>
      </c>
      <c r="I1570" s="3">
        <v>0.51080000000000003</v>
      </c>
    </row>
    <row r="1572" spans="1:9" ht="45">
      <c r="A1572" s="22" t="s">
        <v>482</v>
      </c>
    </row>
    <row r="1573" spans="1:9">
      <c r="A1573" t="s">
        <v>185</v>
      </c>
      <c r="B1573" t="s">
        <v>186</v>
      </c>
      <c r="C1573" t="s">
        <v>192</v>
      </c>
      <c r="D1573" t="s">
        <v>184</v>
      </c>
      <c r="E1573" t="s">
        <v>193</v>
      </c>
      <c r="F1573" t="s">
        <v>257</v>
      </c>
      <c r="G1573" t="s">
        <v>226</v>
      </c>
      <c r="H1573" t="s">
        <v>247</v>
      </c>
      <c r="I1573" t="s">
        <v>227</v>
      </c>
    </row>
    <row r="1574" spans="1:9">
      <c r="A1574" t="s">
        <v>195</v>
      </c>
      <c r="B1574" t="s">
        <v>217</v>
      </c>
      <c r="C1574">
        <v>499</v>
      </c>
      <c r="D1574" t="s">
        <v>194</v>
      </c>
      <c r="E1574">
        <v>2674</v>
      </c>
      <c r="F1574" s="3">
        <v>6.3E-3</v>
      </c>
      <c r="G1574" s="3">
        <v>0.40410000000000001</v>
      </c>
      <c r="I1574" s="3">
        <v>0.58960000000000001</v>
      </c>
    </row>
    <row r="1575" spans="1:9">
      <c r="A1575" t="s">
        <v>195</v>
      </c>
      <c r="B1575" t="s">
        <v>219</v>
      </c>
      <c r="C1575">
        <v>505</v>
      </c>
      <c r="D1575" t="s">
        <v>194</v>
      </c>
      <c r="E1575">
        <v>2674</v>
      </c>
      <c r="F1575" s="3">
        <v>8.8999999999999999E-3</v>
      </c>
      <c r="G1575" s="3">
        <v>0.3463</v>
      </c>
      <c r="H1575" s="3">
        <v>5.9999999999999995E-4</v>
      </c>
      <c r="I1575" s="3">
        <v>0.64419999999999999</v>
      </c>
    </row>
    <row r="1576" spans="1:9">
      <c r="A1576" t="s">
        <v>195</v>
      </c>
      <c r="B1576" t="s">
        <v>220</v>
      </c>
      <c r="C1576">
        <v>182</v>
      </c>
      <c r="D1576" t="s">
        <v>194</v>
      </c>
      <c r="E1576">
        <v>2674</v>
      </c>
      <c r="F1576" s="3">
        <v>8.6999999999999994E-3</v>
      </c>
      <c r="G1576" s="3">
        <v>0.47289999999999999</v>
      </c>
      <c r="I1576" s="3">
        <v>0.51839999999999997</v>
      </c>
    </row>
    <row r="1577" spans="1:9">
      <c r="A1577" t="s">
        <v>199</v>
      </c>
      <c r="B1577" t="s">
        <v>217</v>
      </c>
      <c r="C1577">
        <v>813</v>
      </c>
      <c r="D1577" t="s">
        <v>194</v>
      </c>
      <c r="E1577">
        <v>2674</v>
      </c>
      <c r="F1577" s="3">
        <v>8.3000000000000001E-3</v>
      </c>
      <c r="G1577" s="3">
        <v>0.5706</v>
      </c>
      <c r="H1577" s="3">
        <v>1.4E-3</v>
      </c>
      <c r="I1577" s="3">
        <v>0.41980000000000001</v>
      </c>
    </row>
    <row r="1578" spans="1:9">
      <c r="A1578" t="s">
        <v>199</v>
      </c>
      <c r="B1578" t="s">
        <v>219</v>
      </c>
      <c r="C1578">
        <v>451</v>
      </c>
      <c r="D1578" t="s">
        <v>194</v>
      </c>
      <c r="E1578">
        <v>2674</v>
      </c>
      <c r="F1578" s="3">
        <v>4.0000000000000001E-3</v>
      </c>
      <c r="G1578" s="3">
        <v>0.49559999999999998</v>
      </c>
      <c r="H1578" s="3">
        <v>5.0000000000000001E-4</v>
      </c>
      <c r="I1578" s="3">
        <v>0.5</v>
      </c>
    </row>
    <row r="1579" spans="1:9">
      <c r="A1579" t="s">
        <v>199</v>
      </c>
      <c r="B1579" t="s">
        <v>220</v>
      </c>
      <c r="C1579">
        <v>223</v>
      </c>
      <c r="D1579" t="s">
        <v>194</v>
      </c>
      <c r="E1579">
        <v>2674</v>
      </c>
      <c r="F1579" s="3">
        <v>2.4899999999999999E-2</v>
      </c>
      <c r="G1579" s="3">
        <v>0.53949999999999998</v>
      </c>
      <c r="H1579" s="3">
        <v>3.5000000000000001E-3</v>
      </c>
      <c r="I1579" s="3">
        <v>0.43209999999999998</v>
      </c>
    </row>
    <row r="1580" spans="1:9">
      <c r="A1580" t="s">
        <v>200</v>
      </c>
      <c r="B1580" t="s">
        <v>200</v>
      </c>
      <c r="C1580">
        <v>2674</v>
      </c>
      <c r="D1580" t="s">
        <v>200</v>
      </c>
      <c r="E1580">
        <v>2674</v>
      </c>
      <c r="F1580" s="3">
        <v>8.8999999999999999E-3</v>
      </c>
      <c r="G1580" s="3">
        <v>0.47939999999999999</v>
      </c>
      <c r="H1580" s="3">
        <v>8.9999999999999998E-4</v>
      </c>
      <c r="I1580" s="3">
        <v>0.51080000000000003</v>
      </c>
    </row>
    <row r="1582" spans="1:9" ht="45">
      <c r="A1582" s="22" t="s">
        <v>483</v>
      </c>
    </row>
    <row r="1583" spans="1:9">
      <c r="A1583" t="s">
        <v>185</v>
      </c>
      <c r="B1583" t="s">
        <v>186</v>
      </c>
      <c r="C1583" t="s">
        <v>192</v>
      </c>
      <c r="D1583" t="s">
        <v>184</v>
      </c>
      <c r="E1583" t="s">
        <v>193</v>
      </c>
      <c r="F1583" t="s">
        <v>257</v>
      </c>
      <c r="G1583" t="s">
        <v>226</v>
      </c>
      <c r="H1583" t="s">
        <v>247</v>
      </c>
      <c r="I1583" t="s">
        <v>227</v>
      </c>
    </row>
    <row r="1584" spans="1:9">
      <c r="A1584" t="s">
        <v>195</v>
      </c>
      <c r="B1584" t="s">
        <v>196</v>
      </c>
      <c r="C1584">
        <v>413</v>
      </c>
      <c r="D1584" t="s">
        <v>194</v>
      </c>
      <c r="E1584">
        <v>2674</v>
      </c>
      <c r="F1584" s="3">
        <v>1.5699999999999999E-2</v>
      </c>
      <c r="G1584" s="3">
        <v>0.40200000000000002</v>
      </c>
      <c r="I1584" s="3">
        <v>0.58230000000000004</v>
      </c>
    </row>
    <row r="1585" spans="1:9">
      <c r="A1585" t="s">
        <v>195</v>
      </c>
      <c r="B1585" t="s">
        <v>198</v>
      </c>
      <c r="C1585">
        <v>753</v>
      </c>
      <c r="D1585" t="s">
        <v>194</v>
      </c>
      <c r="E1585">
        <v>2674</v>
      </c>
      <c r="F1585" s="3">
        <v>7.6E-3</v>
      </c>
      <c r="G1585" s="3">
        <v>0.43359999999999999</v>
      </c>
      <c r="H1585" s="3">
        <v>5.9999999999999995E-4</v>
      </c>
      <c r="I1585" s="3">
        <v>0.55810000000000004</v>
      </c>
    </row>
    <row r="1586" spans="1:9">
      <c r="A1586" t="s">
        <v>199</v>
      </c>
      <c r="B1586" t="s">
        <v>196</v>
      </c>
      <c r="C1586">
        <v>525</v>
      </c>
      <c r="D1586" t="s">
        <v>194</v>
      </c>
      <c r="E1586">
        <v>2674</v>
      </c>
      <c r="F1586" s="3">
        <v>1.6999999999999999E-3</v>
      </c>
      <c r="G1586" s="3">
        <v>0.59550000000000003</v>
      </c>
      <c r="I1586" s="3">
        <v>0.40279999999999999</v>
      </c>
    </row>
    <row r="1587" spans="1:9">
      <c r="A1587" t="s">
        <v>199</v>
      </c>
      <c r="B1587" t="s">
        <v>198</v>
      </c>
      <c r="C1587">
        <v>944</v>
      </c>
      <c r="D1587" t="s">
        <v>194</v>
      </c>
      <c r="E1587">
        <v>2674</v>
      </c>
      <c r="F1587" s="3">
        <v>9.1000000000000004E-3</v>
      </c>
      <c r="G1587" s="3">
        <v>0.59770000000000001</v>
      </c>
      <c r="H1587" s="3">
        <v>2.0000000000000001E-4</v>
      </c>
      <c r="I1587" s="3">
        <v>0.39300000000000002</v>
      </c>
    </row>
    <row r="1588" spans="1:9">
      <c r="A1588" t="s">
        <v>200</v>
      </c>
      <c r="B1588" t="s">
        <v>200</v>
      </c>
      <c r="C1588">
        <v>2674</v>
      </c>
      <c r="D1588" t="s">
        <v>200</v>
      </c>
      <c r="E1588">
        <v>2674</v>
      </c>
      <c r="F1588" s="3">
        <v>8.6E-3</v>
      </c>
      <c r="G1588" s="3">
        <v>0.5202</v>
      </c>
      <c r="H1588" s="3">
        <v>4.0000000000000002E-4</v>
      </c>
      <c r="I1588" s="3">
        <v>0.4708</v>
      </c>
    </row>
    <row r="1590" spans="1:9" ht="60">
      <c r="A1590" s="22" t="s">
        <v>484</v>
      </c>
    </row>
    <row r="1591" spans="1:9">
      <c r="A1591" t="s">
        <v>185</v>
      </c>
      <c r="B1591" t="s">
        <v>186</v>
      </c>
      <c r="C1591" t="s">
        <v>192</v>
      </c>
      <c r="D1591" t="s">
        <v>184</v>
      </c>
      <c r="E1591" t="s">
        <v>193</v>
      </c>
      <c r="F1591" t="s">
        <v>257</v>
      </c>
      <c r="G1591" t="s">
        <v>226</v>
      </c>
      <c r="H1591" t="s">
        <v>247</v>
      </c>
      <c r="I1591" t="s">
        <v>227</v>
      </c>
    </row>
    <row r="1592" spans="1:9">
      <c r="A1592" t="s">
        <v>195</v>
      </c>
      <c r="B1592" t="s">
        <v>202</v>
      </c>
      <c r="C1592">
        <v>533</v>
      </c>
      <c r="D1592" t="s">
        <v>194</v>
      </c>
      <c r="E1592">
        <v>2674</v>
      </c>
      <c r="F1592" s="3">
        <v>1.34E-2</v>
      </c>
      <c r="G1592" s="3">
        <v>0.40089999999999998</v>
      </c>
      <c r="H1592" s="3">
        <v>6.9999999999999999E-4</v>
      </c>
      <c r="I1592" s="3">
        <v>0.58489999999999998</v>
      </c>
    </row>
    <row r="1593" spans="1:9">
      <c r="A1593" t="s">
        <v>195</v>
      </c>
      <c r="B1593" t="s">
        <v>204</v>
      </c>
      <c r="C1593">
        <v>300</v>
      </c>
      <c r="D1593" t="s">
        <v>194</v>
      </c>
      <c r="E1593">
        <v>2674</v>
      </c>
      <c r="F1593" s="3">
        <v>6.9999999999999999E-4</v>
      </c>
      <c r="G1593" s="3">
        <v>0.56720000000000004</v>
      </c>
      <c r="I1593" s="3">
        <v>0.43209999999999998</v>
      </c>
    </row>
    <row r="1594" spans="1:9">
      <c r="A1594" t="s">
        <v>195</v>
      </c>
      <c r="B1594" t="s">
        <v>205</v>
      </c>
      <c r="C1594">
        <v>333</v>
      </c>
      <c r="D1594" t="s">
        <v>194</v>
      </c>
      <c r="E1594">
        <v>2674</v>
      </c>
      <c r="F1594" s="3">
        <v>6.7000000000000002E-3</v>
      </c>
      <c r="G1594" s="3">
        <v>0.3165</v>
      </c>
      <c r="I1594" s="3">
        <v>0.67669999999999997</v>
      </c>
    </row>
    <row r="1595" spans="1:9">
      <c r="A1595" t="s">
        <v>199</v>
      </c>
      <c r="B1595" t="s">
        <v>202</v>
      </c>
      <c r="C1595">
        <v>538</v>
      </c>
      <c r="D1595" t="s">
        <v>194</v>
      </c>
      <c r="E1595">
        <v>2674</v>
      </c>
      <c r="F1595" s="3">
        <v>9.2999999999999992E-3</v>
      </c>
      <c r="G1595" s="3">
        <v>0.62770000000000004</v>
      </c>
      <c r="I1595" s="3">
        <v>0.36299999999999999</v>
      </c>
    </row>
    <row r="1596" spans="1:9">
      <c r="A1596" t="s">
        <v>199</v>
      </c>
      <c r="B1596" t="s">
        <v>204</v>
      </c>
      <c r="C1596">
        <v>425</v>
      </c>
      <c r="D1596" t="s">
        <v>194</v>
      </c>
      <c r="E1596">
        <v>2674</v>
      </c>
      <c r="F1596" s="3">
        <v>8.0999999999999996E-3</v>
      </c>
      <c r="G1596" s="3">
        <v>0.64500000000000002</v>
      </c>
      <c r="I1596" s="3">
        <v>0.3468</v>
      </c>
    </row>
    <row r="1597" spans="1:9">
      <c r="A1597" t="s">
        <v>199</v>
      </c>
      <c r="B1597" t="s">
        <v>205</v>
      </c>
      <c r="C1597">
        <v>506</v>
      </c>
      <c r="D1597" t="s">
        <v>194</v>
      </c>
      <c r="E1597">
        <v>2674</v>
      </c>
      <c r="F1597" s="3">
        <v>1.4E-3</v>
      </c>
      <c r="G1597" s="3">
        <v>0.42770000000000002</v>
      </c>
      <c r="H1597" s="3">
        <v>8.0000000000000004E-4</v>
      </c>
      <c r="I1597" s="3">
        <v>0.56999999999999995</v>
      </c>
    </row>
    <row r="1598" spans="1:9">
      <c r="A1598" t="s">
        <v>200</v>
      </c>
      <c r="B1598" t="s">
        <v>200</v>
      </c>
      <c r="C1598">
        <v>2674</v>
      </c>
      <c r="D1598" t="s">
        <v>200</v>
      </c>
      <c r="E1598">
        <v>2674</v>
      </c>
      <c r="F1598" s="3">
        <v>8.6E-3</v>
      </c>
      <c r="G1598" s="3">
        <v>0.5202</v>
      </c>
      <c r="H1598" s="3">
        <v>4.0000000000000002E-4</v>
      </c>
      <c r="I1598" s="3">
        <v>0.4708</v>
      </c>
    </row>
    <row r="1600" spans="1:9" ht="45">
      <c r="A1600" s="22" t="s">
        <v>485</v>
      </c>
    </row>
    <row r="1601" spans="1:9">
      <c r="A1601" t="s">
        <v>185</v>
      </c>
      <c r="B1601" t="s">
        <v>186</v>
      </c>
      <c r="C1601" t="s">
        <v>192</v>
      </c>
      <c r="D1601" t="s">
        <v>184</v>
      </c>
      <c r="E1601" t="s">
        <v>193</v>
      </c>
      <c r="F1601" t="s">
        <v>257</v>
      </c>
      <c r="G1601" t="s">
        <v>226</v>
      </c>
      <c r="H1601" t="s">
        <v>247</v>
      </c>
      <c r="I1601" t="s">
        <v>227</v>
      </c>
    </row>
    <row r="1602" spans="1:9">
      <c r="A1602" t="s">
        <v>195</v>
      </c>
      <c r="B1602" t="s">
        <v>207</v>
      </c>
      <c r="C1602">
        <v>321</v>
      </c>
      <c r="D1602" t="s">
        <v>194</v>
      </c>
      <c r="E1602">
        <v>2674</v>
      </c>
      <c r="F1602" s="3">
        <v>1.7000000000000001E-2</v>
      </c>
      <c r="G1602" s="3">
        <v>0.255</v>
      </c>
      <c r="I1602" s="3">
        <v>0.72799999999999998</v>
      </c>
    </row>
    <row r="1603" spans="1:9">
      <c r="A1603" t="s">
        <v>195</v>
      </c>
      <c r="B1603" t="s">
        <v>209</v>
      </c>
      <c r="C1603">
        <v>866</v>
      </c>
      <c r="D1603" t="s">
        <v>194</v>
      </c>
      <c r="E1603">
        <v>2674</v>
      </c>
      <c r="F1603" s="3">
        <v>7.1999999999999998E-3</v>
      </c>
      <c r="G1603" s="3">
        <v>0.4829</v>
      </c>
      <c r="H1603" s="3">
        <v>5.9999999999999995E-4</v>
      </c>
      <c r="I1603" s="3">
        <v>0.50919999999999999</v>
      </c>
    </row>
    <row r="1604" spans="1:9">
      <c r="A1604" t="s">
        <v>199</v>
      </c>
      <c r="B1604" t="s">
        <v>207</v>
      </c>
      <c r="C1604">
        <v>283</v>
      </c>
      <c r="D1604" t="s">
        <v>194</v>
      </c>
      <c r="E1604">
        <v>2674</v>
      </c>
      <c r="F1604" s="3">
        <v>2.3E-3</v>
      </c>
      <c r="G1604" s="3">
        <v>0.25530000000000003</v>
      </c>
      <c r="I1604" s="3">
        <v>0.74239999999999995</v>
      </c>
    </row>
    <row r="1605" spans="1:9">
      <c r="A1605" t="s">
        <v>199</v>
      </c>
      <c r="B1605" t="s">
        <v>209</v>
      </c>
      <c r="C1605">
        <v>1204</v>
      </c>
      <c r="D1605" t="s">
        <v>194</v>
      </c>
      <c r="E1605">
        <v>2674</v>
      </c>
      <c r="F1605" s="3">
        <v>8.5000000000000006E-3</v>
      </c>
      <c r="G1605" s="3">
        <v>0.64419999999999999</v>
      </c>
      <c r="H1605" s="3">
        <v>2.9999999999999997E-4</v>
      </c>
      <c r="I1605" s="3">
        <v>0.34699999999999998</v>
      </c>
    </row>
    <row r="1606" spans="1:9">
      <c r="A1606" t="s">
        <v>200</v>
      </c>
      <c r="B1606" t="s">
        <v>200</v>
      </c>
      <c r="C1606">
        <v>2674</v>
      </c>
      <c r="D1606" t="s">
        <v>200</v>
      </c>
      <c r="E1606">
        <v>2674</v>
      </c>
      <c r="F1606" s="3">
        <v>8.6E-3</v>
      </c>
      <c r="G1606" s="3">
        <v>0.5202</v>
      </c>
      <c r="H1606" s="3">
        <v>4.0000000000000002E-4</v>
      </c>
      <c r="I1606" s="3">
        <v>0.4708</v>
      </c>
    </row>
    <row r="1608" spans="1:9" ht="45">
      <c r="A1608" s="22" t="s">
        <v>486</v>
      </c>
    </row>
    <row r="1609" spans="1:9">
      <c r="A1609" t="s">
        <v>185</v>
      </c>
      <c r="B1609" t="s">
        <v>192</v>
      </c>
      <c r="C1609" t="s">
        <v>184</v>
      </c>
      <c r="D1609" t="s">
        <v>193</v>
      </c>
      <c r="E1609" t="s">
        <v>257</v>
      </c>
      <c r="F1609" t="s">
        <v>226</v>
      </c>
      <c r="G1609" t="s">
        <v>247</v>
      </c>
      <c r="H1609" t="s">
        <v>227</v>
      </c>
    </row>
    <row r="1610" spans="1:9">
      <c r="A1610" t="s">
        <v>195</v>
      </c>
      <c r="B1610">
        <v>1187</v>
      </c>
      <c r="C1610" t="s">
        <v>194</v>
      </c>
      <c r="D1610">
        <v>2674</v>
      </c>
      <c r="E1610" s="3">
        <v>9.7000000000000003E-3</v>
      </c>
      <c r="F1610" s="3">
        <v>0.4244</v>
      </c>
      <c r="G1610" s="3">
        <v>5.0000000000000001E-4</v>
      </c>
      <c r="H1610" s="3">
        <v>0.56540000000000001</v>
      </c>
    </row>
    <row r="1611" spans="1:9">
      <c r="A1611" t="s">
        <v>199</v>
      </c>
      <c r="B1611">
        <v>1487</v>
      </c>
      <c r="C1611" t="s">
        <v>194</v>
      </c>
      <c r="D1611">
        <v>2674</v>
      </c>
      <c r="E1611" s="3">
        <v>7.7000000000000002E-3</v>
      </c>
      <c r="F1611" s="3">
        <v>0.5968</v>
      </c>
      <c r="G1611" s="3">
        <v>2.9999999999999997E-4</v>
      </c>
      <c r="H1611" s="3">
        <v>0.3952</v>
      </c>
    </row>
    <row r="1612" spans="1:9">
      <c r="A1612" t="s">
        <v>200</v>
      </c>
      <c r="B1612">
        <v>2674</v>
      </c>
      <c r="C1612" t="s">
        <v>200</v>
      </c>
      <c r="D1612">
        <v>2674</v>
      </c>
      <c r="E1612" s="3">
        <v>8.6E-3</v>
      </c>
      <c r="F1612" s="3">
        <v>0.5202</v>
      </c>
      <c r="G1612" s="3">
        <v>4.0000000000000002E-4</v>
      </c>
      <c r="H1612" s="3">
        <v>0.4708</v>
      </c>
    </row>
    <row r="1614" spans="1:9" ht="45">
      <c r="A1614" s="22" t="s">
        <v>487</v>
      </c>
    </row>
    <row r="1615" spans="1:9">
      <c r="A1615" t="s">
        <v>185</v>
      </c>
      <c r="B1615" t="s">
        <v>186</v>
      </c>
      <c r="C1615" t="s">
        <v>192</v>
      </c>
      <c r="D1615" t="s">
        <v>184</v>
      </c>
      <c r="E1615" t="s">
        <v>193</v>
      </c>
      <c r="F1615" t="s">
        <v>257</v>
      </c>
      <c r="G1615" t="s">
        <v>226</v>
      </c>
      <c r="H1615" t="s">
        <v>247</v>
      </c>
      <c r="I1615" t="s">
        <v>227</v>
      </c>
    </row>
    <row r="1616" spans="1:9">
      <c r="A1616" t="s">
        <v>195</v>
      </c>
      <c r="B1616" t="s">
        <v>212</v>
      </c>
      <c r="C1616">
        <v>871</v>
      </c>
      <c r="D1616" t="s">
        <v>194</v>
      </c>
      <c r="E1616">
        <v>2674</v>
      </c>
      <c r="F1616" s="3">
        <v>1.06E-2</v>
      </c>
      <c r="G1616" s="3">
        <v>0.43580000000000002</v>
      </c>
      <c r="I1616" s="3">
        <v>0.55369999999999997</v>
      </c>
    </row>
    <row r="1617" spans="1:9">
      <c r="A1617" t="s">
        <v>195</v>
      </c>
      <c r="B1617" t="s">
        <v>214</v>
      </c>
      <c r="C1617">
        <v>181</v>
      </c>
      <c r="D1617" t="s">
        <v>194</v>
      </c>
      <c r="E1617">
        <v>2674</v>
      </c>
      <c r="F1617" s="3">
        <v>6.6E-3</v>
      </c>
      <c r="G1617" s="3">
        <v>0.41270000000000001</v>
      </c>
      <c r="I1617" s="3">
        <v>0.58069999999999999</v>
      </c>
    </row>
    <row r="1618" spans="1:9">
      <c r="A1618" t="s">
        <v>195</v>
      </c>
      <c r="B1618" t="s">
        <v>215</v>
      </c>
      <c r="C1618">
        <v>135</v>
      </c>
      <c r="D1618" t="s">
        <v>194</v>
      </c>
      <c r="E1618">
        <v>2674</v>
      </c>
      <c r="F1618" s="3">
        <v>8.3999999999999995E-3</v>
      </c>
      <c r="G1618" s="3">
        <v>0.34489999999999998</v>
      </c>
      <c r="H1618" s="3">
        <v>5.7000000000000002E-3</v>
      </c>
      <c r="I1618" s="3">
        <v>0.64100000000000001</v>
      </c>
    </row>
    <row r="1619" spans="1:9">
      <c r="A1619" t="s">
        <v>199</v>
      </c>
      <c r="B1619" t="s">
        <v>212</v>
      </c>
      <c r="C1619">
        <v>1117</v>
      </c>
      <c r="D1619" t="s">
        <v>194</v>
      </c>
      <c r="E1619">
        <v>2674</v>
      </c>
      <c r="F1619" s="3">
        <v>8.9999999999999993E-3</v>
      </c>
      <c r="G1619" s="3">
        <v>0.61819999999999997</v>
      </c>
      <c r="H1619" s="3">
        <v>2.9999999999999997E-4</v>
      </c>
      <c r="I1619" s="3">
        <v>0.37240000000000001</v>
      </c>
    </row>
    <row r="1620" spans="1:9">
      <c r="A1620" t="s">
        <v>199</v>
      </c>
      <c r="B1620" t="s">
        <v>214</v>
      </c>
      <c r="C1620">
        <v>197</v>
      </c>
      <c r="D1620" t="s">
        <v>194</v>
      </c>
      <c r="E1620">
        <v>2674</v>
      </c>
      <c r="F1620" s="3">
        <v>5.7000000000000002E-3</v>
      </c>
      <c r="G1620" s="3">
        <v>0.52100000000000002</v>
      </c>
      <c r="I1620" s="3">
        <v>0.4733</v>
      </c>
    </row>
    <row r="1621" spans="1:9">
      <c r="A1621" t="s">
        <v>199</v>
      </c>
      <c r="B1621" t="s">
        <v>215</v>
      </c>
      <c r="C1621">
        <v>173</v>
      </c>
      <c r="D1621" t="s">
        <v>194</v>
      </c>
      <c r="E1621">
        <v>2674</v>
      </c>
      <c r="G1621" s="3">
        <v>0.53849999999999998</v>
      </c>
      <c r="I1621" s="3">
        <v>0.46150000000000002</v>
      </c>
    </row>
    <row r="1622" spans="1:9">
      <c r="A1622" t="s">
        <v>200</v>
      </c>
      <c r="B1622" t="s">
        <v>200</v>
      </c>
      <c r="C1622">
        <v>2674</v>
      </c>
      <c r="D1622" t="s">
        <v>200</v>
      </c>
      <c r="E1622">
        <v>2674</v>
      </c>
      <c r="F1622" s="3">
        <v>8.6E-3</v>
      </c>
      <c r="G1622" s="3">
        <v>0.5202</v>
      </c>
      <c r="H1622" s="3">
        <v>4.0000000000000002E-4</v>
      </c>
      <c r="I1622" s="3">
        <v>0.4708</v>
      </c>
    </row>
    <row r="1624" spans="1:9" ht="45">
      <c r="A1624" s="22" t="s">
        <v>488</v>
      </c>
    </row>
    <row r="1625" spans="1:9">
      <c r="A1625" t="s">
        <v>185</v>
      </c>
      <c r="B1625" t="s">
        <v>186</v>
      </c>
      <c r="C1625" t="s">
        <v>192</v>
      </c>
      <c r="D1625" t="s">
        <v>184</v>
      </c>
      <c r="E1625" t="s">
        <v>193</v>
      </c>
      <c r="F1625" t="s">
        <v>257</v>
      </c>
      <c r="G1625" t="s">
        <v>226</v>
      </c>
      <c r="H1625" t="s">
        <v>247</v>
      </c>
      <c r="I1625" t="s">
        <v>227</v>
      </c>
    </row>
    <row r="1626" spans="1:9">
      <c r="A1626" t="s">
        <v>195</v>
      </c>
      <c r="B1626" t="s">
        <v>217</v>
      </c>
      <c r="C1626">
        <v>498</v>
      </c>
      <c r="D1626" t="s">
        <v>194</v>
      </c>
      <c r="E1626">
        <v>2674</v>
      </c>
      <c r="F1626" s="3">
        <v>8.8000000000000005E-3</v>
      </c>
      <c r="G1626" s="3">
        <v>0.43340000000000001</v>
      </c>
      <c r="I1626" s="3">
        <v>0.55779999999999996</v>
      </c>
    </row>
    <row r="1627" spans="1:9">
      <c r="A1627" t="s">
        <v>195</v>
      </c>
      <c r="B1627" t="s">
        <v>219</v>
      </c>
      <c r="C1627">
        <v>506</v>
      </c>
      <c r="D1627" t="s">
        <v>194</v>
      </c>
      <c r="E1627">
        <v>2674</v>
      </c>
      <c r="F1627" s="3">
        <v>5.1000000000000004E-3</v>
      </c>
      <c r="G1627" s="3">
        <v>0.38</v>
      </c>
      <c r="H1627" s="3">
        <v>1.1999999999999999E-3</v>
      </c>
      <c r="I1627" s="3">
        <v>0.61370000000000002</v>
      </c>
    </row>
    <row r="1628" spans="1:9">
      <c r="A1628" t="s">
        <v>195</v>
      </c>
      <c r="B1628" t="s">
        <v>220</v>
      </c>
      <c r="C1628">
        <v>182</v>
      </c>
      <c r="D1628" t="s">
        <v>194</v>
      </c>
      <c r="E1628">
        <v>2674</v>
      </c>
      <c r="F1628" s="3">
        <v>2.1499999999999998E-2</v>
      </c>
      <c r="G1628" s="3">
        <v>0.49609999999999999</v>
      </c>
      <c r="I1628" s="3">
        <v>0.48230000000000001</v>
      </c>
    </row>
    <row r="1629" spans="1:9">
      <c r="A1629" t="s">
        <v>199</v>
      </c>
      <c r="B1629" t="s">
        <v>217</v>
      </c>
      <c r="C1629">
        <v>813</v>
      </c>
      <c r="D1629" t="s">
        <v>194</v>
      </c>
      <c r="E1629">
        <v>2674</v>
      </c>
      <c r="F1629" s="3">
        <v>2E-3</v>
      </c>
      <c r="G1629" s="3">
        <v>0.64070000000000005</v>
      </c>
      <c r="H1629" s="3">
        <v>4.0000000000000002E-4</v>
      </c>
      <c r="I1629" s="3">
        <v>0.3569</v>
      </c>
    </row>
    <row r="1630" spans="1:9">
      <c r="A1630" t="s">
        <v>199</v>
      </c>
      <c r="B1630" t="s">
        <v>219</v>
      </c>
      <c r="C1630">
        <v>451</v>
      </c>
      <c r="D1630" t="s">
        <v>194</v>
      </c>
      <c r="E1630">
        <v>2674</v>
      </c>
      <c r="F1630" s="3">
        <v>6.1000000000000004E-3</v>
      </c>
      <c r="G1630" s="3">
        <v>0.55089999999999995</v>
      </c>
      <c r="I1630" s="3">
        <v>0.44290000000000002</v>
      </c>
    </row>
    <row r="1631" spans="1:9">
      <c r="A1631" t="s">
        <v>199</v>
      </c>
      <c r="B1631" t="s">
        <v>220</v>
      </c>
      <c r="C1631">
        <v>223</v>
      </c>
      <c r="D1631" t="s">
        <v>194</v>
      </c>
      <c r="E1631">
        <v>2674</v>
      </c>
      <c r="F1631" s="3">
        <v>3.2000000000000001E-2</v>
      </c>
      <c r="G1631" s="3">
        <v>0.50209999999999999</v>
      </c>
      <c r="I1631" s="3">
        <v>0.46589999999999998</v>
      </c>
    </row>
    <row r="1632" spans="1:9">
      <c r="A1632" t="s">
        <v>200</v>
      </c>
      <c r="B1632" t="s">
        <v>200</v>
      </c>
      <c r="C1632">
        <v>2674</v>
      </c>
      <c r="D1632" t="s">
        <v>200</v>
      </c>
      <c r="E1632">
        <v>2674</v>
      </c>
      <c r="F1632" s="3">
        <v>8.6E-3</v>
      </c>
      <c r="G1632" s="3">
        <v>0.5202</v>
      </c>
      <c r="H1632" s="3">
        <v>4.0000000000000002E-4</v>
      </c>
      <c r="I1632" s="3">
        <v>0.4708</v>
      </c>
    </row>
    <row r="1634" spans="1:9" ht="45">
      <c r="A1634" s="22" t="s">
        <v>489</v>
      </c>
    </row>
    <row r="1635" spans="1:9">
      <c r="A1635" t="s">
        <v>185</v>
      </c>
      <c r="B1635" t="s">
        <v>186</v>
      </c>
      <c r="C1635" t="s">
        <v>192</v>
      </c>
      <c r="D1635" t="s">
        <v>184</v>
      </c>
      <c r="E1635" t="s">
        <v>193</v>
      </c>
      <c r="F1635" t="s">
        <v>257</v>
      </c>
      <c r="G1635" t="s">
        <v>226</v>
      </c>
      <c r="H1635" t="s">
        <v>247</v>
      </c>
      <c r="I1635" t="s">
        <v>227</v>
      </c>
    </row>
    <row r="1636" spans="1:9">
      <c r="A1636" t="s">
        <v>195</v>
      </c>
      <c r="B1636" t="s">
        <v>196</v>
      </c>
      <c r="C1636">
        <v>412</v>
      </c>
      <c r="D1636" t="s">
        <v>194</v>
      </c>
      <c r="E1636">
        <v>2670</v>
      </c>
      <c r="F1636" s="3">
        <v>1.2999999999999999E-3</v>
      </c>
      <c r="G1636" s="3">
        <v>0.25190000000000001</v>
      </c>
      <c r="I1636" s="3">
        <v>0.74680000000000002</v>
      </c>
    </row>
    <row r="1637" spans="1:9">
      <c r="A1637" t="s">
        <v>195</v>
      </c>
      <c r="B1637" t="s">
        <v>198</v>
      </c>
      <c r="C1637">
        <v>752</v>
      </c>
      <c r="D1637" t="s">
        <v>194</v>
      </c>
      <c r="E1637">
        <v>2670</v>
      </c>
      <c r="F1637" s="3">
        <v>2.8E-3</v>
      </c>
      <c r="G1637" s="3">
        <v>0.31069999999999998</v>
      </c>
      <c r="H1637" s="3">
        <v>2E-3</v>
      </c>
      <c r="I1637" s="3">
        <v>0.6845</v>
      </c>
    </row>
    <row r="1638" spans="1:9">
      <c r="A1638" t="s">
        <v>199</v>
      </c>
      <c r="B1638" t="s">
        <v>196</v>
      </c>
      <c r="C1638">
        <v>523</v>
      </c>
      <c r="D1638" t="s">
        <v>194</v>
      </c>
      <c r="E1638">
        <v>2670</v>
      </c>
      <c r="F1638" s="3">
        <v>2.3999999999999998E-3</v>
      </c>
      <c r="G1638" s="3">
        <v>0.45610000000000001</v>
      </c>
      <c r="I1638" s="3">
        <v>0.54149999999999998</v>
      </c>
    </row>
    <row r="1639" spans="1:9">
      <c r="A1639" t="s">
        <v>199</v>
      </c>
      <c r="B1639" t="s">
        <v>198</v>
      </c>
      <c r="C1639">
        <v>944</v>
      </c>
      <c r="D1639" t="s">
        <v>194</v>
      </c>
      <c r="E1639">
        <v>2670</v>
      </c>
      <c r="F1639" s="3">
        <v>3.5999999999999999E-3</v>
      </c>
      <c r="G1639" s="3">
        <v>0.40989999999999999</v>
      </c>
      <c r="H1639" s="3">
        <v>2.9999999999999997E-4</v>
      </c>
      <c r="I1639" s="3">
        <v>0.58620000000000005</v>
      </c>
    </row>
    <row r="1640" spans="1:9">
      <c r="A1640" t="s">
        <v>200</v>
      </c>
      <c r="B1640" t="s">
        <v>200</v>
      </c>
      <c r="C1640">
        <v>2670</v>
      </c>
      <c r="D1640" t="s">
        <v>200</v>
      </c>
      <c r="E1640">
        <v>2670</v>
      </c>
      <c r="F1640" s="3">
        <v>2.8999999999999998E-3</v>
      </c>
      <c r="G1640" s="3">
        <v>0.36299999999999999</v>
      </c>
      <c r="H1640" s="3">
        <v>8.0000000000000004E-4</v>
      </c>
      <c r="I1640" s="3">
        <v>0.63329999999999997</v>
      </c>
    </row>
    <row r="1642" spans="1:9" ht="45">
      <c r="A1642" s="22" t="s">
        <v>490</v>
      </c>
    </row>
    <row r="1643" spans="1:9">
      <c r="A1643" t="s">
        <v>185</v>
      </c>
      <c r="B1643" t="s">
        <v>186</v>
      </c>
      <c r="C1643" t="s">
        <v>192</v>
      </c>
      <c r="D1643" t="s">
        <v>184</v>
      </c>
      <c r="E1643" t="s">
        <v>193</v>
      </c>
      <c r="F1643" t="s">
        <v>257</v>
      </c>
      <c r="G1643" t="s">
        <v>226</v>
      </c>
      <c r="H1643" t="s">
        <v>247</v>
      </c>
      <c r="I1643" t="s">
        <v>227</v>
      </c>
    </row>
    <row r="1644" spans="1:9">
      <c r="A1644" t="s">
        <v>195</v>
      </c>
      <c r="B1644" t="s">
        <v>202</v>
      </c>
      <c r="C1644">
        <v>530</v>
      </c>
      <c r="D1644" t="s">
        <v>194</v>
      </c>
      <c r="E1644">
        <v>2670</v>
      </c>
      <c r="F1644" s="3">
        <v>2.7000000000000001E-3</v>
      </c>
      <c r="G1644" s="3">
        <v>0.29139999999999999</v>
      </c>
      <c r="H1644" s="3">
        <v>2E-3</v>
      </c>
      <c r="I1644" s="3">
        <v>0.70399999999999996</v>
      </c>
    </row>
    <row r="1645" spans="1:9">
      <c r="A1645" t="s">
        <v>195</v>
      </c>
      <c r="B1645" t="s">
        <v>204</v>
      </c>
      <c r="C1645">
        <v>301</v>
      </c>
      <c r="D1645" t="s">
        <v>194</v>
      </c>
      <c r="E1645">
        <v>2670</v>
      </c>
      <c r="F1645" s="3">
        <v>1E-4</v>
      </c>
      <c r="G1645" s="3">
        <v>0.3674</v>
      </c>
      <c r="H1645" s="3">
        <v>1E-3</v>
      </c>
      <c r="I1645" s="3">
        <v>0.63139999999999996</v>
      </c>
    </row>
    <row r="1646" spans="1:9">
      <c r="A1646" t="s">
        <v>195</v>
      </c>
      <c r="B1646" t="s">
        <v>205</v>
      </c>
      <c r="C1646">
        <v>333</v>
      </c>
      <c r="D1646" t="s">
        <v>194</v>
      </c>
      <c r="E1646">
        <v>2670</v>
      </c>
      <c r="F1646" s="3">
        <v>4.4000000000000003E-3</v>
      </c>
      <c r="G1646" s="3">
        <v>0.19750000000000001</v>
      </c>
      <c r="I1646" s="3">
        <v>0.79810000000000003</v>
      </c>
    </row>
    <row r="1647" spans="1:9">
      <c r="A1647" t="s">
        <v>199</v>
      </c>
      <c r="B1647" t="s">
        <v>202</v>
      </c>
      <c r="C1647">
        <v>537</v>
      </c>
      <c r="D1647" t="s">
        <v>194</v>
      </c>
      <c r="E1647">
        <v>2670</v>
      </c>
      <c r="F1647" s="3">
        <v>6.9999999999999999E-4</v>
      </c>
      <c r="G1647" s="3">
        <v>0.47310000000000002</v>
      </c>
      <c r="I1647" s="3">
        <v>0.52610000000000001</v>
      </c>
    </row>
    <row r="1648" spans="1:9">
      <c r="A1648" t="s">
        <v>199</v>
      </c>
      <c r="B1648" t="s">
        <v>204</v>
      </c>
      <c r="C1648">
        <v>425</v>
      </c>
      <c r="D1648" t="s">
        <v>194</v>
      </c>
      <c r="E1648">
        <v>2670</v>
      </c>
      <c r="F1648" s="3">
        <v>1.43E-2</v>
      </c>
      <c r="G1648" s="3">
        <v>0.41189999999999999</v>
      </c>
      <c r="H1648" s="3">
        <v>5.9999999999999995E-4</v>
      </c>
      <c r="I1648" s="3">
        <v>0.57310000000000005</v>
      </c>
    </row>
    <row r="1649" spans="1:9">
      <c r="A1649" t="s">
        <v>199</v>
      </c>
      <c r="B1649" t="s">
        <v>205</v>
      </c>
      <c r="C1649">
        <v>505</v>
      </c>
      <c r="D1649" t="s">
        <v>194</v>
      </c>
      <c r="E1649">
        <v>2670</v>
      </c>
      <c r="F1649" s="3">
        <v>1E-3</v>
      </c>
      <c r="G1649" s="3">
        <v>0.22009999999999999</v>
      </c>
      <c r="H1649" s="3">
        <v>8.0000000000000004E-4</v>
      </c>
      <c r="I1649" s="3">
        <v>0.77810000000000001</v>
      </c>
    </row>
    <row r="1650" spans="1:9">
      <c r="A1650" t="s">
        <v>200</v>
      </c>
      <c r="B1650" t="s">
        <v>200</v>
      </c>
      <c r="C1650">
        <v>2670</v>
      </c>
      <c r="D1650" t="s">
        <v>200</v>
      </c>
      <c r="E1650">
        <v>2670</v>
      </c>
      <c r="F1650" s="3">
        <v>2.8999999999999998E-3</v>
      </c>
      <c r="G1650" s="3">
        <v>0.36299999999999999</v>
      </c>
      <c r="H1650" s="3">
        <v>8.0000000000000004E-4</v>
      </c>
      <c r="I1650" s="3">
        <v>0.63329999999999997</v>
      </c>
    </row>
    <row r="1652" spans="1:9" ht="45">
      <c r="A1652" s="22" t="s">
        <v>491</v>
      </c>
    </row>
    <row r="1653" spans="1:9">
      <c r="A1653" t="s">
        <v>185</v>
      </c>
      <c r="B1653" t="s">
        <v>186</v>
      </c>
      <c r="C1653" t="s">
        <v>192</v>
      </c>
      <c r="D1653" t="s">
        <v>184</v>
      </c>
      <c r="E1653" t="s">
        <v>193</v>
      </c>
      <c r="F1653" t="s">
        <v>257</v>
      </c>
      <c r="G1653" t="s">
        <v>226</v>
      </c>
      <c r="H1653" t="s">
        <v>247</v>
      </c>
      <c r="I1653" t="s">
        <v>227</v>
      </c>
    </row>
    <row r="1654" spans="1:9">
      <c r="A1654" t="s">
        <v>195</v>
      </c>
      <c r="B1654" t="s">
        <v>207</v>
      </c>
      <c r="C1654">
        <v>320</v>
      </c>
      <c r="D1654" t="s">
        <v>194</v>
      </c>
      <c r="E1654">
        <v>2670</v>
      </c>
      <c r="F1654" s="3">
        <v>1E-3</v>
      </c>
      <c r="G1654" s="3">
        <v>0.21</v>
      </c>
      <c r="H1654" s="3">
        <v>4.8999999999999998E-3</v>
      </c>
      <c r="I1654" s="3">
        <v>0.78410000000000002</v>
      </c>
    </row>
    <row r="1655" spans="1:9">
      <c r="A1655" t="s">
        <v>195</v>
      </c>
      <c r="B1655" t="s">
        <v>209</v>
      </c>
      <c r="C1655">
        <v>865</v>
      </c>
      <c r="D1655" t="s">
        <v>194</v>
      </c>
      <c r="E1655">
        <v>2670</v>
      </c>
      <c r="F1655" s="3">
        <v>2.8E-3</v>
      </c>
      <c r="G1655" s="3">
        <v>0.32290000000000002</v>
      </c>
      <c r="H1655" s="3">
        <v>2.9999999999999997E-4</v>
      </c>
      <c r="I1655" s="3">
        <v>0.67400000000000004</v>
      </c>
    </row>
    <row r="1656" spans="1:9">
      <c r="A1656" t="s">
        <v>199</v>
      </c>
      <c r="B1656" t="s">
        <v>207</v>
      </c>
      <c r="C1656">
        <v>282</v>
      </c>
      <c r="D1656" t="s">
        <v>194</v>
      </c>
      <c r="E1656">
        <v>2670</v>
      </c>
      <c r="F1656" s="3">
        <v>8.9999999999999998E-4</v>
      </c>
      <c r="G1656" s="3">
        <v>0.1537</v>
      </c>
      <c r="H1656" s="3">
        <v>1E-3</v>
      </c>
      <c r="I1656" s="3">
        <v>0.84440000000000004</v>
      </c>
    </row>
    <row r="1657" spans="1:9">
      <c r="A1657" t="s">
        <v>199</v>
      </c>
      <c r="B1657" t="s">
        <v>209</v>
      </c>
      <c r="C1657">
        <v>1203</v>
      </c>
      <c r="D1657" t="s">
        <v>194</v>
      </c>
      <c r="E1657">
        <v>2670</v>
      </c>
      <c r="F1657" s="3">
        <v>3.7000000000000002E-3</v>
      </c>
      <c r="G1657" s="3">
        <v>0.45440000000000003</v>
      </c>
      <c r="H1657" s="3">
        <v>2.0000000000000001E-4</v>
      </c>
      <c r="I1657" s="3">
        <v>0.54179999999999995</v>
      </c>
    </row>
    <row r="1658" spans="1:9">
      <c r="A1658" t="s">
        <v>200</v>
      </c>
      <c r="B1658" t="s">
        <v>200</v>
      </c>
      <c r="C1658">
        <v>2670</v>
      </c>
      <c r="D1658" t="s">
        <v>200</v>
      </c>
      <c r="E1658">
        <v>2670</v>
      </c>
      <c r="F1658" s="3">
        <v>2.8999999999999998E-3</v>
      </c>
      <c r="G1658" s="3">
        <v>0.36299999999999999</v>
      </c>
      <c r="H1658" s="3">
        <v>8.0000000000000004E-4</v>
      </c>
      <c r="I1658" s="3">
        <v>0.63329999999999997</v>
      </c>
    </row>
    <row r="1660" spans="1:9" ht="45">
      <c r="A1660" s="22" t="s">
        <v>492</v>
      </c>
    </row>
    <row r="1661" spans="1:9">
      <c r="A1661" t="s">
        <v>185</v>
      </c>
      <c r="B1661" t="s">
        <v>192</v>
      </c>
      <c r="C1661" t="s">
        <v>184</v>
      </c>
      <c r="D1661" t="s">
        <v>193</v>
      </c>
      <c r="E1661" t="s">
        <v>257</v>
      </c>
      <c r="F1661" t="s">
        <v>226</v>
      </c>
      <c r="G1661" t="s">
        <v>247</v>
      </c>
      <c r="H1661" t="s">
        <v>227</v>
      </c>
    </row>
    <row r="1662" spans="1:9">
      <c r="A1662" t="s">
        <v>195</v>
      </c>
      <c r="B1662">
        <v>1185</v>
      </c>
      <c r="C1662" t="s">
        <v>194</v>
      </c>
      <c r="D1662">
        <v>2670</v>
      </c>
      <c r="E1662" s="3">
        <v>2.3999999999999998E-3</v>
      </c>
      <c r="F1662" s="3">
        <v>0.29399999999999998</v>
      </c>
      <c r="G1662" s="3">
        <v>1.5E-3</v>
      </c>
      <c r="H1662" s="3">
        <v>0.70220000000000005</v>
      </c>
    </row>
    <row r="1663" spans="1:9">
      <c r="A1663" t="s">
        <v>199</v>
      </c>
      <c r="B1663">
        <v>1485</v>
      </c>
      <c r="C1663" t="s">
        <v>194</v>
      </c>
      <c r="D1663">
        <v>2670</v>
      </c>
      <c r="E1663" s="3">
        <v>3.3999999999999998E-3</v>
      </c>
      <c r="F1663" s="3">
        <v>0.41799999999999998</v>
      </c>
      <c r="G1663" s="3">
        <v>2.9999999999999997E-4</v>
      </c>
      <c r="H1663" s="3">
        <v>0.57830000000000004</v>
      </c>
    </row>
    <row r="1664" spans="1:9">
      <c r="A1664" t="s">
        <v>200</v>
      </c>
      <c r="B1664">
        <v>2670</v>
      </c>
      <c r="C1664" t="s">
        <v>200</v>
      </c>
      <c r="D1664">
        <v>2670</v>
      </c>
      <c r="E1664" s="3">
        <v>2.8999999999999998E-3</v>
      </c>
      <c r="F1664" s="3">
        <v>0.36299999999999999</v>
      </c>
      <c r="G1664" s="3">
        <v>8.0000000000000004E-4</v>
      </c>
      <c r="H1664" s="3">
        <v>0.63329999999999997</v>
      </c>
    </row>
    <row r="1666" spans="1:9" ht="45">
      <c r="A1666" s="22" t="s">
        <v>493</v>
      </c>
    </row>
    <row r="1667" spans="1:9">
      <c r="A1667" t="s">
        <v>185</v>
      </c>
      <c r="B1667" t="s">
        <v>186</v>
      </c>
      <c r="C1667" t="s">
        <v>192</v>
      </c>
      <c r="D1667" t="s">
        <v>184</v>
      </c>
      <c r="E1667" t="s">
        <v>193</v>
      </c>
      <c r="F1667" t="s">
        <v>257</v>
      </c>
      <c r="G1667" t="s">
        <v>226</v>
      </c>
      <c r="H1667" t="s">
        <v>247</v>
      </c>
      <c r="I1667" t="s">
        <v>227</v>
      </c>
    </row>
    <row r="1668" spans="1:9">
      <c r="A1668" t="s">
        <v>195</v>
      </c>
      <c r="B1668" t="s">
        <v>212</v>
      </c>
      <c r="C1668">
        <v>871</v>
      </c>
      <c r="D1668" t="s">
        <v>194</v>
      </c>
      <c r="E1668">
        <v>2670</v>
      </c>
      <c r="F1668" s="3">
        <v>3.0999999999999999E-3</v>
      </c>
      <c r="G1668" s="3">
        <v>0.2868</v>
      </c>
      <c r="H1668" s="3">
        <v>1.6999999999999999E-3</v>
      </c>
      <c r="I1668" s="3">
        <v>0.70840000000000003</v>
      </c>
    </row>
    <row r="1669" spans="1:9">
      <c r="A1669" t="s">
        <v>195</v>
      </c>
      <c r="B1669" t="s">
        <v>214</v>
      </c>
      <c r="C1669">
        <v>181</v>
      </c>
      <c r="D1669" t="s">
        <v>194</v>
      </c>
      <c r="E1669">
        <v>2670</v>
      </c>
      <c r="F1669" s="3">
        <v>2.0000000000000001E-4</v>
      </c>
      <c r="G1669" s="3">
        <v>0.34720000000000001</v>
      </c>
      <c r="I1669" s="3">
        <v>0.65269999999999995</v>
      </c>
    </row>
    <row r="1670" spans="1:9">
      <c r="A1670" t="s">
        <v>195</v>
      </c>
      <c r="B1670" t="s">
        <v>215</v>
      </c>
      <c r="C1670">
        <v>133</v>
      </c>
      <c r="D1670" t="s">
        <v>194</v>
      </c>
      <c r="E1670">
        <v>2670</v>
      </c>
      <c r="G1670" s="3">
        <v>0.252</v>
      </c>
      <c r="H1670" s="3">
        <v>2.7000000000000001E-3</v>
      </c>
      <c r="I1670" s="3">
        <v>0.74529999999999996</v>
      </c>
    </row>
    <row r="1671" spans="1:9">
      <c r="A1671" t="s">
        <v>199</v>
      </c>
      <c r="B1671" t="s">
        <v>212</v>
      </c>
      <c r="C1671">
        <v>1115</v>
      </c>
      <c r="D1671" t="s">
        <v>194</v>
      </c>
      <c r="E1671">
        <v>2670</v>
      </c>
      <c r="F1671" s="3">
        <v>2.8999999999999998E-3</v>
      </c>
      <c r="G1671" s="3">
        <v>0.41899999999999998</v>
      </c>
      <c r="H1671" s="3">
        <v>2.0000000000000001E-4</v>
      </c>
      <c r="I1671" s="3">
        <v>0.57789999999999997</v>
      </c>
    </row>
    <row r="1672" spans="1:9">
      <c r="A1672" t="s">
        <v>199</v>
      </c>
      <c r="B1672" t="s">
        <v>214</v>
      </c>
      <c r="C1672">
        <v>197</v>
      </c>
      <c r="D1672" t="s">
        <v>194</v>
      </c>
      <c r="E1672">
        <v>2670</v>
      </c>
      <c r="F1672" s="3">
        <v>6.1999999999999998E-3</v>
      </c>
      <c r="G1672" s="3">
        <v>0.41810000000000003</v>
      </c>
      <c r="I1672" s="3">
        <v>0.57569999999999999</v>
      </c>
    </row>
    <row r="1673" spans="1:9">
      <c r="A1673" t="s">
        <v>199</v>
      </c>
      <c r="B1673" t="s">
        <v>215</v>
      </c>
      <c r="C1673">
        <v>173</v>
      </c>
      <c r="D1673" t="s">
        <v>194</v>
      </c>
      <c r="E1673">
        <v>2670</v>
      </c>
      <c r="F1673" s="3">
        <v>2.7000000000000001E-3</v>
      </c>
      <c r="G1673" s="3">
        <v>0.40889999999999999</v>
      </c>
      <c r="H1673" s="3">
        <v>1.4E-3</v>
      </c>
      <c r="I1673" s="3">
        <v>0.58699999999999997</v>
      </c>
    </row>
    <row r="1674" spans="1:9">
      <c r="A1674" t="s">
        <v>200</v>
      </c>
      <c r="B1674" t="s">
        <v>200</v>
      </c>
      <c r="C1674">
        <v>2670</v>
      </c>
      <c r="D1674" t="s">
        <v>200</v>
      </c>
      <c r="E1674">
        <v>2670</v>
      </c>
      <c r="F1674" s="3">
        <v>2.8999999999999998E-3</v>
      </c>
      <c r="G1674" s="3">
        <v>0.36299999999999999</v>
      </c>
      <c r="H1674" s="3">
        <v>8.0000000000000004E-4</v>
      </c>
      <c r="I1674" s="3">
        <v>0.63329999999999997</v>
      </c>
    </row>
    <row r="1676" spans="1:9" ht="45">
      <c r="A1676" s="22" t="s">
        <v>494</v>
      </c>
    </row>
    <row r="1677" spans="1:9">
      <c r="A1677" t="s">
        <v>185</v>
      </c>
      <c r="B1677" t="s">
        <v>186</v>
      </c>
      <c r="C1677" t="s">
        <v>192</v>
      </c>
      <c r="D1677" t="s">
        <v>184</v>
      </c>
      <c r="E1677" t="s">
        <v>193</v>
      </c>
      <c r="F1677" t="s">
        <v>257</v>
      </c>
      <c r="G1677" t="s">
        <v>226</v>
      </c>
      <c r="H1677" t="s">
        <v>247</v>
      </c>
      <c r="I1677" t="s">
        <v>227</v>
      </c>
    </row>
    <row r="1678" spans="1:9">
      <c r="A1678" t="s">
        <v>195</v>
      </c>
      <c r="B1678" t="s">
        <v>217</v>
      </c>
      <c r="C1678">
        <v>497</v>
      </c>
      <c r="D1678" t="s">
        <v>194</v>
      </c>
      <c r="E1678">
        <v>2670</v>
      </c>
      <c r="F1678" s="3">
        <v>4.8999999999999998E-3</v>
      </c>
      <c r="G1678" s="3">
        <v>0.27910000000000001</v>
      </c>
      <c r="H1678" s="3">
        <v>3.0000000000000001E-3</v>
      </c>
      <c r="I1678" s="3">
        <v>0.71299999999999997</v>
      </c>
    </row>
    <row r="1679" spans="1:9">
      <c r="A1679" t="s">
        <v>195</v>
      </c>
      <c r="B1679" t="s">
        <v>219</v>
      </c>
      <c r="C1679">
        <v>505</v>
      </c>
      <c r="D1679" t="s">
        <v>194</v>
      </c>
      <c r="E1679">
        <v>2670</v>
      </c>
      <c r="F1679" s="3">
        <v>5.9999999999999995E-4</v>
      </c>
      <c r="G1679" s="3">
        <v>0.2631</v>
      </c>
      <c r="H1679" s="3">
        <v>5.9999999999999995E-4</v>
      </c>
      <c r="I1679" s="3">
        <v>0.73570000000000002</v>
      </c>
    </row>
    <row r="1680" spans="1:9">
      <c r="A1680" t="s">
        <v>195</v>
      </c>
      <c r="B1680" t="s">
        <v>220</v>
      </c>
      <c r="C1680">
        <v>182</v>
      </c>
      <c r="D1680" t="s">
        <v>194</v>
      </c>
      <c r="E1680">
        <v>2670</v>
      </c>
      <c r="F1680" s="3">
        <v>1E-4</v>
      </c>
      <c r="G1680" s="3">
        <v>0.39100000000000001</v>
      </c>
      <c r="I1680" s="3">
        <v>0.6089</v>
      </c>
    </row>
    <row r="1681" spans="1:12">
      <c r="A1681" t="s">
        <v>199</v>
      </c>
      <c r="B1681" t="s">
        <v>217</v>
      </c>
      <c r="C1681">
        <v>811</v>
      </c>
      <c r="D1681" t="s">
        <v>194</v>
      </c>
      <c r="E1681">
        <v>2670</v>
      </c>
      <c r="F1681" s="3">
        <v>3.8999999999999998E-3</v>
      </c>
      <c r="G1681" s="3">
        <v>0.42470000000000002</v>
      </c>
      <c r="H1681" s="3">
        <v>2.0000000000000001E-4</v>
      </c>
      <c r="I1681" s="3">
        <v>0.57110000000000005</v>
      </c>
    </row>
    <row r="1682" spans="1:12">
      <c r="A1682" t="s">
        <v>199</v>
      </c>
      <c r="B1682" t="s">
        <v>219</v>
      </c>
      <c r="C1682">
        <v>451</v>
      </c>
      <c r="D1682" t="s">
        <v>194</v>
      </c>
      <c r="E1682">
        <v>2670</v>
      </c>
      <c r="F1682" s="3">
        <v>4.3E-3</v>
      </c>
      <c r="G1682" s="3">
        <v>0.39279999999999998</v>
      </c>
      <c r="H1682" s="3">
        <v>5.0000000000000001E-4</v>
      </c>
      <c r="I1682" s="3">
        <v>0.60250000000000004</v>
      </c>
    </row>
    <row r="1683" spans="1:12">
      <c r="A1683" t="s">
        <v>199</v>
      </c>
      <c r="B1683" t="s">
        <v>220</v>
      </c>
      <c r="C1683">
        <v>223</v>
      </c>
      <c r="D1683" t="s">
        <v>194</v>
      </c>
      <c r="E1683">
        <v>2670</v>
      </c>
      <c r="G1683" s="3">
        <v>0.43230000000000002</v>
      </c>
      <c r="I1683" s="3">
        <v>0.56769999999999998</v>
      </c>
    </row>
    <row r="1684" spans="1:12">
      <c r="A1684" t="s">
        <v>200</v>
      </c>
      <c r="B1684" t="s">
        <v>200</v>
      </c>
      <c r="C1684">
        <v>2670</v>
      </c>
      <c r="D1684" t="s">
        <v>200</v>
      </c>
      <c r="E1684">
        <v>2670</v>
      </c>
      <c r="F1684" s="3">
        <v>2.8999999999999998E-3</v>
      </c>
      <c r="G1684" s="3">
        <v>0.36299999999999999</v>
      </c>
      <c r="H1684" s="3">
        <v>8.0000000000000004E-4</v>
      </c>
      <c r="I1684" s="3">
        <v>0.63329999999999997</v>
      </c>
    </row>
    <row r="1686" spans="1:12" ht="45">
      <c r="A1686" s="22" t="s">
        <v>495</v>
      </c>
    </row>
    <row r="1687" spans="1:12">
      <c r="A1687" t="s">
        <v>185</v>
      </c>
      <c r="B1687" t="s">
        <v>186</v>
      </c>
      <c r="C1687" t="s">
        <v>192</v>
      </c>
      <c r="D1687" t="s">
        <v>184</v>
      </c>
      <c r="E1687" t="s">
        <v>193</v>
      </c>
      <c r="F1687" t="s">
        <v>257</v>
      </c>
      <c r="G1687" t="s">
        <v>329</v>
      </c>
      <c r="H1687" t="s">
        <v>247</v>
      </c>
      <c r="I1687" t="s">
        <v>496</v>
      </c>
      <c r="J1687" t="s">
        <v>497</v>
      </c>
      <c r="K1687" t="s">
        <v>498</v>
      </c>
      <c r="L1687" t="s">
        <v>499</v>
      </c>
    </row>
    <row r="1688" spans="1:12">
      <c r="A1688" t="s">
        <v>195</v>
      </c>
      <c r="B1688" t="s">
        <v>196</v>
      </c>
      <c r="C1688">
        <v>413</v>
      </c>
      <c r="D1688" t="s">
        <v>194</v>
      </c>
      <c r="E1688">
        <v>2677</v>
      </c>
      <c r="F1688" s="3">
        <v>4.4000000000000003E-3</v>
      </c>
      <c r="G1688" s="3">
        <v>0.79059999999999997</v>
      </c>
      <c r="H1688" s="3">
        <v>1E-4</v>
      </c>
      <c r="I1688" s="3">
        <v>2.5000000000000001E-2</v>
      </c>
      <c r="J1688" s="3">
        <v>2.2499999999999999E-2</v>
      </c>
      <c r="K1688" s="3">
        <v>9.8100000000000007E-2</v>
      </c>
      <c r="L1688" s="3">
        <v>8.1600000000000006E-2</v>
      </c>
    </row>
    <row r="1689" spans="1:12">
      <c r="A1689" t="s">
        <v>195</v>
      </c>
      <c r="B1689" t="s">
        <v>198</v>
      </c>
      <c r="C1689">
        <v>755</v>
      </c>
      <c r="D1689" t="s">
        <v>194</v>
      </c>
      <c r="E1689">
        <v>2677</v>
      </c>
      <c r="G1689" s="3">
        <v>0.78029999999999999</v>
      </c>
      <c r="I1689" s="3">
        <v>3.04E-2</v>
      </c>
      <c r="J1689" s="3">
        <v>3.3799999999999997E-2</v>
      </c>
      <c r="K1689" s="3">
        <v>6.3299999999999995E-2</v>
      </c>
      <c r="L1689" s="3">
        <v>0.105</v>
      </c>
    </row>
    <row r="1690" spans="1:12">
      <c r="A1690" t="s">
        <v>199</v>
      </c>
      <c r="B1690" t="s">
        <v>196</v>
      </c>
      <c r="C1690">
        <v>525</v>
      </c>
      <c r="D1690" t="s">
        <v>194</v>
      </c>
      <c r="E1690">
        <v>2677</v>
      </c>
      <c r="G1690" s="3">
        <v>0.80300000000000005</v>
      </c>
      <c r="I1690" s="3">
        <v>3.5499999999999997E-2</v>
      </c>
      <c r="J1690" s="3">
        <v>1.21E-2</v>
      </c>
      <c r="K1690" s="3">
        <v>8.7300000000000003E-2</v>
      </c>
      <c r="L1690" s="3">
        <v>6.5699999999999995E-2</v>
      </c>
    </row>
    <row r="1691" spans="1:12">
      <c r="A1691" t="s">
        <v>199</v>
      </c>
      <c r="B1691" t="s">
        <v>198</v>
      </c>
      <c r="C1691">
        <v>945</v>
      </c>
      <c r="D1691" t="s">
        <v>194</v>
      </c>
      <c r="E1691">
        <v>2677</v>
      </c>
      <c r="F1691" s="3">
        <v>6.6E-3</v>
      </c>
      <c r="G1691" s="3">
        <v>0.87219999999999998</v>
      </c>
      <c r="H1691" s="3">
        <v>5.0000000000000001E-4</v>
      </c>
      <c r="I1691" s="3">
        <v>2.8400000000000002E-2</v>
      </c>
      <c r="J1691" s="3">
        <v>9.4999999999999998E-3</v>
      </c>
      <c r="K1691" s="3">
        <v>3.8399999999999997E-2</v>
      </c>
      <c r="L1691" s="3">
        <v>4.87E-2</v>
      </c>
    </row>
    <row r="1692" spans="1:12">
      <c r="A1692" t="s">
        <v>200</v>
      </c>
      <c r="B1692" t="s">
        <v>200</v>
      </c>
      <c r="C1692">
        <v>2677</v>
      </c>
      <c r="D1692" t="s">
        <v>200</v>
      </c>
      <c r="E1692">
        <v>2677</v>
      </c>
      <c r="F1692" s="3">
        <v>3.5000000000000001E-3</v>
      </c>
      <c r="G1692" s="3">
        <v>0.82520000000000004</v>
      </c>
      <c r="H1692" s="3">
        <v>2.9999999999999997E-4</v>
      </c>
      <c r="I1692" s="3">
        <v>2.93E-2</v>
      </c>
      <c r="J1692" s="3">
        <v>1.9099999999999999E-2</v>
      </c>
      <c r="K1692" s="3">
        <v>5.8799999999999998E-2</v>
      </c>
      <c r="L1692" s="3">
        <v>7.2900000000000006E-2</v>
      </c>
    </row>
    <row r="1694" spans="1:12" ht="45">
      <c r="A1694" s="22" t="s">
        <v>500</v>
      </c>
    </row>
    <row r="1695" spans="1:12">
      <c r="A1695" t="s">
        <v>185</v>
      </c>
      <c r="B1695" t="s">
        <v>186</v>
      </c>
      <c r="C1695" t="s">
        <v>192</v>
      </c>
      <c r="D1695" t="s">
        <v>184</v>
      </c>
      <c r="E1695" t="s">
        <v>193</v>
      </c>
      <c r="F1695" t="s">
        <v>257</v>
      </c>
      <c r="G1695" t="s">
        <v>329</v>
      </c>
      <c r="H1695" t="s">
        <v>247</v>
      </c>
      <c r="I1695" t="s">
        <v>496</v>
      </c>
      <c r="J1695" t="s">
        <v>497</v>
      </c>
      <c r="K1695" t="s">
        <v>498</v>
      </c>
      <c r="L1695" t="s">
        <v>499</v>
      </c>
    </row>
    <row r="1696" spans="1:12">
      <c r="A1696" t="s">
        <v>195</v>
      </c>
      <c r="B1696" t="s">
        <v>202</v>
      </c>
      <c r="C1696">
        <v>533</v>
      </c>
      <c r="D1696" t="s">
        <v>194</v>
      </c>
      <c r="E1696">
        <v>2677</v>
      </c>
      <c r="G1696" s="3">
        <v>0.78469999999999995</v>
      </c>
      <c r="I1696" s="3">
        <v>2.9499999999999998E-2</v>
      </c>
      <c r="J1696" s="3">
        <v>2.92E-2</v>
      </c>
      <c r="K1696" s="3">
        <v>6.4600000000000005E-2</v>
      </c>
      <c r="L1696" s="3">
        <v>0.11269999999999999</v>
      </c>
    </row>
    <row r="1697" spans="1:12">
      <c r="A1697" t="s">
        <v>195</v>
      </c>
      <c r="B1697" t="s">
        <v>204</v>
      </c>
      <c r="C1697">
        <v>301</v>
      </c>
      <c r="D1697" t="s">
        <v>194</v>
      </c>
      <c r="E1697">
        <v>2677</v>
      </c>
      <c r="F1697" s="3">
        <v>5.4999999999999997E-3</v>
      </c>
      <c r="G1697" s="3">
        <v>0.7621</v>
      </c>
      <c r="H1697" s="3">
        <v>2.0000000000000001E-4</v>
      </c>
      <c r="I1697" s="3">
        <v>3.5999999999999997E-2</v>
      </c>
      <c r="J1697" s="3">
        <v>2.52E-2</v>
      </c>
      <c r="K1697" s="3">
        <v>9.2600000000000002E-2</v>
      </c>
      <c r="L1697" s="3">
        <v>7.8799999999999995E-2</v>
      </c>
    </row>
    <row r="1698" spans="1:12">
      <c r="A1698" t="s">
        <v>195</v>
      </c>
      <c r="B1698" t="s">
        <v>205</v>
      </c>
      <c r="C1698">
        <v>334</v>
      </c>
      <c r="D1698" t="s">
        <v>194</v>
      </c>
      <c r="E1698">
        <v>2677</v>
      </c>
      <c r="G1698" s="3">
        <v>0.8085</v>
      </c>
      <c r="I1698" s="3">
        <v>1.4800000000000001E-2</v>
      </c>
      <c r="J1698" s="3">
        <v>4.7199999999999999E-2</v>
      </c>
      <c r="K1698" s="3">
        <v>7.9200000000000007E-2</v>
      </c>
      <c r="L1698" s="3">
        <v>6.3500000000000001E-2</v>
      </c>
    </row>
    <row r="1699" spans="1:12">
      <c r="A1699" t="s">
        <v>199</v>
      </c>
      <c r="B1699" t="s">
        <v>202</v>
      </c>
      <c r="C1699">
        <v>538</v>
      </c>
      <c r="D1699" t="s">
        <v>194</v>
      </c>
      <c r="E1699">
        <v>2677</v>
      </c>
      <c r="F1699" s="3">
        <v>7.7000000000000002E-3</v>
      </c>
      <c r="G1699" s="3">
        <v>0.85760000000000003</v>
      </c>
      <c r="H1699" s="3">
        <v>6.9999999999999999E-4</v>
      </c>
      <c r="I1699" s="3">
        <v>4.1700000000000001E-2</v>
      </c>
      <c r="J1699" s="3">
        <v>7.9000000000000008E-3</v>
      </c>
      <c r="K1699" s="3">
        <v>3.7999999999999999E-2</v>
      </c>
      <c r="L1699" s="3">
        <v>5.0200000000000002E-2</v>
      </c>
    </row>
    <row r="1700" spans="1:12">
      <c r="A1700" t="s">
        <v>199</v>
      </c>
      <c r="B1700" t="s">
        <v>204</v>
      </c>
      <c r="C1700">
        <v>426</v>
      </c>
      <c r="D1700" t="s">
        <v>194</v>
      </c>
      <c r="E1700">
        <v>2677</v>
      </c>
      <c r="G1700" s="3">
        <v>0.88149999999999995</v>
      </c>
      <c r="I1700" s="3">
        <v>3.5999999999999999E-3</v>
      </c>
      <c r="J1700" s="3">
        <v>8.0999999999999996E-3</v>
      </c>
      <c r="K1700" s="3">
        <v>6.0299999999999999E-2</v>
      </c>
      <c r="L1700" s="3">
        <v>5.1200000000000002E-2</v>
      </c>
    </row>
    <row r="1701" spans="1:12">
      <c r="A1701" t="s">
        <v>199</v>
      </c>
      <c r="B1701" t="s">
        <v>205</v>
      </c>
      <c r="C1701">
        <v>506</v>
      </c>
      <c r="D1701" t="s">
        <v>194</v>
      </c>
      <c r="E1701">
        <v>2677</v>
      </c>
      <c r="F1701" s="3">
        <v>3.0999999999999999E-3</v>
      </c>
      <c r="G1701" s="3">
        <v>0.8407</v>
      </c>
      <c r="I1701" s="3">
        <v>1.46E-2</v>
      </c>
      <c r="J1701" s="3">
        <v>1.9900000000000001E-2</v>
      </c>
      <c r="K1701" s="3">
        <v>6.8500000000000005E-2</v>
      </c>
      <c r="L1701" s="3">
        <v>5.8700000000000002E-2</v>
      </c>
    </row>
    <row r="1702" spans="1:12">
      <c r="A1702" t="s">
        <v>200</v>
      </c>
      <c r="B1702" t="s">
        <v>200</v>
      </c>
      <c r="C1702">
        <v>2677</v>
      </c>
      <c r="D1702" t="s">
        <v>200</v>
      </c>
      <c r="E1702">
        <v>2677</v>
      </c>
      <c r="F1702" s="3">
        <v>3.5000000000000001E-3</v>
      </c>
      <c r="G1702" s="3">
        <v>0.82520000000000004</v>
      </c>
      <c r="H1702" s="3">
        <v>2.9999999999999997E-4</v>
      </c>
      <c r="I1702" s="3">
        <v>2.93E-2</v>
      </c>
      <c r="J1702" s="3">
        <v>1.9099999999999999E-2</v>
      </c>
      <c r="K1702" s="3">
        <v>5.8799999999999998E-2</v>
      </c>
      <c r="L1702" s="3">
        <v>7.2900000000000006E-2</v>
      </c>
    </row>
    <row r="1704" spans="1:12" ht="45">
      <c r="A1704" s="22" t="s">
        <v>501</v>
      </c>
    </row>
    <row r="1705" spans="1:12">
      <c r="A1705" t="s">
        <v>185</v>
      </c>
      <c r="B1705" t="s">
        <v>186</v>
      </c>
      <c r="C1705" t="s">
        <v>192</v>
      </c>
      <c r="D1705" t="s">
        <v>184</v>
      </c>
      <c r="E1705" t="s">
        <v>193</v>
      </c>
      <c r="F1705" t="s">
        <v>257</v>
      </c>
      <c r="G1705" t="s">
        <v>329</v>
      </c>
      <c r="H1705" t="s">
        <v>247</v>
      </c>
      <c r="I1705" t="s">
        <v>496</v>
      </c>
      <c r="J1705" t="s">
        <v>497</v>
      </c>
      <c r="K1705" t="s">
        <v>498</v>
      </c>
      <c r="L1705" t="s">
        <v>499</v>
      </c>
    </row>
    <row r="1706" spans="1:12">
      <c r="A1706" t="s">
        <v>195</v>
      </c>
      <c r="B1706" t="s">
        <v>207</v>
      </c>
      <c r="C1706">
        <v>322</v>
      </c>
      <c r="D1706" t="s">
        <v>194</v>
      </c>
      <c r="E1706">
        <v>2677</v>
      </c>
      <c r="F1706" s="3">
        <v>4.4999999999999997E-3</v>
      </c>
      <c r="G1706" s="3">
        <v>0.55269999999999997</v>
      </c>
      <c r="H1706" s="3">
        <v>1E-4</v>
      </c>
      <c r="I1706" s="3">
        <v>7.8799999999999995E-2</v>
      </c>
      <c r="J1706" s="3">
        <v>8.8499999999999995E-2</v>
      </c>
      <c r="K1706" s="3">
        <v>0.12909999999999999</v>
      </c>
      <c r="L1706" s="3">
        <v>0.1729</v>
      </c>
    </row>
    <row r="1707" spans="1:12">
      <c r="A1707" t="s">
        <v>195</v>
      </c>
      <c r="B1707" t="s">
        <v>209</v>
      </c>
      <c r="C1707">
        <v>867</v>
      </c>
      <c r="D1707" t="s">
        <v>194</v>
      </c>
      <c r="E1707">
        <v>2677</v>
      </c>
      <c r="G1707" s="3">
        <v>0.86209999999999998</v>
      </c>
      <c r="I1707" s="3">
        <v>1.15E-2</v>
      </c>
      <c r="J1707" s="3">
        <v>1.06E-2</v>
      </c>
      <c r="K1707" s="3">
        <v>5.3800000000000001E-2</v>
      </c>
      <c r="L1707" s="3">
        <v>7.3300000000000004E-2</v>
      </c>
    </row>
    <row r="1708" spans="1:12">
      <c r="A1708" t="s">
        <v>199</v>
      </c>
      <c r="B1708" t="s">
        <v>207</v>
      </c>
      <c r="C1708">
        <v>283</v>
      </c>
      <c r="D1708" t="s">
        <v>194</v>
      </c>
      <c r="E1708">
        <v>2677</v>
      </c>
      <c r="G1708" s="3">
        <v>0.59289999999999998</v>
      </c>
      <c r="I1708" s="3">
        <v>0.1454</v>
      </c>
      <c r="J1708" s="3">
        <v>2.6599999999999999E-2</v>
      </c>
      <c r="K1708" s="3">
        <v>0.1178</v>
      </c>
      <c r="L1708" s="3">
        <v>0.14729999999999999</v>
      </c>
    </row>
    <row r="1709" spans="1:12">
      <c r="A1709" t="s">
        <v>199</v>
      </c>
      <c r="B1709" t="s">
        <v>209</v>
      </c>
      <c r="C1709">
        <v>1205</v>
      </c>
      <c r="D1709" t="s">
        <v>194</v>
      </c>
      <c r="E1709">
        <v>2677</v>
      </c>
      <c r="F1709" s="3">
        <v>6.1999999999999998E-3</v>
      </c>
      <c r="G1709" s="3">
        <v>0.8962</v>
      </c>
      <c r="H1709" s="3">
        <v>5.0000000000000001E-4</v>
      </c>
      <c r="I1709" s="3">
        <v>1.37E-2</v>
      </c>
      <c r="J1709" s="3">
        <v>7.7000000000000002E-3</v>
      </c>
      <c r="K1709" s="3">
        <v>3.7699999999999997E-2</v>
      </c>
      <c r="L1709" s="3">
        <v>3.8899999999999997E-2</v>
      </c>
    </row>
    <row r="1710" spans="1:12">
      <c r="A1710" t="s">
        <v>200</v>
      </c>
      <c r="B1710" t="s">
        <v>200</v>
      </c>
      <c r="C1710">
        <v>2677</v>
      </c>
      <c r="D1710" t="s">
        <v>200</v>
      </c>
      <c r="E1710">
        <v>2677</v>
      </c>
      <c r="F1710" s="3">
        <v>3.5000000000000001E-3</v>
      </c>
      <c r="G1710" s="3">
        <v>0.82520000000000004</v>
      </c>
      <c r="H1710" s="3">
        <v>2.9999999999999997E-4</v>
      </c>
      <c r="I1710" s="3">
        <v>2.93E-2</v>
      </c>
      <c r="J1710" s="3">
        <v>1.9099999999999999E-2</v>
      </c>
      <c r="K1710" s="3">
        <v>5.8799999999999998E-2</v>
      </c>
      <c r="L1710" s="3">
        <v>7.2900000000000006E-2</v>
      </c>
    </row>
    <row r="1712" spans="1:12" ht="45">
      <c r="A1712" s="22" t="s">
        <v>502</v>
      </c>
    </row>
    <row r="1713" spans="1:12">
      <c r="A1713" t="s">
        <v>185</v>
      </c>
      <c r="B1713" t="s">
        <v>192</v>
      </c>
      <c r="C1713" t="s">
        <v>184</v>
      </c>
      <c r="D1713" t="s">
        <v>193</v>
      </c>
      <c r="E1713" t="s">
        <v>257</v>
      </c>
      <c r="F1713" t="s">
        <v>329</v>
      </c>
      <c r="G1713" t="s">
        <v>247</v>
      </c>
      <c r="H1713" t="s">
        <v>496</v>
      </c>
      <c r="I1713" t="s">
        <v>497</v>
      </c>
      <c r="J1713" t="s">
        <v>498</v>
      </c>
      <c r="K1713" t="s">
        <v>499</v>
      </c>
    </row>
    <row r="1714" spans="1:12">
      <c r="A1714" t="s">
        <v>195</v>
      </c>
      <c r="B1714">
        <v>1189</v>
      </c>
      <c r="C1714" t="s">
        <v>194</v>
      </c>
      <c r="D1714">
        <v>2677</v>
      </c>
      <c r="E1714" s="3">
        <v>1.1999999999999999E-3</v>
      </c>
      <c r="F1714" s="3">
        <v>0.78259999999999996</v>
      </c>
      <c r="G1714" s="3">
        <v>0</v>
      </c>
      <c r="H1714" s="3">
        <v>2.8799999999999999E-2</v>
      </c>
      <c r="I1714" s="3">
        <v>3.0599999999999999E-2</v>
      </c>
      <c r="J1714" s="3">
        <v>7.3099999999999998E-2</v>
      </c>
      <c r="K1714" s="3">
        <v>9.8900000000000002E-2</v>
      </c>
    </row>
    <row r="1715" spans="1:12">
      <c r="A1715" t="s">
        <v>199</v>
      </c>
      <c r="B1715">
        <v>1488</v>
      </c>
      <c r="C1715" t="s">
        <v>194</v>
      </c>
      <c r="D1715">
        <v>2677</v>
      </c>
      <c r="E1715" s="3">
        <v>5.4000000000000003E-3</v>
      </c>
      <c r="F1715" s="3">
        <v>0.85929999999999995</v>
      </c>
      <c r="G1715" s="3">
        <v>4.0000000000000002E-4</v>
      </c>
      <c r="H1715" s="3">
        <v>2.9700000000000001E-2</v>
      </c>
      <c r="I1715" s="3">
        <v>0.01</v>
      </c>
      <c r="J1715" s="3">
        <v>4.7399999999999998E-2</v>
      </c>
      <c r="K1715" s="3">
        <v>5.21E-2</v>
      </c>
    </row>
    <row r="1716" spans="1:12">
      <c r="A1716" t="s">
        <v>200</v>
      </c>
      <c r="B1716">
        <v>2677</v>
      </c>
      <c r="C1716" t="s">
        <v>200</v>
      </c>
      <c r="D1716">
        <v>2677</v>
      </c>
      <c r="E1716" s="3">
        <v>3.5000000000000001E-3</v>
      </c>
      <c r="F1716" s="3">
        <v>0.82520000000000004</v>
      </c>
      <c r="G1716" s="3">
        <v>2.9999999999999997E-4</v>
      </c>
      <c r="H1716" s="3">
        <v>2.93E-2</v>
      </c>
      <c r="I1716" s="3">
        <v>1.9099999999999999E-2</v>
      </c>
      <c r="J1716" s="3">
        <v>5.8799999999999998E-2</v>
      </c>
      <c r="K1716" s="3">
        <v>7.2900000000000006E-2</v>
      </c>
    </row>
    <row r="1718" spans="1:12" ht="45">
      <c r="A1718" s="22" t="s">
        <v>503</v>
      </c>
    </row>
    <row r="1719" spans="1:12">
      <c r="A1719" t="s">
        <v>185</v>
      </c>
      <c r="B1719" t="s">
        <v>186</v>
      </c>
      <c r="C1719" t="s">
        <v>192</v>
      </c>
      <c r="D1719" t="s">
        <v>184</v>
      </c>
      <c r="E1719" t="s">
        <v>193</v>
      </c>
      <c r="F1719" t="s">
        <v>257</v>
      </c>
      <c r="G1719" t="s">
        <v>329</v>
      </c>
      <c r="H1719" t="s">
        <v>247</v>
      </c>
      <c r="I1719" t="s">
        <v>496</v>
      </c>
      <c r="J1719" t="s">
        <v>497</v>
      </c>
      <c r="K1719" t="s">
        <v>498</v>
      </c>
      <c r="L1719" t="s">
        <v>499</v>
      </c>
    </row>
    <row r="1720" spans="1:12">
      <c r="A1720" t="s">
        <v>195</v>
      </c>
      <c r="B1720" t="s">
        <v>212</v>
      </c>
      <c r="C1720">
        <v>873</v>
      </c>
      <c r="D1720" t="s">
        <v>194</v>
      </c>
      <c r="E1720">
        <v>2677</v>
      </c>
      <c r="F1720" s="3">
        <v>1.6000000000000001E-3</v>
      </c>
      <c r="G1720" s="3">
        <v>0.77959999999999996</v>
      </c>
      <c r="H1720" s="3">
        <v>0</v>
      </c>
      <c r="I1720" s="3">
        <v>2.5999999999999999E-2</v>
      </c>
      <c r="J1720" s="3">
        <v>3.0800000000000001E-2</v>
      </c>
      <c r="K1720" s="3">
        <v>7.1499999999999994E-2</v>
      </c>
      <c r="L1720" s="3">
        <v>9.6500000000000002E-2</v>
      </c>
    </row>
    <row r="1721" spans="1:12">
      <c r="A1721" t="s">
        <v>195</v>
      </c>
      <c r="B1721" t="s">
        <v>214</v>
      </c>
      <c r="C1721">
        <v>181</v>
      </c>
      <c r="D1721" t="s">
        <v>194</v>
      </c>
      <c r="E1721">
        <v>2677</v>
      </c>
      <c r="G1721" s="3">
        <v>0.84219999999999995</v>
      </c>
      <c r="I1721" s="3">
        <v>4.3900000000000002E-2</v>
      </c>
      <c r="K1721" s="3">
        <v>4.3299999999999998E-2</v>
      </c>
      <c r="L1721" s="3">
        <v>7.0599999999999996E-2</v>
      </c>
    </row>
    <row r="1722" spans="1:12">
      <c r="A1722" t="s">
        <v>195</v>
      </c>
      <c r="B1722" t="s">
        <v>215</v>
      </c>
      <c r="C1722">
        <v>135</v>
      </c>
      <c r="D1722" t="s">
        <v>194</v>
      </c>
      <c r="E1722">
        <v>2677</v>
      </c>
      <c r="G1722" s="3">
        <v>0.69179999999999997</v>
      </c>
      <c r="I1722" s="3">
        <v>2.3699999999999999E-2</v>
      </c>
      <c r="J1722" s="3">
        <v>8.9200000000000002E-2</v>
      </c>
      <c r="K1722" s="3">
        <v>0.14649999999999999</v>
      </c>
      <c r="L1722" s="3">
        <v>0.17610000000000001</v>
      </c>
    </row>
    <row r="1723" spans="1:12">
      <c r="A1723" t="s">
        <v>199</v>
      </c>
      <c r="B1723" t="s">
        <v>212</v>
      </c>
      <c r="C1723">
        <v>1118</v>
      </c>
      <c r="D1723" t="s">
        <v>194</v>
      </c>
      <c r="E1723">
        <v>2677</v>
      </c>
      <c r="F1723" s="3">
        <v>5.0000000000000001E-4</v>
      </c>
      <c r="G1723" s="3">
        <v>0.87270000000000003</v>
      </c>
      <c r="H1723" s="3">
        <v>5.9999999999999995E-4</v>
      </c>
      <c r="I1723" s="3">
        <v>3.1E-2</v>
      </c>
      <c r="J1723" s="3">
        <v>6.1000000000000004E-3</v>
      </c>
      <c r="K1723" s="3">
        <v>4.7199999999999999E-2</v>
      </c>
      <c r="L1723" s="3">
        <v>4.65E-2</v>
      </c>
    </row>
    <row r="1724" spans="1:12">
      <c r="A1724" t="s">
        <v>199</v>
      </c>
      <c r="B1724" t="s">
        <v>214</v>
      </c>
      <c r="C1724">
        <v>197</v>
      </c>
      <c r="D1724" t="s">
        <v>194</v>
      </c>
      <c r="E1724">
        <v>2677</v>
      </c>
      <c r="F1724" s="3">
        <v>3.2300000000000002E-2</v>
      </c>
      <c r="G1724" s="3">
        <v>0.85540000000000005</v>
      </c>
      <c r="I1724" s="3">
        <v>8.0000000000000004E-4</v>
      </c>
      <c r="J1724" s="3">
        <v>1.4E-2</v>
      </c>
      <c r="K1724" s="3">
        <v>2.1999999999999999E-2</v>
      </c>
      <c r="L1724" s="3">
        <v>7.5600000000000001E-2</v>
      </c>
    </row>
    <row r="1725" spans="1:12">
      <c r="A1725" t="s">
        <v>199</v>
      </c>
      <c r="B1725" t="s">
        <v>215</v>
      </c>
      <c r="C1725">
        <v>173</v>
      </c>
      <c r="D1725" t="s">
        <v>194</v>
      </c>
      <c r="E1725">
        <v>2677</v>
      </c>
      <c r="F1725" s="3">
        <v>1.4E-3</v>
      </c>
      <c r="G1725" s="3">
        <v>0.74450000000000005</v>
      </c>
      <c r="I1725" s="3">
        <v>7.0400000000000004E-2</v>
      </c>
      <c r="J1725" s="3">
        <v>3.85E-2</v>
      </c>
      <c r="K1725" s="3">
        <v>9.5000000000000001E-2</v>
      </c>
      <c r="L1725" s="3">
        <v>6.0900000000000003E-2</v>
      </c>
    </row>
    <row r="1726" spans="1:12">
      <c r="A1726" t="s">
        <v>200</v>
      </c>
      <c r="B1726" t="s">
        <v>200</v>
      </c>
      <c r="C1726">
        <v>2677</v>
      </c>
      <c r="D1726" t="s">
        <v>200</v>
      </c>
      <c r="E1726">
        <v>2677</v>
      </c>
      <c r="F1726" s="3">
        <v>3.5000000000000001E-3</v>
      </c>
      <c r="G1726" s="3">
        <v>0.82520000000000004</v>
      </c>
      <c r="H1726" s="3">
        <v>2.9999999999999997E-4</v>
      </c>
      <c r="I1726" s="3">
        <v>2.93E-2</v>
      </c>
      <c r="J1726" s="3">
        <v>1.9099999999999999E-2</v>
      </c>
      <c r="K1726" s="3">
        <v>5.8799999999999998E-2</v>
      </c>
      <c r="L1726" s="3">
        <v>7.2900000000000006E-2</v>
      </c>
    </row>
    <row r="1728" spans="1:12" ht="45">
      <c r="A1728" s="22" t="s">
        <v>504</v>
      </c>
    </row>
    <row r="1729" spans="1:12">
      <c r="A1729" t="s">
        <v>185</v>
      </c>
      <c r="B1729" t="s">
        <v>186</v>
      </c>
      <c r="C1729" t="s">
        <v>192</v>
      </c>
      <c r="D1729" t="s">
        <v>184</v>
      </c>
      <c r="E1729" t="s">
        <v>193</v>
      </c>
      <c r="F1729" t="s">
        <v>257</v>
      </c>
      <c r="G1729" t="s">
        <v>329</v>
      </c>
      <c r="H1729" t="s">
        <v>247</v>
      </c>
      <c r="I1729" t="s">
        <v>496</v>
      </c>
      <c r="J1729" t="s">
        <v>497</v>
      </c>
      <c r="K1729" t="s">
        <v>498</v>
      </c>
      <c r="L1729" t="s">
        <v>499</v>
      </c>
    </row>
    <row r="1730" spans="1:12">
      <c r="A1730" t="s">
        <v>195</v>
      </c>
      <c r="B1730" t="s">
        <v>217</v>
      </c>
      <c r="C1730">
        <v>499</v>
      </c>
      <c r="D1730" t="s">
        <v>194</v>
      </c>
      <c r="E1730">
        <v>2677</v>
      </c>
      <c r="F1730" s="3">
        <v>2.8E-3</v>
      </c>
      <c r="G1730" s="3">
        <v>0.76749999999999996</v>
      </c>
      <c r="H1730" s="3">
        <v>1E-4</v>
      </c>
      <c r="I1730" s="3">
        <v>2.12E-2</v>
      </c>
      <c r="J1730" s="3">
        <v>3.4599999999999999E-2</v>
      </c>
      <c r="K1730" s="3">
        <v>9.1899999999999996E-2</v>
      </c>
      <c r="L1730" s="3">
        <v>0.1032</v>
      </c>
    </row>
    <row r="1731" spans="1:12">
      <c r="A1731" t="s">
        <v>195</v>
      </c>
      <c r="B1731" t="s">
        <v>219</v>
      </c>
      <c r="C1731">
        <v>507</v>
      </c>
      <c r="D1731" t="s">
        <v>194</v>
      </c>
      <c r="E1731">
        <v>2677</v>
      </c>
      <c r="G1731" s="3">
        <v>0.8155</v>
      </c>
      <c r="I1731" s="3">
        <v>2.52E-2</v>
      </c>
      <c r="J1731" s="3">
        <v>3.1E-2</v>
      </c>
      <c r="K1731" s="3">
        <v>7.3300000000000004E-2</v>
      </c>
      <c r="L1731" s="3">
        <v>6.6100000000000006E-2</v>
      </c>
    </row>
    <row r="1732" spans="1:12">
      <c r="A1732" t="s">
        <v>195</v>
      </c>
      <c r="B1732" t="s">
        <v>220</v>
      </c>
      <c r="C1732">
        <v>182</v>
      </c>
      <c r="D1732" t="s">
        <v>194</v>
      </c>
      <c r="E1732">
        <v>2677</v>
      </c>
      <c r="G1732" s="3">
        <v>0.74809999999999999</v>
      </c>
      <c r="I1732" s="3">
        <v>5.3199999999999997E-2</v>
      </c>
      <c r="J1732" s="3">
        <v>2.0899999999999998E-2</v>
      </c>
      <c r="K1732" s="3">
        <v>3.09E-2</v>
      </c>
      <c r="L1732" s="3">
        <v>0.1573</v>
      </c>
    </row>
    <row r="1733" spans="1:12">
      <c r="A1733" t="s">
        <v>199</v>
      </c>
      <c r="B1733" t="s">
        <v>217</v>
      </c>
      <c r="C1733">
        <v>814</v>
      </c>
      <c r="D1733" t="s">
        <v>194</v>
      </c>
      <c r="E1733">
        <v>2677</v>
      </c>
      <c r="F1733" s="3">
        <v>6.9999999999999999E-4</v>
      </c>
      <c r="G1733" s="3">
        <v>0.86699999999999999</v>
      </c>
      <c r="I1733" s="3">
        <v>3.32E-2</v>
      </c>
      <c r="J1733" s="3">
        <v>8.5000000000000006E-3</v>
      </c>
      <c r="K1733" s="3">
        <v>5.21E-2</v>
      </c>
      <c r="L1733" s="3">
        <v>4.0599999999999997E-2</v>
      </c>
    </row>
    <row r="1734" spans="1:12">
      <c r="A1734" t="s">
        <v>199</v>
      </c>
      <c r="B1734" t="s">
        <v>219</v>
      </c>
      <c r="C1734">
        <v>451</v>
      </c>
      <c r="D1734" t="s">
        <v>194</v>
      </c>
      <c r="E1734">
        <v>2677</v>
      </c>
      <c r="F1734" s="3">
        <v>1.9800000000000002E-2</v>
      </c>
      <c r="G1734" s="3">
        <v>0.82779999999999998</v>
      </c>
      <c r="I1734" s="3">
        <v>3.3000000000000002E-2</v>
      </c>
      <c r="J1734" s="3">
        <v>1.4999999999999999E-2</v>
      </c>
      <c r="K1734" s="3">
        <v>2.9499999999999998E-2</v>
      </c>
      <c r="L1734" s="3">
        <v>7.85E-2</v>
      </c>
    </row>
    <row r="1735" spans="1:12">
      <c r="A1735" t="s">
        <v>199</v>
      </c>
      <c r="B1735" t="s">
        <v>220</v>
      </c>
      <c r="C1735">
        <v>223</v>
      </c>
      <c r="D1735" t="s">
        <v>194</v>
      </c>
      <c r="E1735">
        <v>2677</v>
      </c>
      <c r="F1735" s="3">
        <v>8.0000000000000004E-4</v>
      </c>
      <c r="G1735" s="3">
        <v>0.87970000000000004</v>
      </c>
      <c r="H1735" s="3">
        <v>2.8E-3</v>
      </c>
      <c r="I1735" s="3">
        <v>1.11E-2</v>
      </c>
      <c r="J1735" s="3">
        <v>7.9000000000000008E-3</v>
      </c>
      <c r="K1735" s="3">
        <v>5.8000000000000003E-2</v>
      </c>
      <c r="L1735" s="3">
        <v>5.4300000000000001E-2</v>
      </c>
    </row>
    <row r="1736" spans="1:12">
      <c r="A1736" t="s">
        <v>200</v>
      </c>
      <c r="B1736" t="s">
        <v>200</v>
      </c>
      <c r="C1736">
        <v>2677</v>
      </c>
      <c r="D1736" t="s">
        <v>200</v>
      </c>
      <c r="E1736">
        <v>2677</v>
      </c>
      <c r="F1736" s="3">
        <v>3.5000000000000001E-3</v>
      </c>
      <c r="G1736" s="3">
        <v>0.82520000000000004</v>
      </c>
      <c r="H1736" s="3">
        <v>2.9999999999999997E-4</v>
      </c>
      <c r="I1736" s="3">
        <v>2.93E-2</v>
      </c>
      <c r="J1736" s="3">
        <v>1.9099999999999999E-2</v>
      </c>
      <c r="K1736" s="3">
        <v>5.8799999999999998E-2</v>
      </c>
      <c r="L1736" s="3">
        <v>7.2900000000000006E-2</v>
      </c>
    </row>
    <row r="1738" spans="1:12" ht="45">
      <c r="A1738" s="22" t="s">
        <v>505</v>
      </c>
    </row>
    <row r="1739" spans="1:12">
      <c r="A1739" t="s">
        <v>185</v>
      </c>
      <c r="B1739" t="s">
        <v>186</v>
      </c>
      <c r="C1739" t="s">
        <v>192</v>
      </c>
      <c r="D1739" t="s">
        <v>184</v>
      </c>
      <c r="E1739" t="s">
        <v>193</v>
      </c>
      <c r="F1739" t="s">
        <v>506</v>
      </c>
      <c r="G1739" t="s">
        <v>507</v>
      </c>
      <c r="H1739" t="s">
        <v>257</v>
      </c>
      <c r="I1739" t="s">
        <v>508</v>
      </c>
      <c r="J1739" t="s">
        <v>247</v>
      </c>
      <c r="K1739" t="s">
        <v>509</v>
      </c>
    </row>
    <row r="1740" spans="1:12">
      <c r="A1740" t="s">
        <v>195</v>
      </c>
      <c r="B1740" t="s">
        <v>196</v>
      </c>
      <c r="C1740">
        <v>413</v>
      </c>
      <c r="D1740" t="s">
        <v>194</v>
      </c>
      <c r="E1740">
        <v>2677</v>
      </c>
      <c r="F1740" s="3">
        <v>9.2499999999999999E-2</v>
      </c>
      <c r="G1740" s="3">
        <v>7.1999999999999998E-3</v>
      </c>
      <c r="I1740" s="3">
        <v>0.61309999999999998</v>
      </c>
      <c r="K1740" s="3">
        <v>0.28720000000000001</v>
      </c>
    </row>
    <row r="1741" spans="1:12">
      <c r="A1741" t="s">
        <v>195</v>
      </c>
      <c r="B1741" t="s">
        <v>198</v>
      </c>
      <c r="C1741">
        <v>755</v>
      </c>
      <c r="D1741" t="s">
        <v>194</v>
      </c>
      <c r="E1741">
        <v>2677</v>
      </c>
      <c r="F1741" s="3">
        <v>9.4299999999999995E-2</v>
      </c>
      <c r="G1741" s="3">
        <v>3.3E-3</v>
      </c>
      <c r="H1741" s="3">
        <v>4.8999999999999998E-3</v>
      </c>
      <c r="I1741" s="3">
        <v>0.65720000000000001</v>
      </c>
      <c r="J1741" s="3">
        <v>1.6999999999999999E-3</v>
      </c>
      <c r="K1741" s="3">
        <v>0.23849999999999999</v>
      </c>
    </row>
    <row r="1742" spans="1:12">
      <c r="A1742" t="s">
        <v>199</v>
      </c>
      <c r="B1742" t="s">
        <v>196</v>
      </c>
      <c r="C1742">
        <v>525</v>
      </c>
      <c r="D1742" t="s">
        <v>194</v>
      </c>
      <c r="E1742">
        <v>2677</v>
      </c>
      <c r="F1742" s="3">
        <v>5.9900000000000002E-2</v>
      </c>
      <c r="G1742" s="3">
        <v>2.8E-3</v>
      </c>
      <c r="H1742" s="3">
        <v>2.0000000000000001E-4</v>
      </c>
      <c r="I1742" s="3">
        <v>0.67820000000000003</v>
      </c>
      <c r="J1742" s="3">
        <v>6.9999999999999999E-4</v>
      </c>
      <c r="K1742" s="3">
        <v>0.2581</v>
      </c>
    </row>
    <row r="1743" spans="1:12">
      <c r="A1743" t="s">
        <v>199</v>
      </c>
      <c r="B1743" t="s">
        <v>198</v>
      </c>
      <c r="C1743">
        <v>945</v>
      </c>
      <c r="D1743" t="s">
        <v>194</v>
      </c>
      <c r="E1743">
        <v>2677</v>
      </c>
      <c r="F1743" s="3">
        <v>4.5400000000000003E-2</v>
      </c>
      <c r="G1743" s="3">
        <v>3.5000000000000001E-3</v>
      </c>
      <c r="H1743" s="3">
        <v>2.9999999999999997E-4</v>
      </c>
      <c r="I1743" s="3">
        <v>0.73280000000000001</v>
      </c>
      <c r="K1743" s="3">
        <v>0.218</v>
      </c>
    </row>
    <row r="1744" spans="1:12">
      <c r="A1744" t="s">
        <v>200</v>
      </c>
      <c r="B1744" t="s">
        <v>200</v>
      </c>
      <c r="C1744">
        <v>2677</v>
      </c>
      <c r="D1744" t="s">
        <v>200</v>
      </c>
      <c r="E1744">
        <v>2677</v>
      </c>
      <c r="F1744" s="3">
        <v>6.8500000000000005E-2</v>
      </c>
      <c r="G1744" s="3">
        <v>3.8E-3</v>
      </c>
      <c r="H1744" s="3">
        <v>1.6999999999999999E-3</v>
      </c>
      <c r="I1744" s="3">
        <v>0.68820000000000003</v>
      </c>
      <c r="J1744" s="3">
        <v>5.9999999999999995E-4</v>
      </c>
      <c r="K1744" s="3">
        <v>0.23710000000000001</v>
      </c>
    </row>
    <row r="1746" spans="1:11" ht="45">
      <c r="A1746" s="22" t="s">
        <v>510</v>
      </c>
    </row>
    <row r="1747" spans="1:11">
      <c r="A1747" t="s">
        <v>185</v>
      </c>
      <c r="B1747" t="s">
        <v>186</v>
      </c>
      <c r="C1747" t="s">
        <v>192</v>
      </c>
      <c r="D1747" t="s">
        <v>184</v>
      </c>
      <c r="E1747" t="s">
        <v>193</v>
      </c>
      <c r="F1747" t="s">
        <v>506</v>
      </c>
      <c r="G1747" t="s">
        <v>507</v>
      </c>
      <c r="H1747" t="s">
        <v>257</v>
      </c>
      <c r="I1747" t="s">
        <v>508</v>
      </c>
      <c r="J1747" t="s">
        <v>247</v>
      </c>
      <c r="K1747" t="s">
        <v>509</v>
      </c>
    </row>
    <row r="1748" spans="1:11">
      <c r="A1748" t="s">
        <v>195</v>
      </c>
      <c r="B1748" t="s">
        <v>202</v>
      </c>
      <c r="C1748">
        <v>533</v>
      </c>
      <c r="D1748" t="s">
        <v>194</v>
      </c>
      <c r="E1748">
        <v>2677</v>
      </c>
      <c r="F1748" s="3">
        <v>0.10249999999999999</v>
      </c>
      <c r="G1748" s="3">
        <v>2.8E-3</v>
      </c>
      <c r="H1748" s="3">
        <v>3.2000000000000002E-3</v>
      </c>
      <c r="I1748" s="3">
        <v>0.63200000000000001</v>
      </c>
      <c r="J1748" s="3">
        <v>1.9E-3</v>
      </c>
      <c r="K1748" s="3">
        <v>0.25750000000000001</v>
      </c>
    </row>
    <row r="1749" spans="1:11">
      <c r="A1749" t="s">
        <v>195</v>
      </c>
      <c r="B1749" t="s">
        <v>204</v>
      </c>
      <c r="C1749">
        <v>301</v>
      </c>
      <c r="D1749" t="s">
        <v>194</v>
      </c>
      <c r="E1749">
        <v>2677</v>
      </c>
      <c r="F1749" s="3">
        <v>7.3999999999999996E-2</v>
      </c>
      <c r="G1749" s="3">
        <v>1.11E-2</v>
      </c>
      <c r="H1749" s="3">
        <v>1.1000000000000001E-3</v>
      </c>
      <c r="I1749" s="3">
        <v>0.66220000000000001</v>
      </c>
      <c r="K1749" s="3">
        <v>0.25159999999999999</v>
      </c>
    </row>
    <row r="1750" spans="1:11">
      <c r="A1750" t="s">
        <v>195</v>
      </c>
      <c r="B1750" t="s">
        <v>205</v>
      </c>
      <c r="C1750">
        <v>334</v>
      </c>
      <c r="D1750" t="s">
        <v>194</v>
      </c>
      <c r="E1750">
        <v>2677</v>
      </c>
      <c r="F1750" s="3">
        <v>8.3699999999999997E-2</v>
      </c>
      <c r="G1750" s="3">
        <v>1.4E-3</v>
      </c>
      <c r="H1750" s="3">
        <v>9.1999999999999998E-3</v>
      </c>
      <c r="I1750" s="3">
        <v>0.68289999999999995</v>
      </c>
      <c r="K1750" s="3">
        <v>0.2228</v>
      </c>
    </row>
    <row r="1751" spans="1:11">
      <c r="A1751" t="s">
        <v>199</v>
      </c>
      <c r="B1751" t="s">
        <v>202</v>
      </c>
      <c r="C1751">
        <v>538</v>
      </c>
      <c r="D1751" t="s">
        <v>194</v>
      </c>
      <c r="E1751">
        <v>2677</v>
      </c>
      <c r="F1751" s="3">
        <v>5.33E-2</v>
      </c>
      <c r="I1751" s="3">
        <v>0.69979999999999998</v>
      </c>
      <c r="K1751" s="3">
        <v>0.24690000000000001</v>
      </c>
    </row>
    <row r="1752" spans="1:11">
      <c r="A1752" t="s">
        <v>199</v>
      </c>
      <c r="B1752" t="s">
        <v>204</v>
      </c>
      <c r="C1752">
        <v>426</v>
      </c>
      <c r="D1752" t="s">
        <v>194</v>
      </c>
      <c r="E1752">
        <v>2677</v>
      </c>
      <c r="F1752" s="3">
        <v>1.61E-2</v>
      </c>
      <c r="G1752" s="3">
        <v>2.2000000000000001E-3</v>
      </c>
      <c r="H1752" s="3">
        <v>1E-4</v>
      </c>
      <c r="I1752" s="3">
        <v>0.81299999999999994</v>
      </c>
      <c r="J1752" s="3">
        <v>6.9999999999999999E-4</v>
      </c>
      <c r="K1752" s="3">
        <v>0.1678</v>
      </c>
    </row>
    <row r="1753" spans="1:11">
      <c r="A1753" t="s">
        <v>199</v>
      </c>
      <c r="B1753" t="s">
        <v>205</v>
      </c>
      <c r="C1753">
        <v>506</v>
      </c>
      <c r="D1753" t="s">
        <v>194</v>
      </c>
      <c r="E1753">
        <v>2677</v>
      </c>
      <c r="F1753" s="3">
        <v>6.5199999999999994E-2</v>
      </c>
      <c r="G1753" s="3">
        <v>1.7500000000000002E-2</v>
      </c>
      <c r="H1753" s="3">
        <v>1.4E-3</v>
      </c>
      <c r="I1753" s="3">
        <v>0.70540000000000003</v>
      </c>
      <c r="K1753" s="3">
        <v>0.21049999999999999</v>
      </c>
    </row>
    <row r="1754" spans="1:11">
      <c r="A1754" t="s">
        <v>200</v>
      </c>
      <c r="B1754" t="s">
        <v>200</v>
      </c>
      <c r="C1754">
        <v>2677</v>
      </c>
      <c r="D1754" t="s">
        <v>200</v>
      </c>
      <c r="E1754">
        <v>2677</v>
      </c>
      <c r="F1754" s="3">
        <v>6.8500000000000005E-2</v>
      </c>
      <c r="G1754" s="3">
        <v>3.8E-3</v>
      </c>
      <c r="H1754" s="3">
        <v>1.6999999999999999E-3</v>
      </c>
      <c r="I1754" s="3">
        <v>0.68820000000000003</v>
      </c>
      <c r="J1754" s="3">
        <v>5.9999999999999995E-4</v>
      </c>
      <c r="K1754" s="3">
        <v>0.23710000000000001</v>
      </c>
    </row>
    <row r="1756" spans="1:11" ht="45">
      <c r="A1756" s="22" t="s">
        <v>511</v>
      </c>
    </row>
    <row r="1757" spans="1:11">
      <c r="A1757" t="s">
        <v>185</v>
      </c>
      <c r="B1757" t="s">
        <v>186</v>
      </c>
      <c r="C1757" t="s">
        <v>192</v>
      </c>
      <c r="D1757" t="s">
        <v>184</v>
      </c>
      <c r="E1757" t="s">
        <v>193</v>
      </c>
      <c r="F1757" t="s">
        <v>506</v>
      </c>
      <c r="G1757" t="s">
        <v>507</v>
      </c>
      <c r="H1757" t="s">
        <v>257</v>
      </c>
      <c r="I1757" t="s">
        <v>508</v>
      </c>
      <c r="J1757" t="s">
        <v>247</v>
      </c>
      <c r="K1757" t="s">
        <v>509</v>
      </c>
    </row>
    <row r="1758" spans="1:11">
      <c r="A1758" t="s">
        <v>195</v>
      </c>
      <c r="B1758" t="s">
        <v>207</v>
      </c>
      <c r="C1758">
        <v>322</v>
      </c>
      <c r="D1758" t="s">
        <v>194</v>
      </c>
      <c r="E1758">
        <v>2677</v>
      </c>
      <c r="F1758" s="3">
        <v>0.36559999999999998</v>
      </c>
      <c r="G1758" s="3">
        <v>1.6899999999999998E-2</v>
      </c>
      <c r="I1758" s="3">
        <v>0.29920000000000002</v>
      </c>
      <c r="K1758" s="3">
        <v>0.31830000000000003</v>
      </c>
    </row>
    <row r="1759" spans="1:11">
      <c r="A1759" t="s">
        <v>195</v>
      </c>
      <c r="B1759" t="s">
        <v>209</v>
      </c>
      <c r="C1759">
        <v>867</v>
      </c>
      <c r="D1759" t="s">
        <v>194</v>
      </c>
      <c r="E1759">
        <v>2677</v>
      </c>
      <c r="H1759" s="3">
        <v>4.7999999999999996E-3</v>
      </c>
      <c r="I1759" s="3">
        <v>0.76480000000000004</v>
      </c>
      <c r="J1759" s="3">
        <v>1.6999999999999999E-3</v>
      </c>
      <c r="K1759" s="3">
        <v>0.22869999999999999</v>
      </c>
    </row>
    <row r="1760" spans="1:11">
      <c r="A1760" t="s">
        <v>199</v>
      </c>
      <c r="B1760" t="s">
        <v>207</v>
      </c>
      <c r="C1760">
        <v>283</v>
      </c>
      <c r="D1760" t="s">
        <v>194</v>
      </c>
      <c r="E1760">
        <v>2677</v>
      </c>
      <c r="F1760" s="3">
        <v>0.3957</v>
      </c>
      <c r="G1760" s="3">
        <v>2.7699999999999999E-2</v>
      </c>
      <c r="H1760" s="3">
        <v>8.9999999999999998E-4</v>
      </c>
      <c r="I1760" s="3">
        <v>0.29270000000000002</v>
      </c>
      <c r="K1760" s="3">
        <v>0.28299999999999997</v>
      </c>
    </row>
    <row r="1761" spans="1:11">
      <c r="A1761" t="s">
        <v>199</v>
      </c>
      <c r="B1761" t="s">
        <v>209</v>
      </c>
      <c r="C1761">
        <v>1205</v>
      </c>
      <c r="D1761" t="s">
        <v>194</v>
      </c>
      <c r="E1761">
        <v>2677</v>
      </c>
      <c r="H1761" s="3">
        <v>2.0000000000000001E-4</v>
      </c>
      <c r="I1761" s="3">
        <v>0.78220000000000001</v>
      </c>
      <c r="J1761" s="3">
        <v>2.0000000000000001E-4</v>
      </c>
      <c r="K1761" s="3">
        <v>0.21740000000000001</v>
      </c>
    </row>
    <row r="1762" spans="1:11">
      <c r="A1762" t="s">
        <v>200</v>
      </c>
      <c r="B1762" t="s">
        <v>200</v>
      </c>
      <c r="C1762">
        <v>2677</v>
      </c>
      <c r="D1762" t="s">
        <v>200</v>
      </c>
      <c r="E1762">
        <v>2677</v>
      </c>
      <c r="F1762" s="3">
        <v>6.8500000000000005E-2</v>
      </c>
      <c r="G1762" s="3">
        <v>3.8E-3</v>
      </c>
      <c r="H1762" s="3">
        <v>1.6999999999999999E-3</v>
      </c>
      <c r="I1762" s="3">
        <v>0.68820000000000003</v>
      </c>
      <c r="J1762" s="3">
        <v>5.9999999999999995E-4</v>
      </c>
      <c r="K1762" s="3">
        <v>0.23710000000000001</v>
      </c>
    </row>
    <row r="1764" spans="1:11" ht="45">
      <c r="A1764" s="22" t="s">
        <v>512</v>
      </c>
    </row>
    <row r="1765" spans="1:11">
      <c r="A1765" t="s">
        <v>185</v>
      </c>
      <c r="B1765" t="s">
        <v>192</v>
      </c>
      <c r="C1765" t="s">
        <v>184</v>
      </c>
      <c r="D1765" t="s">
        <v>193</v>
      </c>
      <c r="E1765" t="s">
        <v>506</v>
      </c>
      <c r="F1765" t="s">
        <v>507</v>
      </c>
      <c r="G1765" t="s">
        <v>257</v>
      </c>
      <c r="H1765" t="s">
        <v>508</v>
      </c>
      <c r="I1765" t="s">
        <v>247</v>
      </c>
      <c r="J1765" t="s">
        <v>509</v>
      </c>
    </row>
    <row r="1766" spans="1:11">
      <c r="A1766" t="s">
        <v>195</v>
      </c>
      <c r="B1766">
        <v>1189</v>
      </c>
      <c r="C1766" t="s">
        <v>194</v>
      </c>
      <c r="D1766">
        <v>2677</v>
      </c>
      <c r="E1766" s="3">
        <v>9.4E-2</v>
      </c>
      <c r="F1766" s="3">
        <v>4.3E-3</v>
      </c>
      <c r="G1766" s="3">
        <v>3.5999999999999999E-3</v>
      </c>
      <c r="H1766" s="3">
        <v>0.64510000000000001</v>
      </c>
      <c r="I1766" s="3">
        <v>1.2999999999999999E-3</v>
      </c>
      <c r="J1766" s="3">
        <v>0.25169999999999998</v>
      </c>
    </row>
    <row r="1767" spans="1:11">
      <c r="A1767" t="s">
        <v>199</v>
      </c>
      <c r="B1767">
        <v>1488</v>
      </c>
      <c r="C1767" t="s">
        <v>194</v>
      </c>
      <c r="D1767">
        <v>2677</v>
      </c>
      <c r="E1767" s="3">
        <v>4.82E-2</v>
      </c>
      <c r="F1767" s="3">
        <v>3.3999999999999998E-3</v>
      </c>
      <c r="G1767" s="3">
        <v>2.9999999999999997E-4</v>
      </c>
      <c r="H1767" s="3">
        <v>0.72260000000000002</v>
      </c>
      <c r="I1767" s="3">
        <v>1E-4</v>
      </c>
      <c r="J1767" s="3">
        <v>0.22539999999999999</v>
      </c>
    </row>
    <row r="1768" spans="1:11">
      <c r="A1768" t="s">
        <v>200</v>
      </c>
      <c r="B1768">
        <v>2677</v>
      </c>
      <c r="C1768" t="s">
        <v>200</v>
      </c>
      <c r="D1768">
        <v>2677</v>
      </c>
      <c r="E1768" s="3">
        <v>6.8500000000000005E-2</v>
      </c>
      <c r="F1768" s="3">
        <v>3.8E-3</v>
      </c>
      <c r="G1768" s="3">
        <v>1.6999999999999999E-3</v>
      </c>
      <c r="H1768" s="3">
        <v>0.68820000000000003</v>
      </c>
      <c r="I1768" s="3">
        <v>5.9999999999999995E-4</v>
      </c>
      <c r="J1768" s="3">
        <v>0.23710000000000001</v>
      </c>
    </row>
    <row r="1770" spans="1:11" ht="45">
      <c r="A1770" s="22" t="s">
        <v>513</v>
      </c>
    </row>
    <row r="1771" spans="1:11">
      <c r="A1771" t="s">
        <v>185</v>
      </c>
      <c r="B1771" t="s">
        <v>186</v>
      </c>
      <c r="C1771" t="s">
        <v>192</v>
      </c>
      <c r="D1771" t="s">
        <v>184</v>
      </c>
      <c r="E1771" t="s">
        <v>193</v>
      </c>
      <c r="F1771" t="s">
        <v>506</v>
      </c>
      <c r="G1771" t="s">
        <v>507</v>
      </c>
      <c r="H1771" t="s">
        <v>257</v>
      </c>
      <c r="I1771" t="s">
        <v>508</v>
      </c>
      <c r="J1771" t="s">
        <v>247</v>
      </c>
      <c r="K1771" t="s">
        <v>509</v>
      </c>
    </row>
    <row r="1772" spans="1:11">
      <c r="A1772" t="s">
        <v>195</v>
      </c>
      <c r="B1772" t="s">
        <v>212</v>
      </c>
      <c r="C1772">
        <v>873</v>
      </c>
      <c r="D1772" t="s">
        <v>194</v>
      </c>
      <c r="E1772">
        <v>2677</v>
      </c>
      <c r="F1772" s="3">
        <v>9.9299999999999999E-2</v>
      </c>
      <c r="G1772" s="3">
        <v>4.8999999999999998E-3</v>
      </c>
      <c r="H1772" s="3">
        <v>4.7999999999999996E-3</v>
      </c>
      <c r="I1772" s="3">
        <v>0.65610000000000002</v>
      </c>
      <c r="J1772" s="3">
        <v>1.6999999999999999E-3</v>
      </c>
      <c r="K1772" s="3">
        <v>0.23330000000000001</v>
      </c>
    </row>
    <row r="1773" spans="1:11">
      <c r="A1773" t="s">
        <v>195</v>
      </c>
      <c r="B1773" t="s">
        <v>214</v>
      </c>
      <c r="C1773">
        <v>181</v>
      </c>
      <c r="D1773" t="s">
        <v>194</v>
      </c>
      <c r="E1773">
        <v>2677</v>
      </c>
      <c r="F1773" s="3">
        <v>3.1399999999999997E-2</v>
      </c>
      <c r="G1773" s="3">
        <v>3.2000000000000002E-3</v>
      </c>
      <c r="I1773" s="3">
        <v>0.63770000000000004</v>
      </c>
      <c r="K1773" s="3">
        <v>0.3276</v>
      </c>
    </row>
    <row r="1774" spans="1:11">
      <c r="A1774" t="s">
        <v>195</v>
      </c>
      <c r="B1774" t="s">
        <v>215</v>
      </c>
      <c r="C1774">
        <v>135</v>
      </c>
      <c r="D1774" t="s">
        <v>194</v>
      </c>
      <c r="E1774">
        <v>2677</v>
      </c>
      <c r="F1774" s="3">
        <v>0.16919999999999999</v>
      </c>
      <c r="G1774" s="3">
        <v>2E-3</v>
      </c>
      <c r="I1774" s="3">
        <v>0.56169999999999998</v>
      </c>
      <c r="K1774" s="3">
        <v>0.2671</v>
      </c>
    </row>
    <row r="1775" spans="1:11">
      <c r="A1775" t="s">
        <v>199</v>
      </c>
      <c r="B1775" t="s">
        <v>212</v>
      </c>
      <c r="C1775">
        <v>1118</v>
      </c>
      <c r="D1775" t="s">
        <v>194</v>
      </c>
      <c r="E1775">
        <v>2677</v>
      </c>
      <c r="F1775" s="3">
        <v>5.2499999999999998E-2</v>
      </c>
      <c r="G1775" s="3">
        <v>1.4E-3</v>
      </c>
      <c r="H1775" s="3">
        <v>2.9999999999999997E-4</v>
      </c>
      <c r="I1775" s="3">
        <v>0.75729999999999997</v>
      </c>
      <c r="J1775" s="3">
        <v>2.0000000000000001E-4</v>
      </c>
      <c r="K1775" s="3">
        <v>0.18820000000000001</v>
      </c>
    </row>
    <row r="1776" spans="1:11">
      <c r="A1776" t="s">
        <v>199</v>
      </c>
      <c r="B1776" t="s">
        <v>214</v>
      </c>
      <c r="C1776">
        <v>197</v>
      </c>
      <c r="D1776" t="s">
        <v>194</v>
      </c>
      <c r="E1776">
        <v>2677</v>
      </c>
      <c r="F1776" s="3">
        <v>1.1900000000000001E-2</v>
      </c>
      <c r="G1776" s="3">
        <v>8.9999999999999998E-4</v>
      </c>
      <c r="H1776" s="3">
        <v>1E-4</v>
      </c>
      <c r="I1776" s="3">
        <v>0.63990000000000002</v>
      </c>
      <c r="K1776" s="3">
        <v>0.34710000000000002</v>
      </c>
    </row>
    <row r="1777" spans="1:11">
      <c r="A1777" t="s">
        <v>199</v>
      </c>
      <c r="B1777" t="s">
        <v>215</v>
      </c>
      <c r="C1777">
        <v>173</v>
      </c>
      <c r="D1777" t="s">
        <v>194</v>
      </c>
      <c r="E1777">
        <v>2677</v>
      </c>
      <c r="F1777" s="3">
        <v>7.3899999999999993E-2</v>
      </c>
      <c r="G1777" s="3">
        <v>2.5399999999999999E-2</v>
      </c>
      <c r="I1777" s="3">
        <v>0.55649999999999999</v>
      </c>
      <c r="K1777" s="3">
        <v>0.34420000000000001</v>
      </c>
    </row>
    <row r="1778" spans="1:11">
      <c r="A1778" t="s">
        <v>200</v>
      </c>
      <c r="B1778" t="s">
        <v>200</v>
      </c>
      <c r="C1778">
        <v>2677</v>
      </c>
      <c r="D1778" t="s">
        <v>200</v>
      </c>
      <c r="E1778">
        <v>2677</v>
      </c>
      <c r="F1778" s="3">
        <v>6.8500000000000005E-2</v>
      </c>
      <c r="G1778" s="3">
        <v>3.8E-3</v>
      </c>
      <c r="H1778" s="3">
        <v>1.6999999999999999E-3</v>
      </c>
      <c r="I1778" s="3">
        <v>0.68820000000000003</v>
      </c>
      <c r="J1778" s="3">
        <v>5.9999999999999995E-4</v>
      </c>
      <c r="K1778" s="3">
        <v>0.23710000000000001</v>
      </c>
    </row>
    <row r="1780" spans="1:11" ht="45">
      <c r="A1780" s="22" t="s">
        <v>514</v>
      </c>
    </row>
    <row r="1781" spans="1:11">
      <c r="A1781" t="s">
        <v>185</v>
      </c>
      <c r="B1781" t="s">
        <v>186</v>
      </c>
      <c r="C1781" t="s">
        <v>192</v>
      </c>
      <c r="D1781" t="s">
        <v>184</v>
      </c>
      <c r="E1781" t="s">
        <v>193</v>
      </c>
      <c r="F1781" t="s">
        <v>506</v>
      </c>
      <c r="G1781" t="s">
        <v>507</v>
      </c>
      <c r="H1781" t="s">
        <v>257</v>
      </c>
      <c r="I1781" t="s">
        <v>508</v>
      </c>
      <c r="J1781" t="s">
        <v>247</v>
      </c>
      <c r="K1781" t="s">
        <v>509</v>
      </c>
    </row>
    <row r="1782" spans="1:11">
      <c r="A1782" t="s">
        <v>195</v>
      </c>
      <c r="B1782" t="s">
        <v>217</v>
      </c>
      <c r="C1782">
        <v>499</v>
      </c>
      <c r="D1782" t="s">
        <v>194</v>
      </c>
      <c r="E1782">
        <v>2677</v>
      </c>
      <c r="F1782" s="3">
        <v>8.2699999999999996E-2</v>
      </c>
      <c r="G1782" s="3">
        <v>4.7000000000000002E-3</v>
      </c>
      <c r="H1782" s="3">
        <v>3.5000000000000001E-3</v>
      </c>
      <c r="I1782" s="3">
        <v>0.67589999999999995</v>
      </c>
      <c r="J1782" s="3">
        <v>3.0000000000000001E-3</v>
      </c>
      <c r="K1782" s="3">
        <v>0.23019999999999999</v>
      </c>
    </row>
    <row r="1783" spans="1:11">
      <c r="A1783" t="s">
        <v>195</v>
      </c>
      <c r="B1783" t="s">
        <v>219</v>
      </c>
      <c r="C1783">
        <v>507</v>
      </c>
      <c r="D1783" t="s">
        <v>194</v>
      </c>
      <c r="E1783">
        <v>2677</v>
      </c>
      <c r="F1783" s="3">
        <v>0.1198</v>
      </c>
      <c r="G1783" s="3">
        <v>6.0000000000000001E-3</v>
      </c>
      <c r="H1783" s="3">
        <v>5.4000000000000003E-3</v>
      </c>
      <c r="I1783" s="3">
        <v>0.58599999999999997</v>
      </c>
      <c r="K1783" s="3">
        <v>0.2828</v>
      </c>
    </row>
    <row r="1784" spans="1:11">
      <c r="A1784" t="s">
        <v>195</v>
      </c>
      <c r="B1784" t="s">
        <v>220</v>
      </c>
      <c r="C1784">
        <v>182</v>
      </c>
      <c r="D1784" t="s">
        <v>194</v>
      </c>
      <c r="E1784">
        <v>2677</v>
      </c>
      <c r="F1784" s="3">
        <v>6.5600000000000006E-2</v>
      </c>
      <c r="I1784" s="3">
        <v>0.69910000000000005</v>
      </c>
      <c r="K1784" s="3">
        <v>0.23530000000000001</v>
      </c>
    </row>
    <row r="1785" spans="1:11">
      <c r="A1785" t="s">
        <v>199</v>
      </c>
      <c r="B1785" t="s">
        <v>217</v>
      </c>
      <c r="C1785">
        <v>814</v>
      </c>
      <c r="D1785" t="s">
        <v>194</v>
      </c>
      <c r="E1785">
        <v>2677</v>
      </c>
      <c r="F1785" s="3">
        <v>5.1900000000000002E-2</v>
      </c>
      <c r="G1785" s="3">
        <v>1.5E-3</v>
      </c>
      <c r="H1785" s="3">
        <v>2.0000000000000001E-4</v>
      </c>
      <c r="I1785" s="3">
        <v>0.75949999999999995</v>
      </c>
      <c r="J1785" s="3">
        <v>2.0000000000000001E-4</v>
      </c>
      <c r="K1785" s="3">
        <v>0.1867</v>
      </c>
    </row>
    <row r="1786" spans="1:11">
      <c r="A1786" t="s">
        <v>199</v>
      </c>
      <c r="B1786" t="s">
        <v>219</v>
      </c>
      <c r="C1786">
        <v>451</v>
      </c>
      <c r="D1786" t="s">
        <v>194</v>
      </c>
      <c r="E1786">
        <v>2677</v>
      </c>
      <c r="F1786" s="3">
        <v>4.7300000000000002E-2</v>
      </c>
      <c r="G1786" s="3">
        <v>9.7000000000000003E-3</v>
      </c>
      <c r="H1786" s="3">
        <v>5.0000000000000001E-4</v>
      </c>
      <c r="I1786" s="3">
        <v>0.6179</v>
      </c>
      <c r="K1786" s="3">
        <v>0.3246</v>
      </c>
    </row>
    <row r="1787" spans="1:11">
      <c r="A1787" t="s">
        <v>199</v>
      </c>
      <c r="B1787" t="s">
        <v>220</v>
      </c>
      <c r="C1787">
        <v>223</v>
      </c>
      <c r="D1787" t="s">
        <v>194</v>
      </c>
      <c r="E1787">
        <v>2677</v>
      </c>
      <c r="F1787" s="3">
        <v>3.5499999999999997E-2</v>
      </c>
      <c r="G1787" s="3">
        <v>6.9999999999999999E-4</v>
      </c>
      <c r="I1787" s="3">
        <v>0.74690000000000001</v>
      </c>
      <c r="K1787" s="3">
        <v>0.21690000000000001</v>
      </c>
    </row>
    <row r="1788" spans="1:11">
      <c r="A1788" t="s">
        <v>200</v>
      </c>
      <c r="B1788" t="s">
        <v>200</v>
      </c>
      <c r="C1788">
        <v>2677</v>
      </c>
      <c r="D1788" t="s">
        <v>200</v>
      </c>
      <c r="E1788">
        <v>2677</v>
      </c>
      <c r="F1788" s="3">
        <v>6.8500000000000005E-2</v>
      </c>
      <c r="G1788" s="3">
        <v>3.8E-3</v>
      </c>
      <c r="H1788" s="3">
        <v>1.6999999999999999E-3</v>
      </c>
      <c r="I1788" s="3">
        <v>0.68820000000000003</v>
      </c>
      <c r="J1788" s="3">
        <v>5.9999999999999995E-4</v>
      </c>
      <c r="K1788" s="3">
        <v>0.23710000000000001</v>
      </c>
    </row>
    <row r="1790" spans="1:11" ht="45">
      <c r="A1790" s="22" t="s">
        <v>515</v>
      </c>
    </row>
    <row r="1791" spans="1:11">
      <c r="A1791" t="s">
        <v>185</v>
      </c>
      <c r="B1791" t="s">
        <v>186</v>
      </c>
      <c r="C1791" t="s">
        <v>192</v>
      </c>
      <c r="D1791" t="s">
        <v>184</v>
      </c>
      <c r="E1791" t="s">
        <v>193</v>
      </c>
      <c r="F1791" t="s">
        <v>506</v>
      </c>
      <c r="G1791" t="s">
        <v>507</v>
      </c>
      <c r="H1791" t="s">
        <v>257</v>
      </c>
      <c r="I1791" t="s">
        <v>508</v>
      </c>
      <c r="J1791" t="s">
        <v>509</v>
      </c>
    </row>
    <row r="1792" spans="1:11">
      <c r="A1792" t="s">
        <v>195</v>
      </c>
      <c r="B1792" t="s">
        <v>196</v>
      </c>
      <c r="C1792">
        <v>413</v>
      </c>
      <c r="D1792" t="s">
        <v>194</v>
      </c>
      <c r="E1792">
        <v>2677</v>
      </c>
      <c r="F1792" s="3">
        <v>3.61E-2</v>
      </c>
      <c r="H1792" s="3">
        <v>2.3E-3</v>
      </c>
      <c r="I1792" s="3">
        <v>0.85619999999999996</v>
      </c>
      <c r="J1792" s="3">
        <v>0.1053</v>
      </c>
    </row>
    <row r="1793" spans="1:10">
      <c r="A1793" t="s">
        <v>195</v>
      </c>
      <c r="B1793" t="s">
        <v>198</v>
      </c>
      <c r="C1793">
        <v>755</v>
      </c>
      <c r="D1793" t="s">
        <v>194</v>
      </c>
      <c r="E1793">
        <v>2677</v>
      </c>
      <c r="F1793" s="3">
        <v>4.2700000000000002E-2</v>
      </c>
      <c r="G1793" s="3">
        <v>1.2999999999999999E-3</v>
      </c>
      <c r="I1793" s="3">
        <v>0.91579999999999995</v>
      </c>
      <c r="J1793" s="3">
        <v>4.02E-2</v>
      </c>
    </row>
    <row r="1794" spans="1:10">
      <c r="A1794" t="s">
        <v>199</v>
      </c>
      <c r="B1794" t="s">
        <v>196</v>
      </c>
      <c r="C1794">
        <v>525</v>
      </c>
      <c r="D1794" t="s">
        <v>194</v>
      </c>
      <c r="E1794">
        <v>2677</v>
      </c>
      <c r="F1794" s="3">
        <v>1.0200000000000001E-2</v>
      </c>
      <c r="G1794" s="3">
        <v>6.9999999999999999E-4</v>
      </c>
      <c r="H1794" s="3">
        <v>1E-4</v>
      </c>
      <c r="I1794" s="3">
        <v>0.93130000000000002</v>
      </c>
      <c r="J1794" s="3">
        <v>5.7700000000000001E-2</v>
      </c>
    </row>
    <row r="1795" spans="1:10">
      <c r="A1795" t="s">
        <v>199</v>
      </c>
      <c r="B1795" t="s">
        <v>198</v>
      </c>
      <c r="C1795">
        <v>945</v>
      </c>
      <c r="D1795" t="s">
        <v>194</v>
      </c>
      <c r="E1795">
        <v>2677</v>
      </c>
      <c r="F1795" s="3">
        <v>1.44E-2</v>
      </c>
      <c r="I1795" s="3">
        <v>0.95509999999999995</v>
      </c>
      <c r="J1795" s="3">
        <v>3.0499999999999999E-2</v>
      </c>
    </row>
    <row r="1796" spans="1:10">
      <c r="A1796" t="s">
        <v>200</v>
      </c>
      <c r="B1796" t="s">
        <v>200</v>
      </c>
      <c r="C1796">
        <v>2677</v>
      </c>
      <c r="D1796" t="s">
        <v>200</v>
      </c>
      <c r="E1796">
        <v>2677</v>
      </c>
      <c r="F1796" s="3">
        <v>2.58E-2</v>
      </c>
      <c r="G1796" s="3">
        <v>5.0000000000000001E-4</v>
      </c>
      <c r="H1796" s="3">
        <v>2.9999999999999997E-4</v>
      </c>
      <c r="I1796" s="3">
        <v>0.92800000000000005</v>
      </c>
      <c r="J1796" s="3">
        <v>4.5400000000000003E-2</v>
      </c>
    </row>
    <row r="1798" spans="1:10" ht="45">
      <c r="A1798" s="22" t="s">
        <v>516</v>
      </c>
    </row>
    <row r="1799" spans="1:10">
      <c r="A1799" t="s">
        <v>185</v>
      </c>
      <c r="B1799" t="s">
        <v>186</v>
      </c>
      <c r="C1799" t="s">
        <v>192</v>
      </c>
      <c r="D1799" t="s">
        <v>184</v>
      </c>
      <c r="E1799" t="s">
        <v>193</v>
      </c>
      <c r="F1799" t="s">
        <v>506</v>
      </c>
      <c r="G1799" t="s">
        <v>507</v>
      </c>
      <c r="H1799" t="s">
        <v>257</v>
      </c>
      <c r="I1799" t="s">
        <v>508</v>
      </c>
      <c r="J1799" t="s">
        <v>509</v>
      </c>
    </row>
    <row r="1800" spans="1:10">
      <c r="A1800" t="s">
        <v>195</v>
      </c>
      <c r="B1800" t="s">
        <v>202</v>
      </c>
      <c r="C1800">
        <v>533</v>
      </c>
      <c r="D1800" t="s">
        <v>194</v>
      </c>
      <c r="E1800">
        <v>2677</v>
      </c>
      <c r="F1800" s="3">
        <v>4.2799999999999998E-2</v>
      </c>
      <c r="G1800" s="3">
        <v>1.4E-3</v>
      </c>
      <c r="I1800" s="3">
        <v>0.89190000000000003</v>
      </c>
      <c r="J1800" s="3">
        <v>6.4000000000000001E-2</v>
      </c>
    </row>
    <row r="1801" spans="1:10">
      <c r="A1801" t="s">
        <v>195</v>
      </c>
      <c r="B1801" t="s">
        <v>204</v>
      </c>
      <c r="C1801">
        <v>301</v>
      </c>
      <c r="D1801" t="s">
        <v>194</v>
      </c>
      <c r="E1801">
        <v>2677</v>
      </c>
      <c r="F1801" s="3">
        <v>3.32E-2</v>
      </c>
      <c r="I1801" s="3">
        <v>0.9194</v>
      </c>
      <c r="J1801" s="3">
        <v>4.7399999999999998E-2</v>
      </c>
    </row>
    <row r="1802" spans="1:10">
      <c r="A1802" t="s">
        <v>195</v>
      </c>
      <c r="B1802" t="s">
        <v>205</v>
      </c>
      <c r="C1802">
        <v>334</v>
      </c>
      <c r="D1802" t="s">
        <v>194</v>
      </c>
      <c r="E1802">
        <v>2677</v>
      </c>
      <c r="F1802" s="3">
        <v>4.4400000000000002E-2</v>
      </c>
      <c r="G1802" s="3">
        <v>5.0000000000000001E-4</v>
      </c>
      <c r="H1802" s="3">
        <v>4.5999999999999999E-3</v>
      </c>
      <c r="I1802" s="3">
        <v>0.90710000000000002</v>
      </c>
      <c r="J1802" s="3">
        <v>4.3400000000000001E-2</v>
      </c>
    </row>
    <row r="1803" spans="1:10">
      <c r="A1803" t="s">
        <v>199</v>
      </c>
      <c r="B1803" t="s">
        <v>202</v>
      </c>
      <c r="C1803">
        <v>538</v>
      </c>
      <c r="D1803" t="s">
        <v>194</v>
      </c>
      <c r="E1803">
        <v>2677</v>
      </c>
      <c r="F1803" s="3">
        <v>1.43E-2</v>
      </c>
      <c r="I1803" s="3">
        <v>0.95430000000000004</v>
      </c>
      <c r="J1803" s="3">
        <v>3.1300000000000001E-2</v>
      </c>
    </row>
    <row r="1804" spans="1:10">
      <c r="A1804" t="s">
        <v>199</v>
      </c>
      <c r="B1804" t="s">
        <v>204</v>
      </c>
      <c r="C1804">
        <v>426</v>
      </c>
      <c r="D1804" t="s">
        <v>194</v>
      </c>
      <c r="E1804">
        <v>2677</v>
      </c>
      <c r="F1804" s="3">
        <v>6.7999999999999996E-3</v>
      </c>
      <c r="G1804" s="3">
        <v>5.9999999999999995E-4</v>
      </c>
      <c r="I1804" s="3">
        <v>0.94589999999999996</v>
      </c>
      <c r="J1804" s="3">
        <v>4.6699999999999998E-2</v>
      </c>
    </row>
    <row r="1805" spans="1:10">
      <c r="A1805" t="s">
        <v>199</v>
      </c>
      <c r="B1805" t="s">
        <v>205</v>
      </c>
      <c r="C1805">
        <v>506</v>
      </c>
      <c r="D1805" t="s">
        <v>194</v>
      </c>
      <c r="E1805">
        <v>2677</v>
      </c>
      <c r="F1805" s="3">
        <v>1.8499999999999999E-2</v>
      </c>
      <c r="G1805" s="3">
        <v>1E-4</v>
      </c>
      <c r="H1805" s="3">
        <v>1E-4</v>
      </c>
      <c r="I1805" s="3">
        <v>0.94240000000000002</v>
      </c>
      <c r="J1805" s="3">
        <v>3.8899999999999997E-2</v>
      </c>
    </row>
    <row r="1806" spans="1:10">
      <c r="A1806" t="s">
        <v>200</v>
      </c>
      <c r="B1806" t="s">
        <v>200</v>
      </c>
      <c r="C1806">
        <v>2677</v>
      </c>
      <c r="D1806" t="s">
        <v>200</v>
      </c>
      <c r="E1806">
        <v>2677</v>
      </c>
      <c r="F1806" s="3">
        <v>2.58E-2</v>
      </c>
      <c r="G1806" s="3">
        <v>5.0000000000000001E-4</v>
      </c>
      <c r="H1806" s="3">
        <v>2.9999999999999997E-4</v>
      </c>
      <c r="I1806" s="3">
        <v>0.92800000000000005</v>
      </c>
      <c r="J1806" s="3">
        <v>4.5400000000000003E-2</v>
      </c>
    </row>
    <row r="1808" spans="1:10" ht="45">
      <c r="A1808" s="22" t="s">
        <v>517</v>
      </c>
    </row>
    <row r="1809" spans="1:10">
      <c r="A1809" t="s">
        <v>185</v>
      </c>
      <c r="B1809" t="s">
        <v>186</v>
      </c>
      <c r="C1809" t="s">
        <v>192</v>
      </c>
      <c r="D1809" t="s">
        <v>184</v>
      </c>
      <c r="E1809" t="s">
        <v>193</v>
      </c>
      <c r="F1809" t="s">
        <v>506</v>
      </c>
      <c r="G1809" t="s">
        <v>507</v>
      </c>
      <c r="H1809" t="s">
        <v>257</v>
      </c>
      <c r="I1809" t="s">
        <v>508</v>
      </c>
      <c r="J1809" t="s">
        <v>509</v>
      </c>
    </row>
    <row r="1810" spans="1:10">
      <c r="A1810" t="s">
        <v>195</v>
      </c>
      <c r="B1810" t="s">
        <v>207</v>
      </c>
      <c r="C1810">
        <v>322</v>
      </c>
      <c r="D1810" t="s">
        <v>194</v>
      </c>
      <c r="E1810">
        <v>2677</v>
      </c>
      <c r="F1810" s="3">
        <v>0.15989999999999999</v>
      </c>
      <c r="G1810" s="3">
        <v>3.7000000000000002E-3</v>
      </c>
      <c r="I1810" s="3">
        <v>0.71960000000000002</v>
      </c>
      <c r="J1810" s="3">
        <v>0.1168</v>
      </c>
    </row>
    <row r="1811" spans="1:10">
      <c r="A1811" t="s">
        <v>195</v>
      </c>
      <c r="B1811" t="s">
        <v>209</v>
      </c>
      <c r="C1811">
        <v>867</v>
      </c>
      <c r="D1811" t="s">
        <v>194</v>
      </c>
      <c r="E1811">
        <v>2677</v>
      </c>
      <c r="H1811" s="3">
        <v>8.0000000000000004E-4</v>
      </c>
      <c r="I1811" s="3">
        <v>0.96209999999999996</v>
      </c>
      <c r="J1811" s="3">
        <v>3.7100000000000001E-2</v>
      </c>
    </row>
    <row r="1812" spans="1:10">
      <c r="A1812" t="s">
        <v>199</v>
      </c>
      <c r="B1812" t="s">
        <v>207</v>
      </c>
      <c r="C1812">
        <v>283</v>
      </c>
      <c r="D1812" t="s">
        <v>194</v>
      </c>
      <c r="E1812">
        <v>2677</v>
      </c>
      <c r="F1812" s="3">
        <v>0.1114</v>
      </c>
      <c r="G1812" s="3">
        <v>1.1000000000000001E-3</v>
      </c>
      <c r="I1812" s="3">
        <v>0.79090000000000005</v>
      </c>
      <c r="J1812" s="3">
        <v>9.6600000000000005E-2</v>
      </c>
    </row>
    <row r="1813" spans="1:10">
      <c r="A1813" t="s">
        <v>199</v>
      </c>
      <c r="B1813" t="s">
        <v>209</v>
      </c>
      <c r="C1813">
        <v>1205</v>
      </c>
      <c r="D1813" t="s">
        <v>194</v>
      </c>
      <c r="E1813">
        <v>2677</v>
      </c>
      <c r="H1813" s="3">
        <v>0</v>
      </c>
      <c r="I1813" s="3">
        <v>0.9728</v>
      </c>
      <c r="J1813" s="3">
        <v>2.7199999999999998E-2</v>
      </c>
    </row>
    <row r="1814" spans="1:10">
      <c r="A1814" t="s">
        <v>200</v>
      </c>
      <c r="B1814" t="s">
        <v>200</v>
      </c>
      <c r="C1814">
        <v>2677</v>
      </c>
      <c r="D1814" t="s">
        <v>200</v>
      </c>
      <c r="E1814">
        <v>2677</v>
      </c>
      <c r="F1814" s="3">
        <v>2.58E-2</v>
      </c>
      <c r="G1814" s="3">
        <v>5.0000000000000001E-4</v>
      </c>
      <c r="H1814" s="3">
        <v>2.9999999999999997E-4</v>
      </c>
      <c r="I1814" s="3">
        <v>0.92800000000000005</v>
      </c>
      <c r="J1814" s="3">
        <v>4.5400000000000003E-2</v>
      </c>
    </row>
    <row r="1816" spans="1:10">
      <c r="A1816" t="s">
        <v>518</v>
      </c>
    </row>
    <row r="1817" spans="1:10">
      <c r="A1817" t="s">
        <v>185</v>
      </c>
      <c r="B1817" t="s">
        <v>192</v>
      </c>
      <c r="C1817" t="s">
        <v>184</v>
      </c>
      <c r="D1817" t="s">
        <v>193</v>
      </c>
      <c r="E1817" t="s">
        <v>506</v>
      </c>
      <c r="F1817" t="s">
        <v>507</v>
      </c>
      <c r="G1817" t="s">
        <v>257</v>
      </c>
      <c r="H1817" t="s">
        <v>508</v>
      </c>
      <c r="I1817" t="s">
        <v>509</v>
      </c>
    </row>
    <row r="1818" spans="1:10">
      <c r="A1818" t="s">
        <v>195</v>
      </c>
      <c r="B1818">
        <v>1189</v>
      </c>
      <c r="C1818" t="s">
        <v>194</v>
      </c>
      <c r="D1818">
        <v>2677</v>
      </c>
      <c r="E1818" s="3">
        <v>4.1099999999999998E-2</v>
      </c>
      <c r="F1818" s="3">
        <v>1E-3</v>
      </c>
      <c r="G1818" s="3">
        <v>5.9999999999999995E-4</v>
      </c>
      <c r="H1818" s="3">
        <v>0.89970000000000006</v>
      </c>
      <c r="I1818" s="3">
        <v>5.7599999999999998E-2</v>
      </c>
    </row>
    <row r="1819" spans="1:10">
      <c r="A1819" t="s">
        <v>199</v>
      </c>
      <c r="B1819">
        <v>1488</v>
      </c>
      <c r="C1819" t="s">
        <v>194</v>
      </c>
      <c r="D1819">
        <v>2677</v>
      </c>
      <c r="E1819" s="3">
        <v>1.3599999999999999E-2</v>
      </c>
      <c r="F1819" s="3">
        <v>1E-4</v>
      </c>
      <c r="G1819" s="3">
        <v>0</v>
      </c>
      <c r="H1819" s="3">
        <v>0.9506</v>
      </c>
      <c r="I1819" s="3">
        <v>3.5700000000000003E-2</v>
      </c>
    </row>
    <row r="1820" spans="1:10">
      <c r="A1820" t="s">
        <v>200</v>
      </c>
      <c r="B1820">
        <v>2677</v>
      </c>
      <c r="C1820" t="s">
        <v>200</v>
      </c>
      <c r="D1820">
        <v>2677</v>
      </c>
      <c r="E1820" s="3">
        <v>2.58E-2</v>
      </c>
      <c r="F1820" s="3">
        <v>5.0000000000000001E-4</v>
      </c>
      <c r="G1820" s="3">
        <v>2.9999999999999997E-4</v>
      </c>
      <c r="H1820" s="3">
        <v>0.92800000000000005</v>
      </c>
      <c r="I1820" s="3">
        <v>4.5400000000000003E-2</v>
      </c>
    </row>
    <row r="1822" spans="1:10" ht="45">
      <c r="A1822" s="22" t="s">
        <v>519</v>
      </c>
    </row>
    <row r="1823" spans="1:10">
      <c r="A1823" t="s">
        <v>185</v>
      </c>
      <c r="B1823" t="s">
        <v>186</v>
      </c>
      <c r="C1823" t="s">
        <v>192</v>
      </c>
      <c r="D1823" t="s">
        <v>184</v>
      </c>
      <c r="E1823" t="s">
        <v>193</v>
      </c>
      <c r="F1823" t="s">
        <v>506</v>
      </c>
      <c r="G1823" t="s">
        <v>507</v>
      </c>
      <c r="H1823" t="s">
        <v>257</v>
      </c>
      <c r="I1823" t="s">
        <v>508</v>
      </c>
      <c r="J1823" t="s">
        <v>509</v>
      </c>
    </row>
    <row r="1824" spans="1:10">
      <c r="A1824" t="s">
        <v>195</v>
      </c>
      <c r="B1824" t="s">
        <v>212</v>
      </c>
      <c r="C1824">
        <v>873</v>
      </c>
      <c r="D1824" t="s">
        <v>194</v>
      </c>
      <c r="E1824">
        <v>2677</v>
      </c>
      <c r="F1824" s="3">
        <v>3.9E-2</v>
      </c>
      <c r="G1824" s="3">
        <v>1.2999999999999999E-3</v>
      </c>
      <c r="I1824" s="3">
        <v>0.91190000000000004</v>
      </c>
      <c r="J1824" s="3">
        <v>4.7800000000000002E-2</v>
      </c>
    </row>
    <row r="1825" spans="1:10">
      <c r="A1825" t="s">
        <v>195</v>
      </c>
      <c r="B1825" t="s">
        <v>214</v>
      </c>
      <c r="C1825">
        <v>181</v>
      </c>
      <c r="D1825" t="s">
        <v>194</v>
      </c>
      <c r="E1825">
        <v>2677</v>
      </c>
      <c r="F1825" s="3">
        <v>3.49E-2</v>
      </c>
      <c r="I1825" s="3">
        <v>0.86040000000000005</v>
      </c>
      <c r="J1825" s="3">
        <v>0.1047</v>
      </c>
    </row>
    <row r="1826" spans="1:10">
      <c r="A1826" t="s">
        <v>195</v>
      </c>
      <c r="B1826" t="s">
        <v>215</v>
      </c>
      <c r="C1826">
        <v>135</v>
      </c>
      <c r="D1826" t="s">
        <v>194</v>
      </c>
      <c r="E1826">
        <v>2677</v>
      </c>
      <c r="F1826" s="3">
        <v>7.1800000000000003E-2</v>
      </c>
      <c r="H1826" s="3">
        <v>7.4000000000000003E-3</v>
      </c>
      <c r="I1826" s="3">
        <v>0.86839999999999995</v>
      </c>
      <c r="J1826" s="3">
        <v>5.2400000000000002E-2</v>
      </c>
    </row>
    <row r="1827" spans="1:10">
      <c r="A1827" t="s">
        <v>199</v>
      </c>
      <c r="B1827" t="s">
        <v>212</v>
      </c>
      <c r="C1827">
        <v>1118</v>
      </c>
      <c r="D1827" t="s">
        <v>194</v>
      </c>
      <c r="E1827">
        <v>2677</v>
      </c>
      <c r="F1827" s="3">
        <v>1.43E-2</v>
      </c>
      <c r="G1827" s="3">
        <v>2.0000000000000001E-4</v>
      </c>
      <c r="H1827" s="3">
        <v>0</v>
      </c>
      <c r="I1827" s="3">
        <v>0.95120000000000005</v>
      </c>
      <c r="J1827" s="3">
        <v>3.4299999999999997E-2</v>
      </c>
    </row>
    <row r="1828" spans="1:10">
      <c r="A1828" t="s">
        <v>199</v>
      </c>
      <c r="B1828" t="s">
        <v>214</v>
      </c>
      <c r="C1828">
        <v>197</v>
      </c>
      <c r="D1828" t="s">
        <v>194</v>
      </c>
      <c r="E1828">
        <v>2677</v>
      </c>
      <c r="F1828" s="3">
        <v>2.8999999999999998E-3</v>
      </c>
      <c r="I1828" s="3">
        <v>0.96099999999999997</v>
      </c>
      <c r="J1828" s="3">
        <v>3.5999999999999997E-2</v>
      </c>
    </row>
    <row r="1829" spans="1:10">
      <c r="A1829" t="s">
        <v>199</v>
      </c>
      <c r="B1829" t="s">
        <v>215</v>
      </c>
      <c r="C1829">
        <v>173</v>
      </c>
      <c r="D1829" t="s">
        <v>194</v>
      </c>
      <c r="E1829">
        <v>2677</v>
      </c>
      <c r="F1829" s="3">
        <v>2.6200000000000001E-2</v>
      </c>
      <c r="I1829" s="3">
        <v>0.9264</v>
      </c>
      <c r="J1829" s="3">
        <v>4.7399999999999998E-2</v>
      </c>
    </row>
    <row r="1830" spans="1:10">
      <c r="A1830" t="s">
        <v>200</v>
      </c>
      <c r="B1830" t="s">
        <v>200</v>
      </c>
      <c r="C1830">
        <v>2677</v>
      </c>
      <c r="D1830" t="s">
        <v>200</v>
      </c>
      <c r="E1830">
        <v>2677</v>
      </c>
      <c r="F1830" s="3">
        <v>2.58E-2</v>
      </c>
      <c r="G1830" s="3">
        <v>5.0000000000000001E-4</v>
      </c>
      <c r="H1830" s="3">
        <v>2.9999999999999997E-4</v>
      </c>
      <c r="I1830" s="3">
        <v>0.92800000000000005</v>
      </c>
      <c r="J1830" s="3">
        <v>4.5400000000000003E-2</v>
      </c>
    </row>
    <row r="1832" spans="1:10" ht="45">
      <c r="A1832" s="22" t="s">
        <v>520</v>
      </c>
    </row>
    <row r="1833" spans="1:10">
      <c r="A1833" t="s">
        <v>185</v>
      </c>
      <c r="B1833" t="s">
        <v>186</v>
      </c>
      <c r="C1833" t="s">
        <v>192</v>
      </c>
      <c r="D1833" t="s">
        <v>184</v>
      </c>
      <c r="E1833" t="s">
        <v>193</v>
      </c>
      <c r="F1833" t="s">
        <v>506</v>
      </c>
      <c r="G1833" t="s">
        <v>507</v>
      </c>
      <c r="H1833" t="s">
        <v>257</v>
      </c>
      <c r="I1833" t="s">
        <v>508</v>
      </c>
      <c r="J1833" t="s">
        <v>509</v>
      </c>
    </row>
    <row r="1834" spans="1:10">
      <c r="A1834" t="s">
        <v>195</v>
      </c>
      <c r="B1834" t="s">
        <v>217</v>
      </c>
      <c r="C1834">
        <v>499</v>
      </c>
      <c r="D1834" t="s">
        <v>194</v>
      </c>
      <c r="E1834">
        <v>2677</v>
      </c>
      <c r="F1834" s="3">
        <v>2.41E-2</v>
      </c>
      <c r="I1834" s="3">
        <v>0.93269999999999997</v>
      </c>
      <c r="J1834" s="3">
        <v>4.3299999999999998E-2</v>
      </c>
    </row>
    <row r="1835" spans="1:10">
      <c r="A1835" t="s">
        <v>195</v>
      </c>
      <c r="B1835" t="s">
        <v>219</v>
      </c>
      <c r="C1835">
        <v>507</v>
      </c>
      <c r="D1835" t="s">
        <v>194</v>
      </c>
      <c r="E1835">
        <v>2677</v>
      </c>
      <c r="F1835" s="3">
        <v>5.6000000000000001E-2</v>
      </c>
      <c r="G1835" s="3">
        <v>2.3E-3</v>
      </c>
      <c r="I1835" s="3">
        <v>0.86240000000000006</v>
      </c>
      <c r="J1835" s="3">
        <v>7.9299999999999995E-2</v>
      </c>
    </row>
    <row r="1836" spans="1:10">
      <c r="A1836" t="s">
        <v>195</v>
      </c>
      <c r="B1836" t="s">
        <v>220</v>
      </c>
      <c r="C1836">
        <v>182</v>
      </c>
      <c r="D1836" t="s">
        <v>194</v>
      </c>
      <c r="E1836">
        <v>2677</v>
      </c>
      <c r="F1836" s="3">
        <v>4.82E-2</v>
      </c>
      <c r="G1836" s="3">
        <v>4.0000000000000002E-4</v>
      </c>
      <c r="H1836" s="3">
        <v>3.3E-3</v>
      </c>
      <c r="I1836" s="3">
        <v>0.90380000000000005</v>
      </c>
      <c r="J1836" s="3">
        <v>4.4400000000000002E-2</v>
      </c>
    </row>
    <row r="1837" spans="1:10">
      <c r="A1837" t="s">
        <v>199</v>
      </c>
      <c r="B1837" t="s">
        <v>217</v>
      </c>
      <c r="C1837">
        <v>814</v>
      </c>
      <c r="D1837" t="s">
        <v>194</v>
      </c>
      <c r="E1837">
        <v>2677</v>
      </c>
      <c r="F1837" s="3">
        <v>1.7399999999999999E-2</v>
      </c>
      <c r="G1837" s="3">
        <v>2.0000000000000001E-4</v>
      </c>
      <c r="H1837" s="3">
        <v>0</v>
      </c>
      <c r="I1837" s="3">
        <v>0.95530000000000004</v>
      </c>
      <c r="J1837" s="3">
        <v>2.7099999999999999E-2</v>
      </c>
    </row>
    <row r="1838" spans="1:10">
      <c r="A1838" t="s">
        <v>199</v>
      </c>
      <c r="B1838" t="s">
        <v>219</v>
      </c>
      <c r="C1838">
        <v>451</v>
      </c>
      <c r="D1838" t="s">
        <v>194</v>
      </c>
      <c r="E1838">
        <v>2677</v>
      </c>
      <c r="F1838" s="3">
        <v>1.01E-2</v>
      </c>
      <c r="I1838" s="3">
        <v>0.93579999999999997</v>
      </c>
      <c r="J1838" s="3">
        <v>5.4100000000000002E-2</v>
      </c>
    </row>
    <row r="1839" spans="1:10">
      <c r="A1839" t="s">
        <v>199</v>
      </c>
      <c r="B1839" t="s">
        <v>220</v>
      </c>
      <c r="C1839">
        <v>223</v>
      </c>
      <c r="D1839" t="s">
        <v>194</v>
      </c>
      <c r="E1839">
        <v>2677</v>
      </c>
      <c r="F1839" s="3">
        <v>4.5999999999999999E-3</v>
      </c>
      <c r="I1839" s="3">
        <v>0.95630000000000004</v>
      </c>
      <c r="J1839" s="3">
        <v>3.9199999999999999E-2</v>
      </c>
    </row>
    <row r="1840" spans="1:10">
      <c r="A1840" t="s">
        <v>200</v>
      </c>
      <c r="B1840" t="s">
        <v>200</v>
      </c>
      <c r="C1840">
        <v>2677</v>
      </c>
      <c r="D1840" t="s">
        <v>200</v>
      </c>
      <c r="E1840">
        <v>2677</v>
      </c>
      <c r="F1840" s="3">
        <v>2.58E-2</v>
      </c>
      <c r="G1840" s="3">
        <v>5.0000000000000001E-4</v>
      </c>
      <c r="H1840" s="3">
        <v>2.9999999999999997E-4</v>
      </c>
      <c r="I1840" s="3">
        <v>0.92800000000000005</v>
      </c>
      <c r="J1840" s="3">
        <v>4.5400000000000003E-2</v>
      </c>
    </row>
    <row r="1842" spans="1:11" ht="45">
      <c r="A1842" s="22" t="s">
        <v>521</v>
      </c>
    </row>
    <row r="1843" spans="1:11">
      <c r="A1843" t="s">
        <v>185</v>
      </c>
      <c r="B1843" t="s">
        <v>186</v>
      </c>
      <c r="C1843" t="s">
        <v>192</v>
      </c>
      <c r="D1843" t="s">
        <v>184</v>
      </c>
      <c r="E1843" t="s">
        <v>193</v>
      </c>
      <c r="F1843" t="s">
        <v>506</v>
      </c>
      <c r="G1843" t="s">
        <v>507</v>
      </c>
      <c r="H1843" t="s">
        <v>257</v>
      </c>
      <c r="I1843" t="s">
        <v>508</v>
      </c>
      <c r="J1843" t="s">
        <v>247</v>
      </c>
      <c r="K1843" t="s">
        <v>509</v>
      </c>
    </row>
    <row r="1844" spans="1:11">
      <c r="A1844" t="s">
        <v>195</v>
      </c>
      <c r="B1844" t="s">
        <v>196</v>
      </c>
      <c r="C1844">
        <v>413</v>
      </c>
      <c r="D1844" t="s">
        <v>194</v>
      </c>
      <c r="E1844">
        <v>2677</v>
      </c>
      <c r="F1844" s="3">
        <v>0.2165</v>
      </c>
      <c r="G1844" s="3">
        <v>2.0899999999999998E-2</v>
      </c>
      <c r="I1844" s="3">
        <v>0.55979999999999996</v>
      </c>
      <c r="K1844" s="3">
        <v>0.20280000000000001</v>
      </c>
    </row>
    <row r="1845" spans="1:11">
      <c r="A1845" t="s">
        <v>195</v>
      </c>
      <c r="B1845" t="s">
        <v>198</v>
      </c>
      <c r="C1845">
        <v>755</v>
      </c>
      <c r="D1845" t="s">
        <v>194</v>
      </c>
      <c r="E1845">
        <v>2677</v>
      </c>
      <c r="F1845" s="3">
        <v>0.1429</v>
      </c>
      <c r="G1845" s="3">
        <v>2.4899999999999999E-2</v>
      </c>
      <c r="I1845" s="3">
        <v>0.66269999999999996</v>
      </c>
      <c r="J1845" s="3">
        <v>0</v>
      </c>
      <c r="K1845" s="3">
        <v>0.16950000000000001</v>
      </c>
    </row>
    <row r="1846" spans="1:11">
      <c r="A1846" t="s">
        <v>199</v>
      </c>
      <c r="B1846" t="s">
        <v>196</v>
      </c>
      <c r="C1846">
        <v>525</v>
      </c>
      <c r="D1846" t="s">
        <v>194</v>
      </c>
      <c r="E1846">
        <v>2677</v>
      </c>
      <c r="F1846" s="3">
        <v>7.3099999999999998E-2</v>
      </c>
      <c r="G1846" s="3">
        <v>3.8199999999999998E-2</v>
      </c>
      <c r="H1846" s="3">
        <v>6.9999999999999999E-4</v>
      </c>
      <c r="I1846" s="3">
        <v>0.68630000000000002</v>
      </c>
      <c r="K1846" s="3">
        <v>0.2016</v>
      </c>
    </row>
    <row r="1847" spans="1:11">
      <c r="A1847" t="s">
        <v>199</v>
      </c>
      <c r="B1847" t="s">
        <v>198</v>
      </c>
      <c r="C1847">
        <v>945</v>
      </c>
      <c r="D1847" t="s">
        <v>194</v>
      </c>
      <c r="E1847">
        <v>2677</v>
      </c>
      <c r="F1847" s="3">
        <v>6.8500000000000005E-2</v>
      </c>
      <c r="G1847" s="3">
        <v>2.0999999999999999E-3</v>
      </c>
      <c r="H1847" s="3">
        <v>1E-4</v>
      </c>
      <c r="I1847" s="3">
        <v>0.76139999999999997</v>
      </c>
      <c r="K1847" s="3">
        <v>0.16789999999999999</v>
      </c>
    </row>
    <row r="1848" spans="1:11">
      <c r="A1848" t="s">
        <v>200</v>
      </c>
      <c r="B1848" t="s">
        <v>200</v>
      </c>
      <c r="C1848">
        <v>2677</v>
      </c>
      <c r="D1848" t="s">
        <v>200</v>
      </c>
      <c r="E1848">
        <v>2677</v>
      </c>
      <c r="F1848" s="3">
        <v>0.1108</v>
      </c>
      <c r="G1848" s="3">
        <v>1.55E-2</v>
      </c>
      <c r="H1848" s="3">
        <v>1E-4</v>
      </c>
      <c r="I1848" s="3">
        <v>0.69699999999999995</v>
      </c>
      <c r="J1848" s="3">
        <v>0</v>
      </c>
      <c r="K1848" s="3">
        <v>0.17660000000000001</v>
      </c>
    </row>
    <row r="1850" spans="1:11" ht="45">
      <c r="A1850" s="22" t="s">
        <v>522</v>
      </c>
    </row>
    <row r="1851" spans="1:11">
      <c r="A1851" t="s">
        <v>185</v>
      </c>
      <c r="B1851" t="s">
        <v>186</v>
      </c>
      <c r="C1851" t="s">
        <v>192</v>
      </c>
      <c r="D1851" t="s">
        <v>184</v>
      </c>
      <c r="E1851" t="s">
        <v>193</v>
      </c>
      <c r="F1851" t="s">
        <v>506</v>
      </c>
      <c r="G1851" t="s">
        <v>507</v>
      </c>
      <c r="H1851" t="s">
        <v>257</v>
      </c>
      <c r="I1851" t="s">
        <v>508</v>
      </c>
      <c r="J1851" t="s">
        <v>247</v>
      </c>
      <c r="K1851" t="s">
        <v>509</v>
      </c>
    </row>
    <row r="1852" spans="1:11">
      <c r="A1852" t="s">
        <v>195</v>
      </c>
      <c r="B1852" t="s">
        <v>202</v>
      </c>
      <c r="C1852">
        <v>533</v>
      </c>
      <c r="D1852" t="s">
        <v>194</v>
      </c>
      <c r="E1852">
        <v>2677</v>
      </c>
      <c r="F1852" s="3">
        <v>0.17069999999999999</v>
      </c>
      <c r="G1852" s="3">
        <v>2.1499999999999998E-2</v>
      </c>
      <c r="I1852" s="3">
        <v>0.61199999999999999</v>
      </c>
      <c r="K1852" s="3">
        <v>0.19570000000000001</v>
      </c>
    </row>
    <row r="1853" spans="1:11">
      <c r="A1853" t="s">
        <v>195</v>
      </c>
      <c r="B1853" t="s">
        <v>204</v>
      </c>
      <c r="C1853">
        <v>301</v>
      </c>
      <c r="D1853" t="s">
        <v>194</v>
      </c>
      <c r="E1853">
        <v>2677</v>
      </c>
      <c r="F1853" s="3">
        <v>0.13159999999999999</v>
      </c>
      <c r="G1853" s="3">
        <v>1.2999999999999999E-2</v>
      </c>
      <c r="I1853" s="3">
        <v>0.70350000000000001</v>
      </c>
      <c r="J1853" s="3">
        <v>1E-4</v>
      </c>
      <c r="K1853" s="3">
        <v>0.1517</v>
      </c>
    </row>
    <row r="1854" spans="1:11">
      <c r="A1854" t="s">
        <v>195</v>
      </c>
      <c r="B1854" t="s">
        <v>205</v>
      </c>
      <c r="C1854">
        <v>334</v>
      </c>
      <c r="D1854" t="s">
        <v>194</v>
      </c>
      <c r="E1854">
        <v>2677</v>
      </c>
      <c r="F1854" s="3">
        <v>0.1726</v>
      </c>
      <c r="G1854" s="3">
        <v>5.1999999999999998E-2</v>
      </c>
      <c r="I1854" s="3">
        <v>0.63790000000000002</v>
      </c>
      <c r="K1854" s="3">
        <v>0.1376</v>
      </c>
    </row>
    <row r="1855" spans="1:11">
      <c r="A1855" t="s">
        <v>199</v>
      </c>
      <c r="B1855" t="s">
        <v>202</v>
      </c>
      <c r="C1855">
        <v>538</v>
      </c>
      <c r="D1855" t="s">
        <v>194</v>
      </c>
      <c r="E1855">
        <v>2677</v>
      </c>
      <c r="F1855" s="3">
        <v>6.6299999999999998E-2</v>
      </c>
      <c r="G1855" s="3">
        <v>1.14E-2</v>
      </c>
      <c r="I1855" s="3">
        <v>0.76449999999999996</v>
      </c>
      <c r="K1855" s="3">
        <v>0.15770000000000001</v>
      </c>
    </row>
    <row r="1856" spans="1:11">
      <c r="A1856" t="s">
        <v>199</v>
      </c>
      <c r="B1856" t="s">
        <v>204</v>
      </c>
      <c r="C1856">
        <v>426</v>
      </c>
      <c r="D1856" t="s">
        <v>194</v>
      </c>
      <c r="E1856">
        <v>2677</v>
      </c>
      <c r="F1856" s="3">
        <v>7.4499999999999997E-2</v>
      </c>
      <c r="G1856" s="3">
        <v>3.7000000000000002E-3</v>
      </c>
      <c r="I1856" s="3">
        <v>0.75649999999999995</v>
      </c>
      <c r="K1856" s="3">
        <v>0.16539999999999999</v>
      </c>
    </row>
    <row r="1857" spans="1:11">
      <c r="A1857" t="s">
        <v>199</v>
      </c>
      <c r="B1857" t="s">
        <v>205</v>
      </c>
      <c r="C1857">
        <v>506</v>
      </c>
      <c r="D1857" t="s">
        <v>194</v>
      </c>
      <c r="E1857">
        <v>2677</v>
      </c>
      <c r="F1857" s="3">
        <v>7.4999999999999997E-2</v>
      </c>
      <c r="G1857" s="3">
        <v>4.8999999999999998E-3</v>
      </c>
      <c r="H1857" s="3">
        <v>1.5E-3</v>
      </c>
      <c r="I1857" s="3">
        <v>0.67259999999999998</v>
      </c>
      <c r="K1857" s="3">
        <v>0.246</v>
      </c>
    </row>
    <row r="1858" spans="1:11">
      <c r="A1858" t="s">
        <v>200</v>
      </c>
      <c r="B1858" t="s">
        <v>200</v>
      </c>
      <c r="C1858">
        <v>2677</v>
      </c>
      <c r="D1858" t="s">
        <v>200</v>
      </c>
      <c r="E1858">
        <v>2677</v>
      </c>
      <c r="F1858" s="3">
        <v>0.1108</v>
      </c>
      <c r="G1858" s="3">
        <v>1.55E-2</v>
      </c>
      <c r="H1858" s="3">
        <v>1E-4</v>
      </c>
      <c r="I1858" s="3">
        <v>0.69699999999999995</v>
      </c>
      <c r="J1858" s="3">
        <v>0</v>
      </c>
      <c r="K1858" s="3">
        <v>0.17660000000000001</v>
      </c>
    </row>
    <row r="1860" spans="1:11" ht="45">
      <c r="A1860" s="22" t="s">
        <v>523</v>
      </c>
    </row>
    <row r="1861" spans="1:11">
      <c r="A1861" t="s">
        <v>185</v>
      </c>
      <c r="B1861" t="s">
        <v>186</v>
      </c>
      <c r="C1861" t="s">
        <v>192</v>
      </c>
      <c r="D1861" t="s">
        <v>184</v>
      </c>
      <c r="E1861" t="s">
        <v>193</v>
      </c>
      <c r="F1861" t="s">
        <v>506</v>
      </c>
      <c r="G1861" t="s">
        <v>507</v>
      </c>
      <c r="H1861" t="s">
        <v>257</v>
      </c>
      <c r="I1861" t="s">
        <v>508</v>
      </c>
      <c r="J1861" t="s">
        <v>247</v>
      </c>
      <c r="K1861" t="s">
        <v>509</v>
      </c>
    </row>
    <row r="1862" spans="1:11">
      <c r="A1862" t="s">
        <v>195</v>
      </c>
      <c r="B1862" t="s">
        <v>207</v>
      </c>
      <c r="C1862">
        <v>322</v>
      </c>
      <c r="D1862" t="s">
        <v>194</v>
      </c>
      <c r="E1862">
        <v>2677</v>
      </c>
      <c r="F1862" s="3">
        <v>0.63280000000000003</v>
      </c>
      <c r="G1862" s="3">
        <v>9.2200000000000004E-2</v>
      </c>
      <c r="I1862" s="3">
        <v>0.1328</v>
      </c>
      <c r="K1862" s="3">
        <v>0.14219999999999999</v>
      </c>
    </row>
    <row r="1863" spans="1:11">
      <c r="A1863" t="s">
        <v>195</v>
      </c>
      <c r="B1863" t="s">
        <v>209</v>
      </c>
      <c r="C1863">
        <v>867</v>
      </c>
      <c r="D1863" t="s">
        <v>194</v>
      </c>
      <c r="E1863">
        <v>2677</v>
      </c>
      <c r="I1863" s="3">
        <v>0.80759999999999998</v>
      </c>
      <c r="J1863" s="3">
        <v>0</v>
      </c>
      <c r="K1863" s="3">
        <v>0.19239999999999999</v>
      </c>
    </row>
    <row r="1864" spans="1:11">
      <c r="A1864" t="s">
        <v>199</v>
      </c>
      <c r="B1864" t="s">
        <v>207</v>
      </c>
      <c r="C1864">
        <v>283</v>
      </c>
      <c r="D1864" t="s">
        <v>194</v>
      </c>
      <c r="E1864">
        <v>2677</v>
      </c>
      <c r="F1864" s="3">
        <v>0.5696</v>
      </c>
      <c r="G1864" s="3">
        <v>7.3300000000000004E-2</v>
      </c>
      <c r="H1864" s="3">
        <v>1E-3</v>
      </c>
      <c r="I1864" s="3">
        <v>0.26050000000000001</v>
      </c>
      <c r="K1864" s="3">
        <v>9.5600000000000004E-2</v>
      </c>
    </row>
    <row r="1865" spans="1:11">
      <c r="A1865" t="s">
        <v>199</v>
      </c>
      <c r="B1865" t="s">
        <v>209</v>
      </c>
      <c r="C1865">
        <v>1205</v>
      </c>
      <c r="D1865" t="s">
        <v>194</v>
      </c>
      <c r="E1865">
        <v>2677</v>
      </c>
      <c r="H1865" s="3">
        <v>1E-4</v>
      </c>
      <c r="I1865" s="3">
        <v>0.81469999999999998</v>
      </c>
      <c r="K1865" s="3">
        <v>0.1852</v>
      </c>
    </row>
    <row r="1866" spans="1:11">
      <c r="A1866" t="s">
        <v>200</v>
      </c>
      <c r="B1866" t="s">
        <v>200</v>
      </c>
      <c r="C1866">
        <v>2677</v>
      </c>
      <c r="D1866" t="s">
        <v>200</v>
      </c>
      <c r="E1866">
        <v>2677</v>
      </c>
      <c r="F1866" s="3">
        <v>0.1108</v>
      </c>
      <c r="G1866" s="3">
        <v>1.55E-2</v>
      </c>
      <c r="H1866" s="3">
        <v>1E-4</v>
      </c>
      <c r="I1866" s="3">
        <v>0.69699999999999995</v>
      </c>
      <c r="J1866" s="3">
        <v>0</v>
      </c>
      <c r="K1866" s="3">
        <v>0.17660000000000001</v>
      </c>
    </row>
    <row r="1868" spans="1:11" ht="45">
      <c r="A1868" s="22" t="s">
        <v>524</v>
      </c>
    </row>
    <row r="1869" spans="1:11">
      <c r="A1869" t="s">
        <v>185</v>
      </c>
      <c r="B1869" t="s">
        <v>192</v>
      </c>
      <c r="C1869" t="s">
        <v>184</v>
      </c>
      <c r="D1869" t="s">
        <v>193</v>
      </c>
      <c r="E1869" t="s">
        <v>506</v>
      </c>
      <c r="F1869" t="s">
        <v>507</v>
      </c>
      <c r="G1869" t="s">
        <v>257</v>
      </c>
      <c r="H1869" t="s">
        <v>508</v>
      </c>
      <c r="I1869" t="s">
        <v>247</v>
      </c>
      <c r="J1869" t="s">
        <v>509</v>
      </c>
    </row>
    <row r="1870" spans="1:11">
      <c r="A1870" t="s">
        <v>195</v>
      </c>
      <c r="B1870">
        <v>1189</v>
      </c>
      <c r="C1870" t="s">
        <v>194</v>
      </c>
      <c r="D1870">
        <v>2677</v>
      </c>
      <c r="E1870" s="3">
        <v>0.16259999999999999</v>
      </c>
      <c r="F1870" s="3">
        <v>2.3699999999999999E-2</v>
      </c>
      <c r="H1870" s="3">
        <v>0.6341</v>
      </c>
      <c r="I1870" s="3">
        <v>0</v>
      </c>
      <c r="J1870" s="3">
        <v>0.17949999999999999</v>
      </c>
    </row>
    <row r="1871" spans="1:11">
      <c r="A1871" t="s">
        <v>199</v>
      </c>
      <c r="B1871">
        <v>1488</v>
      </c>
      <c r="C1871" t="s">
        <v>194</v>
      </c>
      <c r="D1871">
        <v>2677</v>
      </c>
      <c r="E1871" s="3">
        <v>6.9400000000000003E-2</v>
      </c>
      <c r="F1871" s="3">
        <v>8.8999999999999999E-3</v>
      </c>
      <c r="G1871" s="3">
        <v>2.0000000000000001E-4</v>
      </c>
      <c r="H1871" s="3">
        <v>0.74719999999999998</v>
      </c>
      <c r="J1871" s="3">
        <v>0.17430000000000001</v>
      </c>
    </row>
    <row r="1872" spans="1:11">
      <c r="A1872" t="s">
        <v>200</v>
      </c>
      <c r="B1872">
        <v>2677</v>
      </c>
      <c r="C1872" t="s">
        <v>200</v>
      </c>
      <c r="D1872">
        <v>2677</v>
      </c>
      <c r="E1872" s="3">
        <v>0.1108</v>
      </c>
      <c r="F1872" s="3">
        <v>1.55E-2</v>
      </c>
      <c r="G1872" s="3">
        <v>1E-4</v>
      </c>
      <c r="H1872" s="3">
        <v>0.69699999999999995</v>
      </c>
      <c r="I1872" s="3">
        <v>0</v>
      </c>
      <c r="J1872" s="3">
        <v>0.17660000000000001</v>
      </c>
    </row>
    <row r="1874" spans="1:11" ht="45">
      <c r="A1874" s="22" t="s">
        <v>525</v>
      </c>
    </row>
    <row r="1875" spans="1:11">
      <c r="A1875" t="s">
        <v>185</v>
      </c>
      <c r="B1875" t="s">
        <v>186</v>
      </c>
      <c r="C1875" t="s">
        <v>192</v>
      </c>
      <c r="D1875" t="s">
        <v>184</v>
      </c>
      <c r="E1875" t="s">
        <v>193</v>
      </c>
      <c r="F1875" t="s">
        <v>506</v>
      </c>
      <c r="G1875" t="s">
        <v>507</v>
      </c>
      <c r="H1875" t="s">
        <v>257</v>
      </c>
      <c r="I1875" t="s">
        <v>508</v>
      </c>
      <c r="J1875" t="s">
        <v>247</v>
      </c>
      <c r="K1875" t="s">
        <v>509</v>
      </c>
    </row>
    <row r="1876" spans="1:11">
      <c r="A1876" t="s">
        <v>195</v>
      </c>
      <c r="B1876" t="s">
        <v>212</v>
      </c>
      <c r="C1876">
        <v>873</v>
      </c>
      <c r="D1876" t="s">
        <v>194</v>
      </c>
      <c r="E1876">
        <v>2677</v>
      </c>
      <c r="F1876" s="3">
        <v>0.15989999999999999</v>
      </c>
      <c r="G1876" s="3">
        <v>1.9900000000000001E-2</v>
      </c>
      <c r="I1876" s="3">
        <v>0.66290000000000004</v>
      </c>
      <c r="K1876" s="3">
        <v>0.1573</v>
      </c>
    </row>
    <row r="1877" spans="1:11">
      <c r="A1877" t="s">
        <v>195</v>
      </c>
      <c r="B1877" t="s">
        <v>214</v>
      </c>
      <c r="C1877">
        <v>181</v>
      </c>
      <c r="D1877" t="s">
        <v>194</v>
      </c>
      <c r="E1877">
        <v>2677</v>
      </c>
      <c r="F1877" s="3">
        <v>0.184</v>
      </c>
      <c r="G1877" s="3">
        <v>1.1900000000000001E-2</v>
      </c>
      <c r="I1877" s="3">
        <v>0.54510000000000003</v>
      </c>
      <c r="J1877" s="3">
        <v>2.0000000000000001E-4</v>
      </c>
      <c r="K1877" s="3">
        <v>0.25890000000000002</v>
      </c>
    </row>
    <row r="1878" spans="1:11">
      <c r="A1878" t="s">
        <v>195</v>
      </c>
      <c r="B1878" t="s">
        <v>215</v>
      </c>
      <c r="C1878">
        <v>135</v>
      </c>
      <c r="D1878" t="s">
        <v>194</v>
      </c>
      <c r="E1878">
        <v>2677</v>
      </c>
      <c r="F1878" s="3">
        <v>0.1447</v>
      </c>
      <c r="G1878" s="3">
        <v>8.1299999999999997E-2</v>
      </c>
      <c r="I1878" s="3">
        <v>0.55179999999999996</v>
      </c>
      <c r="K1878" s="3">
        <v>0.22220000000000001</v>
      </c>
    </row>
    <row r="1879" spans="1:11">
      <c r="A1879" t="s">
        <v>199</v>
      </c>
      <c r="B1879" t="s">
        <v>212</v>
      </c>
      <c r="C1879">
        <v>1118</v>
      </c>
      <c r="D1879" t="s">
        <v>194</v>
      </c>
      <c r="E1879">
        <v>2677</v>
      </c>
      <c r="F1879" s="3">
        <v>6.5000000000000002E-2</v>
      </c>
      <c r="G1879" s="3">
        <v>5.7000000000000002E-3</v>
      </c>
      <c r="H1879" s="3">
        <v>2.0000000000000001E-4</v>
      </c>
      <c r="I1879" s="3">
        <v>0.76559999999999995</v>
      </c>
      <c r="K1879" s="3">
        <v>0.16339999999999999</v>
      </c>
    </row>
    <row r="1880" spans="1:11">
      <c r="A1880" t="s">
        <v>199</v>
      </c>
      <c r="B1880" t="s">
        <v>214</v>
      </c>
      <c r="C1880">
        <v>197</v>
      </c>
      <c r="D1880" t="s">
        <v>194</v>
      </c>
      <c r="E1880">
        <v>2677</v>
      </c>
      <c r="F1880" s="3">
        <v>5.21E-2</v>
      </c>
      <c r="G1880" s="3">
        <v>1.1999999999999999E-3</v>
      </c>
      <c r="I1880" s="3">
        <v>0.71089999999999998</v>
      </c>
      <c r="K1880" s="3">
        <v>0.23580000000000001</v>
      </c>
    </row>
    <row r="1881" spans="1:11">
      <c r="A1881" t="s">
        <v>199</v>
      </c>
      <c r="B1881" t="s">
        <v>215</v>
      </c>
      <c r="C1881">
        <v>173</v>
      </c>
      <c r="D1881" t="s">
        <v>194</v>
      </c>
      <c r="E1881">
        <v>2677</v>
      </c>
      <c r="F1881" s="3">
        <v>0.13969999999999999</v>
      </c>
      <c r="G1881" s="3">
        <v>5.1999999999999998E-2</v>
      </c>
      <c r="H1881" s="3">
        <v>1.4E-3</v>
      </c>
      <c r="I1881" s="3">
        <v>0.64500000000000002</v>
      </c>
      <c r="K1881" s="3">
        <v>0.1618</v>
      </c>
    </row>
    <row r="1882" spans="1:11">
      <c r="A1882" t="s">
        <v>200</v>
      </c>
      <c r="B1882" t="s">
        <v>200</v>
      </c>
      <c r="C1882">
        <v>2677</v>
      </c>
      <c r="D1882" t="s">
        <v>200</v>
      </c>
      <c r="E1882">
        <v>2677</v>
      </c>
      <c r="F1882" s="3">
        <v>0.1108</v>
      </c>
      <c r="G1882" s="3">
        <v>1.55E-2</v>
      </c>
      <c r="H1882" s="3">
        <v>1E-4</v>
      </c>
      <c r="I1882" s="3">
        <v>0.69699999999999995</v>
      </c>
      <c r="J1882" s="3">
        <v>0</v>
      </c>
      <c r="K1882" s="3">
        <v>0.17660000000000001</v>
      </c>
    </row>
    <row r="1884" spans="1:11" ht="45">
      <c r="A1884" s="22" t="s">
        <v>526</v>
      </c>
    </row>
    <row r="1885" spans="1:11">
      <c r="A1885" t="s">
        <v>185</v>
      </c>
      <c r="B1885" t="s">
        <v>186</v>
      </c>
      <c r="C1885" t="s">
        <v>192</v>
      </c>
      <c r="D1885" t="s">
        <v>184</v>
      </c>
      <c r="E1885" t="s">
        <v>193</v>
      </c>
      <c r="F1885" t="s">
        <v>506</v>
      </c>
      <c r="G1885" t="s">
        <v>507</v>
      </c>
      <c r="H1885" t="s">
        <v>257</v>
      </c>
      <c r="I1885" t="s">
        <v>508</v>
      </c>
      <c r="J1885" t="s">
        <v>247</v>
      </c>
      <c r="K1885" t="s">
        <v>509</v>
      </c>
    </row>
    <row r="1886" spans="1:11">
      <c r="A1886" t="s">
        <v>195</v>
      </c>
      <c r="B1886" t="s">
        <v>217</v>
      </c>
      <c r="C1886">
        <v>499</v>
      </c>
      <c r="D1886" t="s">
        <v>194</v>
      </c>
      <c r="E1886">
        <v>2677</v>
      </c>
      <c r="F1886" s="3">
        <v>0.126</v>
      </c>
      <c r="G1886" s="3">
        <v>1.78E-2</v>
      </c>
      <c r="I1886" s="3">
        <v>0.64990000000000003</v>
      </c>
      <c r="K1886" s="3">
        <v>0.20630000000000001</v>
      </c>
    </row>
    <row r="1887" spans="1:11">
      <c r="A1887" t="s">
        <v>195</v>
      </c>
      <c r="B1887" t="s">
        <v>219</v>
      </c>
      <c r="C1887">
        <v>507</v>
      </c>
      <c r="D1887" t="s">
        <v>194</v>
      </c>
      <c r="E1887">
        <v>2677</v>
      </c>
      <c r="F1887" s="3">
        <v>0.1956</v>
      </c>
      <c r="G1887" s="3">
        <v>3.5700000000000003E-2</v>
      </c>
      <c r="I1887" s="3">
        <v>0.61570000000000003</v>
      </c>
      <c r="J1887" s="3">
        <v>1E-4</v>
      </c>
      <c r="K1887" s="3">
        <v>0.153</v>
      </c>
    </row>
    <row r="1888" spans="1:11">
      <c r="A1888" t="s">
        <v>195</v>
      </c>
      <c r="B1888" t="s">
        <v>220</v>
      </c>
      <c r="C1888">
        <v>182</v>
      </c>
      <c r="D1888" t="s">
        <v>194</v>
      </c>
      <c r="E1888">
        <v>2677</v>
      </c>
      <c r="F1888" s="3">
        <v>0.1759</v>
      </c>
      <c r="G1888" s="3">
        <v>1.2200000000000001E-2</v>
      </c>
      <c r="I1888" s="3">
        <v>0.63719999999999999</v>
      </c>
      <c r="K1888" s="3">
        <v>0.17469999999999999</v>
      </c>
    </row>
    <row r="1889" spans="1:11">
      <c r="A1889" t="s">
        <v>199</v>
      </c>
      <c r="B1889" t="s">
        <v>217</v>
      </c>
      <c r="C1889">
        <v>814</v>
      </c>
      <c r="D1889" t="s">
        <v>194</v>
      </c>
      <c r="E1889">
        <v>2677</v>
      </c>
      <c r="F1889" s="3">
        <v>5.5E-2</v>
      </c>
      <c r="G1889" s="3">
        <v>7.0000000000000001E-3</v>
      </c>
      <c r="H1889" s="3">
        <v>4.0000000000000002E-4</v>
      </c>
      <c r="I1889" s="3">
        <v>0.76500000000000001</v>
      </c>
      <c r="K1889" s="3">
        <v>0.1726</v>
      </c>
    </row>
    <row r="1890" spans="1:11">
      <c r="A1890" t="s">
        <v>199</v>
      </c>
      <c r="B1890" t="s">
        <v>219</v>
      </c>
      <c r="C1890">
        <v>451</v>
      </c>
      <c r="D1890" t="s">
        <v>194</v>
      </c>
      <c r="E1890">
        <v>2677</v>
      </c>
      <c r="F1890" s="3">
        <v>0.1153</v>
      </c>
      <c r="G1890" s="3">
        <v>1.4999999999999999E-2</v>
      </c>
      <c r="I1890" s="3">
        <v>0.67610000000000003</v>
      </c>
      <c r="K1890" s="3">
        <v>0.19359999999999999</v>
      </c>
    </row>
    <row r="1891" spans="1:11">
      <c r="A1891" t="s">
        <v>199</v>
      </c>
      <c r="B1891" t="s">
        <v>220</v>
      </c>
      <c r="C1891">
        <v>223</v>
      </c>
      <c r="D1891" t="s">
        <v>194</v>
      </c>
      <c r="E1891">
        <v>2677</v>
      </c>
      <c r="F1891" s="3">
        <v>5.1700000000000003E-2</v>
      </c>
      <c r="G1891" s="3">
        <v>6.7000000000000002E-3</v>
      </c>
      <c r="I1891" s="3">
        <v>0.79149999999999998</v>
      </c>
      <c r="K1891" s="3">
        <v>0.15010000000000001</v>
      </c>
    </row>
    <row r="1892" spans="1:11">
      <c r="A1892" t="s">
        <v>200</v>
      </c>
      <c r="B1892" t="s">
        <v>200</v>
      </c>
      <c r="C1892">
        <v>2677</v>
      </c>
      <c r="D1892" t="s">
        <v>200</v>
      </c>
      <c r="E1892">
        <v>2677</v>
      </c>
      <c r="F1892" s="3">
        <v>0.1108</v>
      </c>
      <c r="G1892" s="3">
        <v>1.55E-2</v>
      </c>
      <c r="H1892" s="3">
        <v>1E-4</v>
      </c>
      <c r="I1892" s="3">
        <v>0.69699999999999995</v>
      </c>
      <c r="J1892" s="3">
        <v>0</v>
      </c>
      <c r="K1892" s="3">
        <v>0.17660000000000001</v>
      </c>
    </row>
    <row r="1894" spans="1:11" ht="45">
      <c r="A1894" s="22" t="s">
        <v>527</v>
      </c>
    </row>
    <row r="1895" spans="1:11">
      <c r="A1895" t="s">
        <v>185</v>
      </c>
      <c r="B1895" t="s">
        <v>186</v>
      </c>
      <c r="C1895" t="s">
        <v>192</v>
      </c>
      <c r="D1895" t="s">
        <v>184</v>
      </c>
      <c r="E1895" t="s">
        <v>193</v>
      </c>
      <c r="F1895" t="s">
        <v>506</v>
      </c>
      <c r="G1895" t="s">
        <v>507</v>
      </c>
      <c r="H1895" t="s">
        <v>257</v>
      </c>
      <c r="I1895" t="s">
        <v>508</v>
      </c>
      <c r="J1895" t="s">
        <v>247</v>
      </c>
      <c r="K1895" t="s">
        <v>509</v>
      </c>
    </row>
    <row r="1896" spans="1:11">
      <c r="A1896" t="s">
        <v>195</v>
      </c>
      <c r="B1896" t="s">
        <v>196</v>
      </c>
      <c r="C1896">
        <v>413</v>
      </c>
      <c r="D1896" t="s">
        <v>194</v>
      </c>
      <c r="E1896">
        <v>2677</v>
      </c>
      <c r="F1896" s="3">
        <v>3.5900000000000001E-2</v>
      </c>
      <c r="G1896" s="3">
        <v>4.4000000000000003E-3</v>
      </c>
      <c r="H1896" s="3">
        <v>2.9999999999999997E-4</v>
      </c>
      <c r="I1896" s="3">
        <v>0.79649999999999999</v>
      </c>
      <c r="K1896" s="3">
        <v>0.16289999999999999</v>
      </c>
    </row>
    <row r="1897" spans="1:11">
      <c r="A1897" t="s">
        <v>195</v>
      </c>
      <c r="B1897" t="s">
        <v>198</v>
      </c>
      <c r="C1897">
        <v>755</v>
      </c>
      <c r="D1897" t="s">
        <v>194</v>
      </c>
      <c r="E1897">
        <v>2677</v>
      </c>
      <c r="F1897" s="3">
        <v>5.8000000000000003E-2</v>
      </c>
      <c r="G1897" s="3">
        <v>2.7000000000000001E-3</v>
      </c>
      <c r="H1897" s="3">
        <v>3.0999999999999999E-3</v>
      </c>
      <c r="I1897" s="3">
        <v>0.70520000000000005</v>
      </c>
      <c r="K1897" s="3">
        <v>0.23089999999999999</v>
      </c>
    </row>
    <row r="1898" spans="1:11">
      <c r="A1898" t="s">
        <v>199</v>
      </c>
      <c r="B1898" t="s">
        <v>196</v>
      </c>
      <c r="C1898">
        <v>525</v>
      </c>
      <c r="D1898" t="s">
        <v>194</v>
      </c>
      <c r="E1898">
        <v>2677</v>
      </c>
      <c r="F1898" s="3">
        <v>1.43E-2</v>
      </c>
      <c r="G1898" s="3">
        <v>5.9999999999999995E-4</v>
      </c>
      <c r="H1898" s="3">
        <v>3.7000000000000002E-3</v>
      </c>
      <c r="I1898" s="3">
        <v>0.86029999999999995</v>
      </c>
      <c r="K1898" s="3">
        <v>0.1212</v>
      </c>
    </row>
    <row r="1899" spans="1:11">
      <c r="A1899" t="s">
        <v>199</v>
      </c>
      <c r="B1899" t="s">
        <v>198</v>
      </c>
      <c r="C1899">
        <v>945</v>
      </c>
      <c r="D1899" t="s">
        <v>194</v>
      </c>
      <c r="E1899">
        <v>2677</v>
      </c>
      <c r="F1899" s="3">
        <v>1.6799999999999999E-2</v>
      </c>
      <c r="G1899" s="3">
        <v>1.9E-3</v>
      </c>
      <c r="H1899" s="3">
        <v>1.1000000000000001E-3</v>
      </c>
      <c r="I1899" s="3">
        <v>0.84099999999999997</v>
      </c>
      <c r="J1899" s="3">
        <v>2.0000000000000001E-4</v>
      </c>
      <c r="K1899" s="3">
        <v>0.13900000000000001</v>
      </c>
    </row>
    <row r="1900" spans="1:11">
      <c r="A1900" t="s">
        <v>200</v>
      </c>
      <c r="B1900" t="s">
        <v>200</v>
      </c>
      <c r="C1900">
        <v>2677</v>
      </c>
      <c r="D1900" t="s">
        <v>200</v>
      </c>
      <c r="E1900">
        <v>2677</v>
      </c>
      <c r="F1900" s="3">
        <v>3.2199999999999999E-2</v>
      </c>
      <c r="G1900" s="3">
        <v>2.3E-3</v>
      </c>
      <c r="H1900" s="3">
        <v>1.9E-3</v>
      </c>
      <c r="I1900" s="3">
        <v>0.79339999999999999</v>
      </c>
      <c r="J1900" s="3">
        <v>1E-4</v>
      </c>
      <c r="K1900" s="3">
        <v>0.1701</v>
      </c>
    </row>
    <row r="1902" spans="1:11" ht="45">
      <c r="A1902" s="22" t="s">
        <v>528</v>
      </c>
    </row>
    <row r="1903" spans="1:11">
      <c r="A1903" t="s">
        <v>185</v>
      </c>
      <c r="B1903" t="s">
        <v>186</v>
      </c>
      <c r="C1903" t="s">
        <v>192</v>
      </c>
      <c r="D1903" t="s">
        <v>184</v>
      </c>
      <c r="E1903" t="s">
        <v>193</v>
      </c>
      <c r="F1903" t="s">
        <v>506</v>
      </c>
      <c r="G1903" t="s">
        <v>507</v>
      </c>
      <c r="H1903" t="s">
        <v>257</v>
      </c>
      <c r="I1903" t="s">
        <v>508</v>
      </c>
      <c r="J1903" t="s">
        <v>247</v>
      </c>
      <c r="K1903" t="s">
        <v>509</v>
      </c>
    </row>
    <row r="1904" spans="1:11">
      <c r="A1904" t="s">
        <v>195</v>
      </c>
      <c r="B1904" t="s">
        <v>202</v>
      </c>
      <c r="C1904">
        <v>533</v>
      </c>
      <c r="D1904" t="s">
        <v>194</v>
      </c>
      <c r="E1904">
        <v>2677</v>
      </c>
      <c r="F1904" s="3">
        <v>5.8500000000000003E-2</v>
      </c>
      <c r="G1904" s="3">
        <v>3.5000000000000001E-3</v>
      </c>
      <c r="H1904" s="3">
        <v>2.0999999999999999E-3</v>
      </c>
      <c r="I1904" s="3">
        <v>0.71740000000000004</v>
      </c>
      <c r="K1904" s="3">
        <v>0.2185</v>
      </c>
    </row>
    <row r="1905" spans="1:11">
      <c r="A1905" t="s">
        <v>195</v>
      </c>
      <c r="B1905" t="s">
        <v>204</v>
      </c>
      <c r="C1905">
        <v>301</v>
      </c>
      <c r="D1905" t="s">
        <v>194</v>
      </c>
      <c r="E1905">
        <v>2677</v>
      </c>
      <c r="F1905" s="3">
        <v>2.3300000000000001E-2</v>
      </c>
      <c r="G1905" s="3">
        <v>1.1000000000000001E-3</v>
      </c>
      <c r="H1905" s="3">
        <v>1.6999999999999999E-3</v>
      </c>
      <c r="I1905" s="3">
        <v>0.79090000000000005</v>
      </c>
      <c r="K1905" s="3">
        <v>0.183</v>
      </c>
    </row>
    <row r="1906" spans="1:11">
      <c r="A1906" t="s">
        <v>195</v>
      </c>
      <c r="B1906" t="s">
        <v>205</v>
      </c>
      <c r="C1906">
        <v>334</v>
      </c>
      <c r="D1906" t="s">
        <v>194</v>
      </c>
      <c r="E1906">
        <v>2677</v>
      </c>
      <c r="F1906" s="3">
        <v>6.7299999999999999E-2</v>
      </c>
      <c r="G1906" s="3">
        <v>4.7000000000000002E-3</v>
      </c>
      <c r="H1906" s="3">
        <v>4.5999999999999999E-3</v>
      </c>
      <c r="I1906" s="3">
        <v>0.69110000000000005</v>
      </c>
      <c r="K1906" s="3">
        <v>0.23230000000000001</v>
      </c>
    </row>
    <row r="1907" spans="1:11">
      <c r="A1907" t="s">
        <v>199</v>
      </c>
      <c r="B1907" t="s">
        <v>202</v>
      </c>
      <c r="C1907">
        <v>538</v>
      </c>
      <c r="D1907" t="s">
        <v>194</v>
      </c>
      <c r="E1907">
        <v>2677</v>
      </c>
      <c r="F1907" s="3">
        <v>1.1599999999999999E-2</v>
      </c>
      <c r="G1907" s="3">
        <v>5.9999999999999995E-4</v>
      </c>
      <c r="H1907" s="3">
        <v>8.0000000000000004E-4</v>
      </c>
      <c r="I1907" s="3">
        <v>0.85</v>
      </c>
      <c r="K1907" s="3">
        <v>0.13700000000000001</v>
      </c>
    </row>
    <row r="1908" spans="1:11">
      <c r="A1908" t="s">
        <v>199</v>
      </c>
      <c r="B1908" t="s">
        <v>204</v>
      </c>
      <c r="C1908">
        <v>426</v>
      </c>
      <c r="D1908" t="s">
        <v>194</v>
      </c>
      <c r="E1908">
        <v>2677</v>
      </c>
      <c r="F1908" s="3">
        <v>1.8599999999999998E-2</v>
      </c>
      <c r="G1908" s="3">
        <v>5.9999999999999995E-4</v>
      </c>
      <c r="H1908" s="3">
        <v>3.5000000000000001E-3</v>
      </c>
      <c r="I1908" s="3">
        <v>0.85470000000000002</v>
      </c>
      <c r="K1908" s="3">
        <v>0.1226</v>
      </c>
    </row>
    <row r="1909" spans="1:11">
      <c r="A1909" t="s">
        <v>199</v>
      </c>
      <c r="B1909" t="s">
        <v>205</v>
      </c>
      <c r="C1909">
        <v>506</v>
      </c>
      <c r="D1909" t="s">
        <v>194</v>
      </c>
      <c r="E1909">
        <v>2677</v>
      </c>
      <c r="F1909" s="3">
        <v>3.15E-2</v>
      </c>
      <c r="G1909" s="3">
        <v>7.1000000000000004E-3</v>
      </c>
      <c r="H1909" s="3">
        <v>2.2000000000000001E-3</v>
      </c>
      <c r="I1909" s="3">
        <v>0.81259999999999999</v>
      </c>
      <c r="J1909" s="3">
        <v>8.0000000000000004E-4</v>
      </c>
      <c r="K1909" s="3">
        <v>0.1457</v>
      </c>
    </row>
    <row r="1910" spans="1:11">
      <c r="A1910" t="s">
        <v>200</v>
      </c>
      <c r="B1910" t="s">
        <v>200</v>
      </c>
      <c r="C1910">
        <v>2677</v>
      </c>
      <c r="D1910" t="s">
        <v>200</v>
      </c>
      <c r="E1910">
        <v>2677</v>
      </c>
      <c r="F1910" s="3">
        <v>3.2199999999999999E-2</v>
      </c>
      <c r="G1910" s="3">
        <v>2.3E-3</v>
      </c>
      <c r="H1910" s="3">
        <v>1.9E-3</v>
      </c>
      <c r="I1910" s="3">
        <v>0.79339999999999999</v>
      </c>
      <c r="J1910" s="3">
        <v>1E-4</v>
      </c>
      <c r="K1910" s="3">
        <v>0.1701</v>
      </c>
    </row>
    <row r="1912" spans="1:11" ht="45">
      <c r="A1912" s="22" t="s">
        <v>529</v>
      </c>
    </row>
    <row r="1913" spans="1:11">
      <c r="A1913" t="s">
        <v>185</v>
      </c>
      <c r="B1913" t="s">
        <v>186</v>
      </c>
      <c r="C1913" t="s">
        <v>192</v>
      </c>
      <c r="D1913" t="s">
        <v>184</v>
      </c>
      <c r="E1913" t="s">
        <v>193</v>
      </c>
      <c r="F1913" t="s">
        <v>506</v>
      </c>
      <c r="G1913" t="s">
        <v>507</v>
      </c>
      <c r="H1913" t="s">
        <v>257</v>
      </c>
      <c r="I1913" t="s">
        <v>508</v>
      </c>
      <c r="J1913" t="s">
        <v>247</v>
      </c>
      <c r="K1913" t="s">
        <v>509</v>
      </c>
    </row>
    <row r="1914" spans="1:11">
      <c r="A1914" t="s">
        <v>195</v>
      </c>
      <c r="B1914" t="s">
        <v>207</v>
      </c>
      <c r="C1914">
        <v>322</v>
      </c>
      <c r="D1914" t="s">
        <v>194</v>
      </c>
      <c r="E1914">
        <v>2677</v>
      </c>
      <c r="F1914" s="3">
        <v>0.20169999999999999</v>
      </c>
      <c r="G1914" s="3">
        <v>1.23E-2</v>
      </c>
      <c r="I1914" s="3">
        <v>0.43930000000000002</v>
      </c>
      <c r="K1914" s="3">
        <v>0.34670000000000001</v>
      </c>
    </row>
    <row r="1915" spans="1:11">
      <c r="A1915" t="s">
        <v>195</v>
      </c>
      <c r="B1915" t="s">
        <v>209</v>
      </c>
      <c r="C1915">
        <v>867</v>
      </c>
      <c r="D1915" t="s">
        <v>194</v>
      </c>
      <c r="E1915">
        <v>2677</v>
      </c>
      <c r="H1915" s="3">
        <v>3.0999999999999999E-3</v>
      </c>
      <c r="I1915" s="3">
        <v>0.83009999999999995</v>
      </c>
      <c r="K1915" s="3">
        <v>0.16669999999999999</v>
      </c>
    </row>
    <row r="1916" spans="1:11">
      <c r="A1916" t="s">
        <v>199</v>
      </c>
      <c r="B1916" t="s">
        <v>207</v>
      </c>
      <c r="C1916">
        <v>283</v>
      </c>
      <c r="D1916" t="s">
        <v>194</v>
      </c>
      <c r="E1916">
        <v>2677</v>
      </c>
      <c r="F1916" s="3">
        <v>0.13489999999999999</v>
      </c>
      <c r="G1916" s="3">
        <v>1.38E-2</v>
      </c>
      <c r="H1916" s="3">
        <v>2.3E-3</v>
      </c>
      <c r="I1916" s="3">
        <v>0.52810000000000001</v>
      </c>
      <c r="K1916" s="3">
        <v>0.32090000000000002</v>
      </c>
    </row>
    <row r="1917" spans="1:11">
      <c r="A1917" t="s">
        <v>199</v>
      </c>
      <c r="B1917" t="s">
        <v>209</v>
      </c>
      <c r="C1917">
        <v>1205</v>
      </c>
      <c r="D1917" t="s">
        <v>194</v>
      </c>
      <c r="E1917">
        <v>2677</v>
      </c>
      <c r="H1917" s="3">
        <v>1.5E-3</v>
      </c>
      <c r="I1917" s="3">
        <v>0.88819999999999999</v>
      </c>
      <c r="J1917" s="3">
        <v>2.0000000000000001E-4</v>
      </c>
      <c r="K1917" s="3">
        <v>0.11020000000000001</v>
      </c>
    </row>
    <row r="1918" spans="1:11">
      <c r="A1918" t="s">
        <v>200</v>
      </c>
      <c r="B1918" t="s">
        <v>200</v>
      </c>
      <c r="C1918">
        <v>2677</v>
      </c>
      <c r="D1918" t="s">
        <v>200</v>
      </c>
      <c r="E1918">
        <v>2677</v>
      </c>
      <c r="F1918" s="3">
        <v>3.2199999999999999E-2</v>
      </c>
      <c r="G1918" s="3">
        <v>2.3E-3</v>
      </c>
      <c r="H1918" s="3">
        <v>1.9E-3</v>
      </c>
      <c r="I1918" s="3">
        <v>0.79339999999999999</v>
      </c>
      <c r="J1918" s="3">
        <v>1E-4</v>
      </c>
      <c r="K1918" s="3">
        <v>0.1701</v>
      </c>
    </row>
    <row r="1920" spans="1:11" ht="45">
      <c r="A1920" s="22" t="s">
        <v>530</v>
      </c>
    </row>
    <row r="1921" spans="1:11">
      <c r="A1921" t="s">
        <v>185</v>
      </c>
      <c r="B1921" t="s">
        <v>192</v>
      </c>
      <c r="C1921" t="s">
        <v>184</v>
      </c>
      <c r="D1921" t="s">
        <v>193</v>
      </c>
      <c r="E1921" t="s">
        <v>506</v>
      </c>
      <c r="F1921" t="s">
        <v>507</v>
      </c>
      <c r="G1921" t="s">
        <v>257</v>
      </c>
      <c r="H1921" t="s">
        <v>508</v>
      </c>
      <c r="I1921" t="s">
        <v>247</v>
      </c>
      <c r="J1921" t="s">
        <v>509</v>
      </c>
    </row>
    <row r="1922" spans="1:11">
      <c r="A1922" t="s">
        <v>195</v>
      </c>
      <c r="B1922">
        <v>1189</v>
      </c>
      <c r="C1922" t="s">
        <v>194</v>
      </c>
      <c r="D1922">
        <v>2677</v>
      </c>
      <c r="E1922" s="3">
        <v>5.1900000000000002E-2</v>
      </c>
      <c r="F1922" s="3">
        <v>3.2000000000000002E-3</v>
      </c>
      <c r="G1922" s="3">
        <v>2.3E-3</v>
      </c>
      <c r="H1922" s="3">
        <v>0.72970000000000002</v>
      </c>
      <c r="J1922" s="3">
        <v>0.21299999999999999</v>
      </c>
    </row>
    <row r="1923" spans="1:11">
      <c r="A1923" t="s">
        <v>199</v>
      </c>
      <c r="B1923">
        <v>1488</v>
      </c>
      <c r="C1923" t="s">
        <v>194</v>
      </c>
      <c r="D1923">
        <v>2677</v>
      </c>
      <c r="E1923" s="3">
        <v>1.6400000000000001E-2</v>
      </c>
      <c r="F1923" s="3">
        <v>1.6999999999999999E-3</v>
      </c>
      <c r="G1923" s="3">
        <v>1.6000000000000001E-3</v>
      </c>
      <c r="H1923" s="3">
        <v>0.84430000000000005</v>
      </c>
      <c r="I1923" s="3">
        <v>1E-4</v>
      </c>
      <c r="J1923" s="3">
        <v>0.13589999999999999</v>
      </c>
    </row>
    <row r="1924" spans="1:11">
      <c r="A1924" t="s">
        <v>200</v>
      </c>
      <c r="B1924">
        <v>2677</v>
      </c>
      <c r="C1924" t="s">
        <v>200</v>
      </c>
      <c r="D1924">
        <v>2677</v>
      </c>
      <c r="E1924" s="3">
        <v>3.2199999999999999E-2</v>
      </c>
      <c r="F1924" s="3">
        <v>2.3E-3</v>
      </c>
      <c r="G1924" s="3">
        <v>1.9E-3</v>
      </c>
      <c r="H1924" s="3">
        <v>0.79339999999999999</v>
      </c>
      <c r="I1924" s="3">
        <v>1E-4</v>
      </c>
      <c r="J1924" s="3">
        <v>0.1701</v>
      </c>
    </row>
    <row r="1926" spans="1:11" ht="45">
      <c r="A1926" s="22" t="s">
        <v>531</v>
      </c>
    </row>
    <row r="1927" spans="1:11">
      <c r="A1927" t="s">
        <v>185</v>
      </c>
      <c r="B1927" t="s">
        <v>186</v>
      </c>
      <c r="C1927" t="s">
        <v>192</v>
      </c>
      <c r="D1927" t="s">
        <v>184</v>
      </c>
      <c r="E1927" t="s">
        <v>193</v>
      </c>
      <c r="F1927" t="s">
        <v>506</v>
      </c>
      <c r="G1927" t="s">
        <v>507</v>
      </c>
      <c r="H1927" t="s">
        <v>257</v>
      </c>
      <c r="I1927" t="s">
        <v>508</v>
      </c>
      <c r="J1927" t="s">
        <v>247</v>
      </c>
      <c r="K1927" t="s">
        <v>509</v>
      </c>
    </row>
    <row r="1928" spans="1:11">
      <c r="A1928" t="s">
        <v>195</v>
      </c>
      <c r="B1928" t="s">
        <v>212</v>
      </c>
      <c r="C1928">
        <v>873</v>
      </c>
      <c r="D1928" t="s">
        <v>194</v>
      </c>
      <c r="E1928">
        <v>2677</v>
      </c>
      <c r="F1928" s="3">
        <v>4.9399999999999999E-2</v>
      </c>
      <c r="G1928" s="3">
        <v>3.3E-3</v>
      </c>
      <c r="H1928" s="3">
        <v>3.0000000000000001E-3</v>
      </c>
      <c r="I1928" s="3">
        <v>0.74239999999999995</v>
      </c>
      <c r="K1928" s="3">
        <v>0.20200000000000001</v>
      </c>
    </row>
    <row r="1929" spans="1:11">
      <c r="A1929" t="s">
        <v>195</v>
      </c>
      <c r="B1929" t="s">
        <v>214</v>
      </c>
      <c r="C1929">
        <v>181</v>
      </c>
      <c r="D1929" t="s">
        <v>194</v>
      </c>
      <c r="E1929">
        <v>2677</v>
      </c>
      <c r="F1929" s="3">
        <v>4.6300000000000001E-2</v>
      </c>
      <c r="H1929" s="3">
        <v>5.0000000000000001E-4</v>
      </c>
      <c r="I1929" s="3">
        <v>0.72909999999999997</v>
      </c>
      <c r="K1929" s="3">
        <v>0.22409999999999999</v>
      </c>
    </row>
    <row r="1930" spans="1:11">
      <c r="A1930" t="s">
        <v>195</v>
      </c>
      <c r="B1930" t="s">
        <v>215</v>
      </c>
      <c r="C1930">
        <v>135</v>
      </c>
      <c r="D1930" t="s">
        <v>194</v>
      </c>
      <c r="E1930">
        <v>2677</v>
      </c>
      <c r="F1930" s="3">
        <v>8.48E-2</v>
      </c>
      <c r="G1930" s="3">
        <v>8.3000000000000001E-3</v>
      </c>
      <c r="I1930" s="3">
        <v>0.61709999999999998</v>
      </c>
      <c r="K1930" s="3">
        <v>0.28989999999999999</v>
      </c>
    </row>
    <row r="1931" spans="1:11">
      <c r="A1931" t="s">
        <v>199</v>
      </c>
      <c r="B1931" t="s">
        <v>212</v>
      </c>
      <c r="C1931">
        <v>1118</v>
      </c>
      <c r="D1931" t="s">
        <v>194</v>
      </c>
      <c r="E1931">
        <v>2677</v>
      </c>
      <c r="F1931" s="3">
        <v>1.66E-2</v>
      </c>
      <c r="G1931" s="3">
        <v>8.0000000000000004E-4</v>
      </c>
      <c r="H1931" s="3">
        <v>2.0999999999999999E-3</v>
      </c>
      <c r="I1931" s="3">
        <v>0.85589999999999999</v>
      </c>
      <c r="J1931" s="3">
        <v>2.0000000000000001E-4</v>
      </c>
      <c r="K1931" s="3">
        <v>0.1245</v>
      </c>
    </row>
    <row r="1932" spans="1:11">
      <c r="A1932" t="s">
        <v>199</v>
      </c>
      <c r="B1932" t="s">
        <v>214</v>
      </c>
      <c r="C1932">
        <v>197</v>
      </c>
      <c r="D1932" t="s">
        <v>194</v>
      </c>
      <c r="E1932">
        <v>2677</v>
      </c>
      <c r="F1932" s="3">
        <v>1.8E-3</v>
      </c>
      <c r="I1932" s="3">
        <v>0.80469999999999997</v>
      </c>
      <c r="K1932" s="3">
        <v>0.19359999999999999</v>
      </c>
    </row>
    <row r="1933" spans="1:11">
      <c r="A1933" t="s">
        <v>199</v>
      </c>
      <c r="B1933" t="s">
        <v>215</v>
      </c>
      <c r="C1933">
        <v>173</v>
      </c>
      <c r="D1933" t="s">
        <v>194</v>
      </c>
      <c r="E1933">
        <v>2677</v>
      </c>
      <c r="F1933" s="3">
        <v>4.1399999999999999E-2</v>
      </c>
      <c r="G1933" s="3">
        <v>1.29E-2</v>
      </c>
      <c r="I1933" s="3">
        <v>0.81020000000000003</v>
      </c>
      <c r="K1933" s="3">
        <v>0.13550000000000001</v>
      </c>
    </row>
    <row r="1934" spans="1:11">
      <c r="A1934" t="s">
        <v>200</v>
      </c>
      <c r="B1934" t="s">
        <v>200</v>
      </c>
      <c r="C1934">
        <v>2677</v>
      </c>
      <c r="D1934" t="s">
        <v>200</v>
      </c>
      <c r="E1934">
        <v>2677</v>
      </c>
      <c r="F1934" s="3">
        <v>3.2199999999999999E-2</v>
      </c>
      <c r="G1934" s="3">
        <v>2.3E-3</v>
      </c>
      <c r="H1934" s="3">
        <v>1.9E-3</v>
      </c>
      <c r="I1934" s="3">
        <v>0.79339999999999999</v>
      </c>
      <c r="J1934" s="3">
        <v>1E-4</v>
      </c>
      <c r="K1934" s="3">
        <v>0.1701</v>
      </c>
    </row>
    <row r="1936" spans="1:11" ht="45">
      <c r="A1936" s="22" t="s">
        <v>532</v>
      </c>
    </row>
    <row r="1937" spans="1:11">
      <c r="A1937" t="s">
        <v>185</v>
      </c>
      <c r="B1937" t="s">
        <v>186</v>
      </c>
      <c r="C1937" t="s">
        <v>192</v>
      </c>
      <c r="D1937" t="s">
        <v>184</v>
      </c>
      <c r="E1937" t="s">
        <v>193</v>
      </c>
      <c r="F1937" t="s">
        <v>506</v>
      </c>
      <c r="G1937" t="s">
        <v>507</v>
      </c>
      <c r="H1937" t="s">
        <v>257</v>
      </c>
      <c r="I1937" t="s">
        <v>508</v>
      </c>
      <c r="J1937" t="s">
        <v>247</v>
      </c>
      <c r="K1937" t="s">
        <v>509</v>
      </c>
    </row>
    <row r="1938" spans="1:11">
      <c r="A1938" t="s">
        <v>195</v>
      </c>
      <c r="B1938" t="s">
        <v>217</v>
      </c>
      <c r="C1938">
        <v>499</v>
      </c>
      <c r="D1938" t="s">
        <v>194</v>
      </c>
      <c r="E1938">
        <v>2677</v>
      </c>
      <c r="F1938" s="3">
        <v>3.5999999999999997E-2</v>
      </c>
      <c r="G1938" s="3">
        <v>5.7999999999999996E-3</v>
      </c>
      <c r="H1938" s="3">
        <v>4.4999999999999997E-3</v>
      </c>
      <c r="I1938" s="3">
        <v>0.72940000000000005</v>
      </c>
      <c r="K1938" s="3">
        <v>0.2243</v>
      </c>
    </row>
    <row r="1939" spans="1:11">
      <c r="A1939" t="s">
        <v>195</v>
      </c>
      <c r="B1939" t="s">
        <v>219</v>
      </c>
      <c r="C1939">
        <v>507</v>
      </c>
      <c r="D1939" t="s">
        <v>194</v>
      </c>
      <c r="E1939">
        <v>2677</v>
      </c>
      <c r="F1939" s="3">
        <v>8.1900000000000001E-2</v>
      </c>
      <c r="G1939" s="3">
        <v>1.4E-3</v>
      </c>
      <c r="H1939" s="3">
        <v>2.0000000000000001E-4</v>
      </c>
      <c r="I1939" s="3">
        <v>0.69840000000000002</v>
      </c>
      <c r="K1939" s="3">
        <v>0.218</v>
      </c>
    </row>
    <row r="1940" spans="1:11">
      <c r="A1940" t="s">
        <v>195</v>
      </c>
      <c r="B1940" t="s">
        <v>220</v>
      </c>
      <c r="C1940">
        <v>182</v>
      </c>
      <c r="D1940" t="s">
        <v>194</v>
      </c>
      <c r="E1940">
        <v>2677</v>
      </c>
      <c r="F1940" s="3">
        <v>2.5000000000000001E-2</v>
      </c>
      <c r="G1940" s="3">
        <v>8.0000000000000004E-4</v>
      </c>
      <c r="H1940" s="3">
        <v>1.9E-3</v>
      </c>
      <c r="I1940" s="3">
        <v>0.79530000000000001</v>
      </c>
      <c r="K1940" s="3">
        <v>0.17699999999999999</v>
      </c>
    </row>
    <row r="1941" spans="1:11">
      <c r="A1941" t="s">
        <v>199</v>
      </c>
      <c r="B1941" t="s">
        <v>217</v>
      </c>
      <c r="C1941">
        <v>814</v>
      </c>
      <c r="D1941" t="s">
        <v>194</v>
      </c>
      <c r="E1941">
        <v>2677</v>
      </c>
      <c r="F1941" s="3">
        <v>1.9900000000000001E-2</v>
      </c>
      <c r="G1941" s="3">
        <v>2.2000000000000001E-3</v>
      </c>
      <c r="H1941" s="3">
        <v>2.2000000000000001E-3</v>
      </c>
      <c r="I1941" s="3">
        <v>0.8579</v>
      </c>
      <c r="J1941" s="3">
        <v>2.0000000000000001E-4</v>
      </c>
      <c r="K1941" s="3">
        <v>0.1176</v>
      </c>
    </row>
    <row r="1942" spans="1:11">
      <c r="A1942" t="s">
        <v>199</v>
      </c>
      <c r="B1942" t="s">
        <v>219</v>
      </c>
      <c r="C1942">
        <v>451</v>
      </c>
      <c r="D1942" t="s">
        <v>194</v>
      </c>
      <c r="E1942">
        <v>2677</v>
      </c>
      <c r="F1942" s="3">
        <v>1.84E-2</v>
      </c>
      <c r="G1942" s="3">
        <v>1.5E-3</v>
      </c>
      <c r="H1942" s="3">
        <v>5.0000000000000001E-4</v>
      </c>
      <c r="I1942" s="3">
        <v>0.76749999999999996</v>
      </c>
      <c r="K1942" s="3">
        <v>0.21210000000000001</v>
      </c>
    </row>
    <row r="1943" spans="1:11">
      <c r="A1943" t="s">
        <v>199</v>
      </c>
      <c r="B1943" t="s">
        <v>220</v>
      </c>
      <c r="C1943">
        <v>223</v>
      </c>
      <c r="D1943" t="s">
        <v>194</v>
      </c>
      <c r="E1943">
        <v>2677</v>
      </c>
      <c r="F1943" s="3">
        <v>1E-4</v>
      </c>
      <c r="H1943" s="3">
        <v>1E-3</v>
      </c>
      <c r="I1943" s="3">
        <v>0.9133</v>
      </c>
      <c r="K1943" s="3">
        <v>8.5599999999999996E-2</v>
      </c>
    </row>
    <row r="1944" spans="1:11">
      <c r="A1944" t="s">
        <v>200</v>
      </c>
      <c r="B1944" t="s">
        <v>200</v>
      </c>
      <c r="C1944">
        <v>2677</v>
      </c>
      <c r="D1944" t="s">
        <v>200</v>
      </c>
      <c r="E1944">
        <v>2677</v>
      </c>
      <c r="F1944" s="3">
        <v>3.2199999999999999E-2</v>
      </c>
      <c r="G1944" s="3">
        <v>2.3E-3</v>
      </c>
      <c r="H1944" s="3">
        <v>1.9E-3</v>
      </c>
      <c r="I1944" s="3">
        <v>0.79339999999999999</v>
      </c>
      <c r="J1944" s="3">
        <v>1E-4</v>
      </c>
      <c r="K1944" s="3">
        <v>0.1701</v>
      </c>
    </row>
    <row r="1946" spans="1:11" ht="45">
      <c r="A1946" s="22" t="s">
        <v>533</v>
      </c>
    </row>
    <row r="1947" spans="1:11">
      <c r="A1947" t="s">
        <v>185</v>
      </c>
      <c r="B1947" t="s">
        <v>186</v>
      </c>
      <c r="C1947" t="s">
        <v>192</v>
      </c>
      <c r="D1947" t="s">
        <v>184</v>
      </c>
      <c r="E1947" t="s">
        <v>193</v>
      </c>
      <c r="F1947" t="s">
        <v>506</v>
      </c>
      <c r="G1947" t="s">
        <v>507</v>
      </c>
      <c r="H1947" t="s">
        <v>257</v>
      </c>
      <c r="I1947" t="s">
        <v>508</v>
      </c>
      <c r="J1947" t="s">
        <v>247</v>
      </c>
      <c r="K1947" t="s">
        <v>509</v>
      </c>
    </row>
    <row r="1948" spans="1:11">
      <c r="A1948" t="s">
        <v>195</v>
      </c>
      <c r="B1948" t="s">
        <v>196</v>
      </c>
      <c r="C1948">
        <v>413</v>
      </c>
      <c r="D1948" t="s">
        <v>194</v>
      </c>
      <c r="E1948">
        <v>2677</v>
      </c>
      <c r="F1948" s="3">
        <v>3.4700000000000002E-2</v>
      </c>
      <c r="G1948" s="3">
        <v>2.1100000000000001E-2</v>
      </c>
      <c r="I1948" s="3">
        <v>0.86380000000000001</v>
      </c>
      <c r="K1948" s="3">
        <v>8.0399999999999999E-2</v>
      </c>
    </row>
    <row r="1949" spans="1:11">
      <c r="A1949" t="s">
        <v>195</v>
      </c>
      <c r="B1949" t="s">
        <v>198</v>
      </c>
      <c r="C1949">
        <v>755</v>
      </c>
      <c r="D1949" t="s">
        <v>194</v>
      </c>
      <c r="E1949">
        <v>2677</v>
      </c>
      <c r="F1949" s="3">
        <v>3.6200000000000003E-2</v>
      </c>
      <c r="G1949" s="3">
        <v>1.34E-2</v>
      </c>
      <c r="H1949" s="3">
        <v>2.9999999999999997E-4</v>
      </c>
      <c r="I1949" s="3">
        <v>0.88060000000000005</v>
      </c>
      <c r="J1949" s="3">
        <v>1.6999999999999999E-3</v>
      </c>
      <c r="K1949" s="3">
        <v>6.7699999999999996E-2</v>
      </c>
    </row>
    <row r="1950" spans="1:11">
      <c r="A1950" t="s">
        <v>199</v>
      </c>
      <c r="B1950" t="s">
        <v>196</v>
      </c>
      <c r="C1950">
        <v>525</v>
      </c>
      <c r="D1950" t="s">
        <v>194</v>
      </c>
      <c r="E1950">
        <v>2677</v>
      </c>
      <c r="F1950" s="3">
        <v>1.7100000000000001E-2</v>
      </c>
      <c r="G1950" s="3">
        <v>7.0000000000000001E-3</v>
      </c>
      <c r="I1950" s="3">
        <v>0.94620000000000004</v>
      </c>
      <c r="K1950" s="3">
        <v>2.9700000000000001E-2</v>
      </c>
    </row>
    <row r="1951" spans="1:11">
      <c r="A1951" t="s">
        <v>199</v>
      </c>
      <c r="B1951" t="s">
        <v>198</v>
      </c>
      <c r="C1951">
        <v>945</v>
      </c>
      <c r="D1951" t="s">
        <v>194</v>
      </c>
      <c r="E1951">
        <v>2677</v>
      </c>
      <c r="F1951" s="3">
        <v>1.0999999999999999E-2</v>
      </c>
      <c r="G1951" s="3">
        <v>1.8E-3</v>
      </c>
      <c r="I1951" s="3">
        <v>0.94569999999999999</v>
      </c>
      <c r="K1951" s="3">
        <v>4.1500000000000002E-2</v>
      </c>
    </row>
    <row r="1952" spans="1:11">
      <c r="A1952" t="s">
        <v>200</v>
      </c>
      <c r="B1952" t="s">
        <v>200</v>
      </c>
      <c r="C1952">
        <v>2677</v>
      </c>
      <c r="D1952" t="s">
        <v>200</v>
      </c>
      <c r="E1952">
        <v>2677</v>
      </c>
      <c r="F1952" s="3">
        <v>2.2700000000000001E-2</v>
      </c>
      <c r="G1952" s="3">
        <v>8.3999999999999995E-3</v>
      </c>
      <c r="H1952" s="3">
        <v>1E-4</v>
      </c>
      <c r="I1952" s="3">
        <v>0.91479999999999995</v>
      </c>
      <c r="J1952" s="3">
        <v>5.9999999999999995E-4</v>
      </c>
      <c r="K1952" s="3">
        <v>5.3499999999999999E-2</v>
      </c>
    </row>
    <row r="1954" spans="1:11" ht="45">
      <c r="A1954" s="22" t="s">
        <v>534</v>
      </c>
    </row>
    <row r="1955" spans="1:11">
      <c r="A1955" t="s">
        <v>185</v>
      </c>
      <c r="B1955" t="s">
        <v>186</v>
      </c>
      <c r="C1955" t="s">
        <v>192</v>
      </c>
      <c r="D1955" t="s">
        <v>184</v>
      </c>
      <c r="E1955" t="s">
        <v>193</v>
      </c>
      <c r="F1955" t="s">
        <v>506</v>
      </c>
      <c r="G1955" t="s">
        <v>507</v>
      </c>
      <c r="H1955" t="s">
        <v>257</v>
      </c>
      <c r="I1955" t="s">
        <v>508</v>
      </c>
      <c r="J1955" t="s">
        <v>247</v>
      </c>
      <c r="K1955" t="s">
        <v>509</v>
      </c>
    </row>
    <row r="1956" spans="1:11">
      <c r="A1956" t="s">
        <v>195</v>
      </c>
      <c r="B1956" t="s">
        <v>202</v>
      </c>
      <c r="C1956">
        <v>533</v>
      </c>
      <c r="D1956" t="s">
        <v>194</v>
      </c>
      <c r="E1956">
        <v>2677</v>
      </c>
      <c r="F1956" s="3">
        <v>3.4299999999999997E-2</v>
      </c>
      <c r="G1956" s="3">
        <v>1.7399999999999999E-2</v>
      </c>
      <c r="I1956" s="3">
        <v>0.86809999999999998</v>
      </c>
      <c r="J1956" s="3">
        <v>1.9E-3</v>
      </c>
      <c r="K1956" s="3">
        <v>7.8200000000000006E-2</v>
      </c>
    </row>
    <row r="1957" spans="1:11">
      <c r="A1957" t="s">
        <v>195</v>
      </c>
      <c r="B1957" t="s">
        <v>204</v>
      </c>
      <c r="C1957">
        <v>301</v>
      </c>
      <c r="D1957" t="s">
        <v>194</v>
      </c>
      <c r="E1957">
        <v>2677</v>
      </c>
      <c r="F1957" s="3">
        <v>1.34E-2</v>
      </c>
      <c r="G1957" s="3">
        <v>1.34E-2</v>
      </c>
      <c r="H1957" s="3">
        <v>1.1000000000000001E-3</v>
      </c>
      <c r="I1957" s="3">
        <v>0.90600000000000003</v>
      </c>
      <c r="K1957" s="3">
        <v>6.6100000000000006E-2</v>
      </c>
    </row>
    <row r="1958" spans="1:11">
      <c r="A1958" t="s">
        <v>195</v>
      </c>
      <c r="B1958" t="s">
        <v>205</v>
      </c>
      <c r="C1958">
        <v>334</v>
      </c>
      <c r="D1958" t="s">
        <v>194</v>
      </c>
      <c r="E1958">
        <v>2677</v>
      </c>
      <c r="F1958" s="3">
        <v>7.85E-2</v>
      </c>
      <c r="G1958" s="3">
        <v>9.4000000000000004E-3</v>
      </c>
      <c r="I1958" s="3">
        <v>0.86709999999999998</v>
      </c>
      <c r="K1958" s="3">
        <v>4.4999999999999998E-2</v>
      </c>
    </row>
    <row r="1959" spans="1:11">
      <c r="A1959" t="s">
        <v>199</v>
      </c>
      <c r="B1959" t="s">
        <v>202</v>
      </c>
      <c r="C1959">
        <v>538</v>
      </c>
      <c r="D1959" t="s">
        <v>194</v>
      </c>
      <c r="E1959">
        <v>2677</v>
      </c>
      <c r="F1959" s="3">
        <v>1.6E-2</v>
      </c>
      <c r="G1959" s="3">
        <v>2.0999999999999999E-3</v>
      </c>
      <c r="I1959" s="3">
        <v>0.95150000000000001</v>
      </c>
      <c r="K1959" s="3">
        <v>3.04E-2</v>
      </c>
    </row>
    <row r="1960" spans="1:11">
      <c r="A1960" t="s">
        <v>199</v>
      </c>
      <c r="B1960" t="s">
        <v>204</v>
      </c>
      <c r="C1960">
        <v>426</v>
      </c>
      <c r="D1960" t="s">
        <v>194</v>
      </c>
      <c r="E1960">
        <v>2677</v>
      </c>
      <c r="F1960" s="3">
        <v>5.1000000000000004E-3</v>
      </c>
      <c r="G1960" s="3">
        <v>2.7000000000000001E-3</v>
      </c>
      <c r="I1960" s="3">
        <v>0.95409999999999995</v>
      </c>
      <c r="K1960" s="3">
        <v>3.8100000000000002E-2</v>
      </c>
    </row>
    <row r="1961" spans="1:11">
      <c r="A1961" t="s">
        <v>199</v>
      </c>
      <c r="B1961" t="s">
        <v>205</v>
      </c>
      <c r="C1961">
        <v>506</v>
      </c>
      <c r="D1961" t="s">
        <v>194</v>
      </c>
      <c r="E1961">
        <v>2677</v>
      </c>
      <c r="F1961" s="3">
        <v>5.5999999999999999E-3</v>
      </c>
      <c r="G1961" s="3">
        <v>5.3E-3</v>
      </c>
      <c r="I1961" s="3">
        <v>0.91469999999999996</v>
      </c>
      <c r="K1961" s="3">
        <v>7.4399999999999994E-2</v>
      </c>
    </row>
    <row r="1962" spans="1:11">
      <c r="A1962" t="s">
        <v>200</v>
      </c>
      <c r="B1962" t="s">
        <v>200</v>
      </c>
      <c r="C1962">
        <v>2677</v>
      </c>
      <c r="D1962" t="s">
        <v>200</v>
      </c>
      <c r="E1962">
        <v>2677</v>
      </c>
      <c r="F1962" s="3">
        <v>2.2700000000000001E-2</v>
      </c>
      <c r="G1962" s="3">
        <v>8.3999999999999995E-3</v>
      </c>
      <c r="H1962" s="3">
        <v>1E-4</v>
      </c>
      <c r="I1962" s="3">
        <v>0.91479999999999995</v>
      </c>
      <c r="J1962" s="3">
        <v>5.9999999999999995E-4</v>
      </c>
      <c r="K1962" s="3">
        <v>5.3499999999999999E-2</v>
      </c>
    </row>
    <row r="1964" spans="1:11" ht="45">
      <c r="A1964" s="22" t="s">
        <v>535</v>
      </c>
    </row>
    <row r="1965" spans="1:11">
      <c r="A1965" t="s">
        <v>185</v>
      </c>
      <c r="B1965" t="s">
        <v>186</v>
      </c>
      <c r="C1965" t="s">
        <v>192</v>
      </c>
      <c r="D1965" t="s">
        <v>184</v>
      </c>
      <c r="E1965" t="s">
        <v>193</v>
      </c>
      <c r="F1965" t="s">
        <v>506</v>
      </c>
      <c r="G1965" t="s">
        <v>507</v>
      </c>
      <c r="H1965" t="s">
        <v>257</v>
      </c>
      <c r="I1965" t="s">
        <v>508</v>
      </c>
      <c r="J1965" t="s">
        <v>247</v>
      </c>
      <c r="K1965" t="s">
        <v>509</v>
      </c>
    </row>
    <row r="1966" spans="1:11">
      <c r="A1966" t="s">
        <v>195</v>
      </c>
      <c r="B1966" t="s">
        <v>207</v>
      </c>
      <c r="C1966">
        <v>322</v>
      </c>
      <c r="D1966" t="s">
        <v>194</v>
      </c>
      <c r="E1966">
        <v>2677</v>
      </c>
      <c r="F1966" s="3">
        <v>0.1391</v>
      </c>
      <c r="G1966" s="3">
        <v>5.9900000000000002E-2</v>
      </c>
      <c r="I1966" s="3">
        <v>0.62660000000000005</v>
      </c>
      <c r="K1966" s="3">
        <v>0.17430000000000001</v>
      </c>
    </row>
    <row r="1967" spans="1:11">
      <c r="A1967" t="s">
        <v>195</v>
      </c>
      <c r="B1967" t="s">
        <v>209</v>
      </c>
      <c r="C1967">
        <v>867</v>
      </c>
      <c r="D1967" t="s">
        <v>194</v>
      </c>
      <c r="E1967">
        <v>2677</v>
      </c>
      <c r="H1967" s="3">
        <v>2.9999999999999997E-4</v>
      </c>
      <c r="I1967" s="3">
        <v>0.96230000000000004</v>
      </c>
      <c r="J1967" s="3">
        <v>1.6999999999999999E-3</v>
      </c>
      <c r="K1967" s="3">
        <v>3.5700000000000003E-2</v>
      </c>
    </row>
    <row r="1968" spans="1:11">
      <c r="A1968" t="s">
        <v>199</v>
      </c>
      <c r="B1968" t="s">
        <v>207</v>
      </c>
      <c r="C1968">
        <v>283</v>
      </c>
      <c r="D1968" t="s">
        <v>194</v>
      </c>
      <c r="E1968">
        <v>2677</v>
      </c>
      <c r="F1968" s="3">
        <v>0.1003</v>
      </c>
      <c r="G1968" s="3">
        <v>2.2700000000000001E-2</v>
      </c>
      <c r="I1968" s="3">
        <v>0.7137</v>
      </c>
      <c r="K1968" s="3">
        <v>0.1633</v>
      </c>
    </row>
    <row r="1969" spans="1:11">
      <c r="A1969" t="s">
        <v>199</v>
      </c>
      <c r="B1969" t="s">
        <v>209</v>
      </c>
      <c r="C1969">
        <v>1205</v>
      </c>
      <c r="D1969" t="s">
        <v>194</v>
      </c>
      <c r="E1969">
        <v>2677</v>
      </c>
      <c r="I1969" s="3">
        <v>0.97789999999999999</v>
      </c>
      <c r="K1969" s="3">
        <v>2.2100000000000002E-2</v>
      </c>
    </row>
    <row r="1970" spans="1:11">
      <c r="A1970" t="s">
        <v>200</v>
      </c>
      <c r="B1970" t="s">
        <v>200</v>
      </c>
      <c r="C1970">
        <v>2677</v>
      </c>
      <c r="D1970" t="s">
        <v>200</v>
      </c>
      <c r="E1970">
        <v>2677</v>
      </c>
      <c r="F1970" s="3">
        <v>2.2700000000000001E-2</v>
      </c>
      <c r="G1970" s="3">
        <v>8.3999999999999995E-3</v>
      </c>
      <c r="H1970" s="3">
        <v>1E-4</v>
      </c>
      <c r="I1970" s="3">
        <v>0.91479999999999995</v>
      </c>
      <c r="J1970" s="3">
        <v>5.9999999999999995E-4</v>
      </c>
      <c r="K1970" s="3">
        <v>5.3499999999999999E-2</v>
      </c>
    </row>
    <row r="1972" spans="1:11" ht="45">
      <c r="A1972" s="22" t="s">
        <v>536</v>
      </c>
    </row>
    <row r="1973" spans="1:11">
      <c r="A1973" t="s">
        <v>185</v>
      </c>
      <c r="B1973" t="s">
        <v>192</v>
      </c>
      <c r="C1973" t="s">
        <v>184</v>
      </c>
      <c r="D1973" t="s">
        <v>193</v>
      </c>
      <c r="E1973" t="s">
        <v>506</v>
      </c>
      <c r="F1973" t="s">
        <v>507</v>
      </c>
      <c r="G1973" t="s">
        <v>257</v>
      </c>
      <c r="H1973" t="s">
        <v>508</v>
      </c>
      <c r="I1973" t="s">
        <v>247</v>
      </c>
      <c r="J1973" t="s">
        <v>509</v>
      </c>
    </row>
    <row r="1974" spans="1:11">
      <c r="A1974" t="s">
        <v>195</v>
      </c>
      <c r="B1974">
        <v>1189</v>
      </c>
      <c r="C1974" t="s">
        <v>194</v>
      </c>
      <c r="D1974">
        <v>2677</v>
      </c>
      <c r="E1974" s="3">
        <v>3.5799999999999998E-2</v>
      </c>
      <c r="F1974" s="3">
        <v>1.54E-2</v>
      </c>
      <c r="G1974" s="3">
        <v>2.0000000000000001E-4</v>
      </c>
      <c r="H1974" s="3">
        <v>0.876</v>
      </c>
      <c r="I1974" s="3">
        <v>1.2999999999999999E-3</v>
      </c>
      <c r="J1974" s="3">
        <v>7.1400000000000005E-2</v>
      </c>
    </row>
    <row r="1975" spans="1:11">
      <c r="A1975" t="s">
        <v>199</v>
      </c>
      <c r="B1975">
        <v>1488</v>
      </c>
      <c r="C1975" t="s">
        <v>194</v>
      </c>
      <c r="D1975">
        <v>2677</v>
      </c>
      <c r="E1975" s="3">
        <v>1.2200000000000001E-2</v>
      </c>
      <c r="F1975" s="3">
        <v>2.8E-3</v>
      </c>
      <c r="H1975" s="3">
        <v>0.94579999999999997</v>
      </c>
      <c r="J1975" s="3">
        <v>3.9300000000000002E-2</v>
      </c>
    </row>
    <row r="1976" spans="1:11">
      <c r="A1976" t="s">
        <v>200</v>
      </c>
      <c r="B1976">
        <v>2677</v>
      </c>
      <c r="C1976" t="s">
        <v>200</v>
      </c>
      <c r="D1976">
        <v>2677</v>
      </c>
      <c r="E1976" s="3">
        <v>2.2700000000000001E-2</v>
      </c>
      <c r="F1976" s="3">
        <v>8.3999999999999995E-3</v>
      </c>
      <c r="G1976" s="3">
        <v>1E-4</v>
      </c>
      <c r="H1976" s="3">
        <v>0.91479999999999995</v>
      </c>
      <c r="I1976" s="3">
        <v>5.9999999999999995E-4</v>
      </c>
      <c r="J1976" s="3">
        <v>5.3499999999999999E-2</v>
      </c>
    </row>
    <row r="1978" spans="1:11" ht="45">
      <c r="A1978" s="22" t="s">
        <v>537</v>
      </c>
    </row>
    <row r="1979" spans="1:11">
      <c r="A1979" t="s">
        <v>185</v>
      </c>
      <c r="B1979" t="s">
        <v>186</v>
      </c>
      <c r="C1979" t="s">
        <v>192</v>
      </c>
      <c r="D1979" t="s">
        <v>184</v>
      </c>
      <c r="E1979" t="s">
        <v>193</v>
      </c>
      <c r="F1979" t="s">
        <v>506</v>
      </c>
      <c r="G1979" t="s">
        <v>507</v>
      </c>
      <c r="H1979" t="s">
        <v>257</v>
      </c>
      <c r="I1979" t="s">
        <v>508</v>
      </c>
      <c r="J1979" t="s">
        <v>247</v>
      </c>
      <c r="K1979" t="s">
        <v>509</v>
      </c>
    </row>
    <row r="1980" spans="1:11">
      <c r="A1980" t="s">
        <v>195</v>
      </c>
      <c r="B1980" t="s">
        <v>212</v>
      </c>
      <c r="C1980">
        <v>873</v>
      </c>
      <c r="D1980" t="s">
        <v>194</v>
      </c>
      <c r="E1980">
        <v>2677</v>
      </c>
      <c r="F1980" s="3">
        <v>3.8800000000000001E-2</v>
      </c>
      <c r="G1980" s="3">
        <v>1.0699999999999999E-2</v>
      </c>
      <c r="H1980" s="3">
        <v>2.9999999999999997E-4</v>
      </c>
      <c r="I1980" s="3">
        <v>0.88439999999999996</v>
      </c>
      <c r="J1980" s="3">
        <v>1.6999999999999999E-3</v>
      </c>
      <c r="K1980" s="3">
        <v>6.4000000000000001E-2</v>
      </c>
    </row>
    <row r="1981" spans="1:11">
      <c r="A1981" t="s">
        <v>195</v>
      </c>
      <c r="B1981" t="s">
        <v>214</v>
      </c>
      <c r="C1981">
        <v>181</v>
      </c>
      <c r="D1981" t="s">
        <v>194</v>
      </c>
      <c r="E1981">
        <v>2677</v>
      </c>
      <c r="F1981" s="3">
        <v>1.77E-2</v>
      </c>
      <c r="I1981" s="3">
        <v>0.88519999999999999</v>
      </c>
      <c r="K1981" s="3">
        <v>9.7000000000000003E-2</v>
      </c>
    </row>
    <row r="1982" spans="1:11">
      <c r="A1982" t="s">
        <v>195</v>
      </c>
      <c r="B1982" t="s">
        <v>215</v>
      </c>
      <c r="C1982">
        <v>135</v>
      </c>
      <c r="D1982" t="s">
        <v>194</v>
      </c>
      <c r="E1982">
        <v>2677</v>
      </c>
      <c r="F1982" s="3">
        <v>4.41E-2</v>
      </c>
      <c r="G1982" s="3">
        <v>8.77E-2</v>
      </c>
      <c r="I1982" s="3">
        <v>0.78190000000000004</v>
      </c>
      <c r="K1982" s="3">
        <v>8.6300000000000002E-2</v>
      </c>
    </row>
    <row r="1983" spans="1:11">
      <c r="A1983" t="s">
        <v>199</v>
      </c>
      <c r="B1983" t="s">
        <v>212</v>
      </c>
      <c r="C1983">
        <v>1118</v>
      </c>
      <c r="D1983" t="s">
        <v>194</v>
      </c>
      <c r="E1983">
        <v>2677</v>
      </c>
      <c r="F1983" s="3">
        <v>1.3899999999999999E-2</v>
      </c>
      <c r="G1983" s="3">
        <v>3.2000000000000002E-3</v>
      </c>
      <c r="I1983" s="3">
        <v>0.94830000000000003</v>
      </c>
      <c r="K1983" s="3">
        <v>3.4700000000000002E-2</v>
      </c>
    </row>
    <row r="1984" spans="1:11">
      <c r="A1984" t="s">
        <v>199</v>
      </c>
      <c r="B1984" t="s">
        <v>214</v>
      </c>
      <c r="C1984">
        <v>197</v>
      </c>
      <c r="D1984" t="s">
        <v>194</v>
      </c>
      <c r="E1984">
        <v>2677</v>
      </c>
      <c r="F1984" s="3">
        <v>8.9999999999999998E-4</v>
      </c>
      <c r="I1984" s="3">
        <v>0.9466</v>
      </c>
      <c r="K1984" s="3">
        <v>5.2499999999999998E-2</v>
      </c>
    </row>
    <row r="1985" spans="1:11">
      <c r="A1985" t="s">
        <v>199</v>
      </c>
      <c r="B1985" t="s">
        <v>215</v>
      </c>
      <c r="C1985">
        <v>173</v>
      </c>
      <c r="D1985" t="s">
        <v>194</v>
      </c>
      <c r="E1985">
        <v>2677</v>
      </c>
      <c r="F1985" s="3">
        <v>1.7500000000000002E-2</v>
      </c>
      <c r="G1985" s="3">
        <v>4.0000000000000001E-3</v>
      </c>
      <c r="I1985" s="3">
        <v>0.92149999999999999</v>
      </c>
      <c r="K1985" s="3">
        <v>5.7000000000000002E-2</v>
      </c>
    </row>
    <row r="1986" spans="1:11">
      <c r="A1986" t="s">
        <v>200</v>
      </c>
      <c r="B1986" t="s">
        <v>200</v>
      </c>
      <c r="C1986">
        <v>2677</v>
      </c>
      <c r="D1986" t="s">
        <v>200</v>
      </c>
      <c r="E1986">
        <v>2677</v>
      </c>
      <c r="F1986" s="3">
        <v>2.2700000000000001E-2</v>
      </c>
      <c r="G1986" s="3">
        <v>8.3999999999999995E-3</v>
      </c>
      <c r="H1986" s="3">
        <v>1E-4</v>
      </c>
      <c r="I1986" s="3">
        <v>0.91479999999999995</v>
      </c>
      <c r="J1986" s="3">
        <v>5.9999999999999995E-4</v>
      </c>
      <c r="K1986" s="3">
        <v>5.3499999999999999E-2</v>
      </c>
    </row>
    <row r="1988" spans="1:11" ht="45">
      <c r="A1988" s="22" t="s">
        <v>538</v>
      </c>
    </row>
    <row r="1989" spans="1:11">
      <c r="A1989" t="s">
        <v>185</v>
      </c>
      <c r="B1989" t="s">
        <v>186</v>
      </c>
      <c r="C1989" t="s">
        <v>192</v>
      </c>
      <c r="D1989" t="s">
        <v>184</v>
      </c>
      <c r="E1989" t="s">
        <v>193</v>
      </c>
      <c r="F1989" t="s">
        <v>506</v>
      </c>
      <c r="G1989" t="s">
        <v>507</v>
      </c>
      <c r="H1989" t="s">
        <v>257</v>
      </c>
      <c r="I1989" t="s">
        <v>508</v>
      </c>
      <c r="J1989" t="s">
        <v>247</v>
      </c>
      <c r="K1989" t="s">
        <v>509</v>
      </c>
    </row>
    <row r="1990" spans="1:11">
      <c r="A1990" t="s">
        <v>195</v>
      </c>
      <c r="B1990" t="s">
        <v>217</v>
      </c>
      <c r="C1990">
        <v>499</v>
      </c>
      <c r="D1990" t="s">
        <v>194</v>
      </c>
      <c r="E1990">
        <v>2677</v>
      </c>
      <c r="F1990" s="3">
        <v>3.2899999999999999E-2</v>
      </c>
      <c r="G1990" s="3">
        <v>1.38E-2</v>
      </c>
      <c r="H1990" s="3">
        <v>5.9999999999999995E-4</v>
      </c>
      <c r="I1990" s="3">
        <v>0.88729999999999998</v>
      </c>
      <c r="J1990" s="3">
        <v>3.0000000000000001E-3</v>
      </c>
      <c r="K1990" s="3">
        <v>6.2399999999999997E-2</v>
      </c>
    </row>
    <row r="1991" spans="1:11">
      <c r="A1991" t="s">
        <v>195</v>
      </c>
      <c r="B1991" t="s">
        <v>219</v>
      </c>
      <c r="C1991">
        <v>507</v>
      </c>
      <c r="D1991" t="s">
        <v>194</v>
      </c>
      <c r="E1991">
        <v>2677</v>
      </c>
      <c r="F1991" s="3">
        <v>5.1799999999999999E-2</v>
      </c>
      <c r="G1991" s="3">
        <v>1.7299999999999999E-2</v>
      </c>
      <c r="I1991" s="3">
        <v>0.86099999999999999</v>
      </c>
      <c r="K1991" s="3">
        <v>6.9800000000000001E-2</v>
      </c>
    </row>
    <row r="1992" spans="1:11">
      <c r="A1992" t="s">
        <v>195</v>
      </c>
      <c r="B1992" t="s">
        <v>220</v>
      </c>
      <c r="C1992">
        <v>182</v>
      </c>
      <c r="D1992" t="s">
        <v>194</v>
      </c>
      <c r="E1992">
        <v>2677</v>
      </c>
      <c r="F1992" s="3">
        <v>8.8000000000000005E-3</v>
      </c>
      <c r="G1992" s="3">
        <v>1.49E-2</v>
      </c>
      <c r="I1992" s="3">
        <v>0.88170000000000004</v>
      </c>
      <c r="K1992" s="3">
        <v>9.4600000000000004E-2</v>
      </c>
    </row>
    <row r="1993" spans="1:11">
      <c r="A1993" t="s">
        <v>199</v>
      </c>
      <c r="B1993" t="s">
        <v>217</v>
      </c>
      <c r="C1993">
        <v>814</v>
      </c>
      <c r="D1993" t="s">
        <v>194</v>
      </c>
      <c r="E1993">
        <v>2677</v>
      </c>
      <c r="F1993" s="3">
        <v>1.66E-2</v>
      </c>
      <c r="G1993" s="3">
        <v>2.3999999999999998E-3</v>
      </c>
      <c r="I1993" s="3">
        <v>0.95099999999999996</v>
      </c>
      <c r="K1993" s="3">
        <v>3.0099999999999998E-2</v>
      </c>
    </row>
    <row r="1994" spans="1:11">
      <c r="A1994" t="s">
        <v>199</v>
      </c>
      <c r="B1994" t="s">
        <v>219</v>
      </c>
      <c r="C1994">
        <v>451</v>
      </c>
      <c r="D1994" t="s">
        <v>194</v>
      </c>
      <c r="E1994">
        <v>2677</v>
      </c>
      <c r="F1994" s="3">
        <v>8.3999999999999995E-3</v>
      </c>
      <c r="G1994" s="3">
        <v>4.7999999999999996E-3</v>
      </c>
      <c r="I1994" s="3">
        <v>0.91559999999999997</v>
      </c>
      <c r="K1994" s="3">
        <v>7.1199999999999999E-2</v>
      </c>
    </row>
    <row r="1995" spans="1:11">
      <c r="A1995" t="s">
        <v>199</v>
      </c>
      <c r="B1995" t="s">
        <v>220</v>
      </c>
      <c r="C1995">
        <v>223</v>
      </c>
      <c r="D1995" t="s">
        <v>194</v>
      </c>
      <c r="E1995">
        <v>2677</v>
      </c>
      <c r="F1995" s="3">
        <v>1.6000000000000001E-3</v>
      </c>
      <c r="G1995" s="3">
        <v>1E-3</v>
      </c>
      <c r="I1995" s="3">
        <v>0.97340000000000004</v>
      </c>
      <c r="K1995" s="3">
        <v>2.41E-2</v>
      </c>
    </row>
    <row r="1996" spans="1:11">
      <c r="A1996" t="s">
        <v>200</v>
      </c>
      <c r="B1996" t="s">
        <v>200</v>
      </c>
      <c r="C1996">
        <v>2677</v>
      </c>
      <c r="D1996" t="s">
        <v>200</v>
      </c>
      <c r="E1996">
        <v>2677</v>
      </c>
      <c r="F1996" s="3">
        <v>2.2700000000000001E-2</v>
      </c>
      <c r="G1996" s="3">
        <v>8.3999999999999995E-3</v>
      </c>
      <c r="H1996" s="3">
        <v>1E-4</v>
      </c>
      <c r="I1996" s="3">
        <v>0.91479999999999995</v>
      </c>
      <c r="J1996" s="3">
        <v>5.9999999999999995E-4</v>
      </c>
      <c r="K1996" s="3">
        <v>5.3499999999999999E-2</v>
      </c>
    </row>
    <row r="1998" spans="1:11" ht="45">
      <c r="A1998" s="22" t="s">
        <v>539</v>
      </c>
    </row>
    <row r="1999" spans="1:11">
      <c r="A1999" t="s">
        <v>185</v>
      </c>
      <c r="B1999" t="s">
        <v>186</v>
      </c>
      <c r="C1999" t="s">
        <v>192</v>
      </c>
      <c r="D1999" t="s">
        <v>184</v>
      </c>
      <c r="E1999" t="s">
        <v>193</v>
      </c>
      <c r="F1999" t="s">
        <v>506</v>
      </c>
      <c r="G1999" t="s">
        <v>507</v>
      </c>
      <c r="H1999" t="s">
        <v>257</v>
      </c>
      <c r="I1999" t="s">
        <v>508</v>
      </c>
      <c r="J1999" t="s">
        <v>509</v>
      </c>
    </row>
    <row r="2000" spans="1:11">
      <c r="A2000" t="s">
        <v>195</v>
      </c>
      <c r="B2000" t="s">
        <v>196</v>
      </c>
      <c r="C2000">
        <v>413</v>
      </c>
      <c r="D2000" t="s">
        <v>194</v>
      </c>
      <c r="E2000">
        <v>2677</v>
      </c>
      <c r="F2000" s="3">
        <v>2.1100000000000001E-2</v>
      </c>
      <c r="G2000" s="3">
        <v>2.3999999999999998E-3</v>
      </c>
      <c r="I2000" s="3">
        <v>0.95309999999999995</v>
      </c>
      <c r="J2000" s="3">
        <v>2.3400000000000001E-2</v>
      </c>
    </row>
    <row r="2001" spans="1:10">
      <c r="A2001" t="s">
        <v>195</v>
      </c>
      <c r="B2001" t="s">
        <v>198</v>
      </c>
      <c r="C2001">
        <v>755</v>
      </c>
      <c r="D2001" t="s">
        <v>194</v>
      </c>
      <c r="E2001">
        <v>2677</v>
      </c>
      <c r="F2001" s="3">
        <v>1.47E-2</v>
      </c>
      <c r="G2001" s="3">
        <v>5.7999999999999996E-3</v>
      </c>
      <c r="H2001" s="3">
        <v>1.8E-3</v>
      </c>
      <c r="I2001" s="3">
        <v>0.92459999999999998</v>
      </c>
      <c r="J2001" s="3">
        <v>5.3199999999999997E-2</v>
      </c>
    </row>
    <row r="2002" spans="1:10">
      <c r="A2002" t="s">
        <v>199</v>
      </c>
      <c r="B2002" t="s">
        <v>196</v>
      </c>
      <c r="C2002">
        <v>525</v>
      </c>
      <c r="D2002" t="s">
        <v>194</v>
      </c>
      <c r="E2002">
        <v>2677</v>
      </c>
      <c r="F2002" s="3">
        <v>1.4E-3</v>
      </c>
      <c r="I2002" s="3">
        <v>0.96679999999999999</v>
      </c>
      <c r="J2002" s="3">
        <v>3.1800000000000002E-2</v>
      </c>
    </row>
    <row r="2003" spans="1:10">
      <c r="A2003" t="s">
        <v>199</v>
      </c>
      <c r="B2003" t="s">
        <v>198</v>
      </c>
      <c r="C2003">
        <v>945</v>
      </c>
      <c r="D2003" t="s">
        <v>194</v>
      </c>
      <c r="E2003">
        <v>2677</v>
      </c>
      <c r="F2003" s="3">
        <v>7.6E-3</v>
      </c>
      <c r="G2003" s="3">
        <v>6.9999999999999999E-4</v>
      </c>
      <c r="I2003" s="3">
        <v>0.94379999999999997</v>
      </c>
      <c r="J2003" s="3">
        <v>4.7800000000000002E-2</v>
      </c>
    </row>
    <row r="2004" spans="1:10">
      <c r="A2004" t="s">
        <v>200</v>
      </c>
      <c r="B2004" t="s">
        <v>200</v>
      </c>
      <c r="C2004">
        <v>2677</v>
      </c>
      <c r="D2004" t="s">
        <v>200</v>
      </c>
      <c r="E2004">
        <v>2677</v>
      </c>
      <c r="F2004" s="3">
        <v>1.09E-2</v>
      </c>
      <c r="G2004" s="3">
        <v>2.5000000000000001E-3</v>
      </c>
      <c r="H2004" s="3">
        <v>5.9999999999999995E-4</v>
      </c>
      <c r="I2004" s="3">
        <v>0.94089999999999996</v>
      </c>
      <c r="J2004" s="3">
        <v>4.5199999999999997E-2</v>
      </c>
    </row>
    <row r="2006" spans="1:10" ht="45">
      <c r="A2006" s="22" t="s">
        <v>540</v>
      </c>
    </row>
    <row r="2007" spans="1:10">
      <c r="A2007" t="s">
        <v>185</v>
      </c>
      <c r="B2007" t="s">
        <v>186</v>
      </c>
      <c r="C2007" t="s">
        <v>192</v>
      </c>
      <c r="D2007" t="s">
        <v>184</v>
      </c>
      <c r="E2007" t="s">
        <v>193</v>
      </c>
      <c r="F2007" t="s">
        <v>506</v>
      </c>
      <c r="G2007" t="s">
        <v>507</v>
      </c>
      <c r="H2007" t="s">
        <v>257</v>
      </c>
      <c r="I2007" t="s">
        <v>508</v>
      </c>
      <c r="J2007" t="s">
        <v>509</v>
      </c>
    </row>
    <row r="2008" spans="1:10">
      <c r="A2008" t="s">
        <v>195</v>
      </c>
      <c r="B2008" t="s">
        <v>202</v>
      </c>
      <c r="C2008">
        <v>533</v>
      </c>
      <c r="D2008" t="s">
        <v>194</v>
      </c>
      <c r="E2008">
        <v>2677</v>
      </c>
      <c r="F2008" s="3">
        <v>1.41E-2</v>
      </c>
      <c r="G2008" s="3">
        <v>6.4000000000000003E-3</v>
      </c>
      <c r="H2008" s="3">
        <v>1.9E-3</v>
      </c>
      <c r="I2008" s="3">
        <v>0.93020000000000003</v>
      </c>
      <c r="J2008" s="3">
        <v>4.7399999999999998E-2</v>
      </c>
    </row>
    <row r="2009" spans="1:10">
      <c r="A2009" t="s">
        <v>195</v>
      </c>
      <c r="B2009" t="s">
        <v>204</v>
      </c>
      <c r="C2009">
        <v>301</v>
      </c>
      <c r="D2009" t="s">
        <v>194</v>
      </c>
      <c r="E2009">
        <v>2677</v>
      </c>
      <c r="F2009" s="3">
        <v>4.3E-3</v>
      </c>
      <c r="G2009" s="3">
        <v>2.3999999999999998E-3</v>
      </c>
      <c r="I2009" s="3">
        <v>0.96040000000000003</v>
      </c>
      <c r="J2009" s="3">
        <v>3.2899999999999999E-2</v>
      </c>
    </row>
    <row r="2010" spans="1:10">
      <c r="A2010" t="s">
        <v>195</v>
      </c>
      <c r="B2010" t="s">
        <v>205</v>
      </c>
      <c r="C2010">
        <v>334</v>
      </c>
      <c r="D2010" t="s">
        <v>194</v>
      </c>
      <c r="E2010">
        <v>2677</v>
      </c>
      <c r="F2010" s="3">
        <v>4.6800000000000001E-2</v>
      </c>
      <c r="G2010" s="3">
        <v>1.5E-3</v>
      </c>
      <c r="H2010" s="3">
        <v>2.0000000000000001E-4</v>
      </c>
      <c r="I2010" s="3">
        <v>0.89700000000000002</v>
      </c>
      <c r="J2010" s="3">
        <v>5.45E-2</v>
      </c>
    </row>
    <row r="2011" spans="1:10">
      <c r="A2011" t="s">
        <v>199</v>
      </c>
      <c r="B2011" t="s">
        <v>202</v>
      </c>
      <c r="C2011">
        <v>538</v>
      </c>
      <c r="D2011" t="s">
        <v>194</v>
      </c>
      <c r="E2011">
        <v>2677</v>
      </c>
      <c r="F2011" s="3">
        <v>9.2999999999999992E-3</v>
      </c>
      <c r="G2011" s="3">
        <v>5.9999999999999995E-4</v>
      </c>
      <c r="I2011" s="3">
        <v>0.94550000000000001</v>
      </c>
      <c r="J2011" s="3">
        <v>4.4600000000000001E-2</v>
      </c>
    </row>
    <row r="2012" spans="1:10">
      <c r="A2012" t="s">
        <v>199</v>
      </c>
      <c r="B2012" t="s">
        <v>204</v>
      </c>
      <c r="C2012">
        <v>426</v>
      </c>
      <c r="D2012" t="s">
        <v>194</v>
      </c>
      <c r="E2012">
        <v>2677</v>
      </c>
      <c r="F2012" s="3">
        <v>1.1999999999999999E-3</v>
      </c>
      <c r="I2012" s="3">
        <v>0.97909999999999997</v>
      </c>
      <c r="J2012" s="3">
        <v>1.9699999999999999E-2</v>
      </c>
    </row>
    <row r="2013" spans="1:10">
      <c r="A2013" t="s">
        <v>199</v>
      </c>
      <c r="B2013" t="s">
        <v>205</v>
      </c>
      <c r="C2013">
        <v>506</v>
      </c>
      <c r="D2013" t="s">
        <v>194</v>
      </c>
      <c r="E2013">
        <v>2677</v>
      </c>
      <c r="F2013" s="3">
        <v>1.6000000000000001E-3</v>
      </c>
      <c r="G2013" s="3">
        <v>1.2999999999999999E-3</v>
      </c>
      <c r="I2013" s="3">
        <v>0.92230000000000001</v>
      </c>
      <c r="J2013" s="3">
        <v>7.4800000000000005E-2</v>
      </c>
    </row>
    <row r="2014" spans="1:10">
      <c r="A2014" t="s">
        <v>200</v>
      </c>
      <c r="B2014" t="s">
        <v>200</v>
      </c>
      <c r="C2014">
        <v>2677</v>
      </c>
      <c r="D2014" t="s">
        <v>200</v>
      </c>
      <c r="E2014">
        <v>2677</v>
      </c>
      <c r="F2014" s="3">
        <v>1.09E-2</v>
      </c>
      <c r="G2014" s="3">
        <v>2.5000000000000001E-3</v>
      </c>
      <c r="H2014" s="3">
        <v>5.9999999999999995E-4</v>
      </c>
      <c r="I2014" s="3">
        <v>0.94089999999999996</v>
      </c>
      <c r="J2014" s="3">
        <v>4.5199999999999997E-2</v>
      </c>
    </row>
    <row r="2016" spans="1:10" ht="45">
      <c r="A2016" s="22" t="s">
        <v>541</v>
      </c>
    </row>
    <row r="2017" spans="1:10">
      <c r="A2017" t="s">
        <v>185</v>
      </c>
      <c r="B2017" t="s">
        <v>186</v>
      </c>
      <c r="C2017" t="s">
        <v>192</v>
      </c>
      <c r="D2017" t="s">
        <v>184</v>
      </c>
      <c r="E2017" t="s">
        <v>193</v>
      </c>
      <c r="F2017" t="s">
        <v>506</v>
      </c>
      <c r="G2017" t="s">
        <v>507</v>
      </c>
      <c r="H2017" t="s">
        <v>257</v>
      </c>
      <c r="I2017" t="s">
        <v>508</v>
      </c>
      <c r="J2017" t="s">
        <v>509</v>
      </c>
    </row>
    <row r="2018" spans="1:10">
      <c r="A2018" t="s">
        <v>195</v>
      </c>
      <c r="B2018" t="s">
        <v>207</v>
      </c>
      <c r="C2018">
        <v>322</v>
      </c>
      <c r="D2018" t="s">
        <v>194</v>
      </c>
      <c r="E2018">
        <v>2677</v>
      </c>
      <c r="F2018" s="3">
        <v>6.3500000000000001E-2</v>
      </c>
      <c r="G2018" s="3">
        <v>1.89E-2</v>
      </c>
      <c r="H2018" s="3">
        <v>1E-4</v>
      </c>
      <c r="I2018" s="3">
        <v>0.81879999999999997</v>
      </c>
      <c r="J2018" s="3">
        <v>9.8699999999999996E-2</v>
      </c>
    </row>
    <row r="2019" spans="1:10">
      <c r="A2019" t="s">
        <v>195</v>
      </c>
      <c r="B2019" t="s">
        <v>209</v>
      </c>
      <c r="C2019">
        <v>867</v>
      </c>
      <c r="D2019" t="s">
        <v>194</v>
      </c>
      <c r="E2019">
        <v>2677</v>
      </c>
      <c r="H2019" s="3">
        <v>1.6999999999999999E-3</v>
      </c>
      <c r="I2019" s="3">
        <v>0.97099999999999997</v>
      </c>
      <c r="J2019" s="3">
        <v>2.7300000000000001E-2</v>
      </c>
    </row>
    <row r="2020" spans="1:10">
      <c r="A2020" t="s">
        <v>199</v>
      </c>
      <c r="B2020" t="s">
        <v>207</v>
      </c>
      <c r="C2020">
        <v>283</v>
      </c>
      <c r="D2020" t="s">
        <v>194</v>
      </c>
      <c r="E2020">
        <v>2677</v>
      </c>
      <c r="F2020" s="3">
        <v>5.3900000000000003E-2</v>
      </c>
      <c r="G2020" s="3">
        <v>4.8999999999999998E-3</v>
      </c>
      <c r="I2020" s="3">
        <v>0.82520000000000004</v>
      </c>
      <c r="J2020" s="3">
        <v>0.11600000000000001</v>
      </c>
    </row>
    <row r="2021" spans="1:10">
      <c r="A2021" t="s">
        <v>199</v>
      </c>
      <c r="B2021" t="s">
        <v>209</v>
      </c>
      <c r="C2021">
        <v>1205</v>
      </c>
      <c r="D2021" t="s">
        <v>194</v>
      </c>
      <c r="E2021">
        <v>2677</v>
      </c>
      <c r="I2021" s="3">
        <v>0.96509999999999996</v>
      </c>
      <c r="J2021" s="3">
        <v>3.49E-2</v>
      </c>
    </row>
    <row r="2022" spans="1:10">
      <c r="A2022" t="s">
        <v>200</v>
      </c>
      <c r="B2022" t="s">
        <v>200</v>
      </c>
      <c r="C2022">
        <v>2677</v>
      </c>
      <c r="D2022" t="s">
        <v>200</v>
      </c>
      <c r="E2022">
        <v>2677</v>
      </c>
      <c r="F2022" s="3">
        <v>1.09E-2</v>
      </c>
      <c r="G2022" s="3">
        <v>2.5000000000000001E-3</v>
      </c>
      <c r="H2022" s="3">
        <v>5.9999999999999995E-4</v>
      </c>
      <c r="I2022" s="3">
        <v>0.94089999999999996</v>
      </c>
      <c r="J2022" s="3">
        <v>4.5199999999999997E-2</v>
      </c>
    </row>
    <row r="2024" spans="1:10" ht="45">
      <c r="A2024" s="22" t="s">
        <v>542</v>
      </c>
    </row>
    <row r="2025" spans="1:10">
      <c r="A2025" t="s">
        <v>185</v>
      </c>
      <c r="B2025" t="s">
        <v>192</v>
      </c>
      <c r="C2025" t="s">
        <v>184</v>
      </c>
      <c r="D2025" t="s">
        <v>193</v>
      </c>
      <c r="E2025" t="s">
        <v>506</v>
      </c>
      <c r="F2025" t="s">
        <v>507</v>
      </c>
      <c r="G2025" t="s">
        <v>257</v>
      </c>
      <c r="H2025" t="s">
        <v>508</v>
      </c>
      <c r="I2025" t="s">
        <v>509</v>
      </c>
    </row>
    <row r="2026" spans="1:10">
      <c r="A2026" t="s">
        <v>195</v>
      </c>
      <c r="B2026">
        <v>1189</v>
      </c>
      <c r="C2026" t="s">
        <v>194</v>
      </c>
      <c r="D2026">
        <v>2677</v>
      </c>
      <c r="E2026" s="3">
        <v>1.6299999999999999E-2</v>
      </c>
      <c r="F2026" s="3">
        <v>4.8999999999999998E-3</v>
      </c>
      <c r="G2026" s="3">
        <v>1.2999999999999999E-3</v>
      </c>
      <c r="H2026" s="3">
        <v>0.93189999999999995</v>
      </c>
      <c r="I2026" s="3">
        <v>4.5699999999999998E-2</v>
      </c>
    </row>
    <row r="2027" spans="1:10">
      <c r="A2027" t="s">
        <v>199</v>
      </c>
      <c r="B2027">
        <v>1488</v>
      </c>
      <c r="C2027" t="s">
        <v>194</v>
      </c>
      <c r="D2027">
        <v>2677</v>
      </c>
      <c r="E2027" s="3">
        <v>6.6E-3</v>
      </c>
      <c r="F2027" s="3">
        <v>5.9999999999999995E-4</v>
      </c>
      <c r="H2027" s="3">
        <v>0.94799999999999995</v>
      </c>
      <c r="I2027" s="3">
        <v>4.48E-2</v>
      </c>
    </row>
    <row r="2028" spans="1:10">
      <c r="A2028" t="s">
        <v>200</v>
      </c>
      <c r="B2028">
        <v>2677</v>
      </c>
      <c r="C2028" t="s">
        <v>200</v>
      </c>
      <c r="D2028">
        <v>2677</v>
      </c>
      <c r="E2028" s="3">
        <v>1.09E-2</v>
      </c>
      <c r="F2028" s="3">
        <v>2.5000000000000001E-3</v>
      </c>
      <c r="G2028" s="3">
        <v>5.9999999999999995E-4</v>
      </c>
      <c r="H2028" s="3">
        <v>0.94089999999999996</v>
      </c>
      <c r="I2028" s="3">
        <v>4.5199999999999997E-2</v>
      </c>
    </row>
    <row r="2030" spans="1:10" ht="45">
      <c r="A2030" s="22" t="s">
        <v>543</v>
      </c>
    </row>
    <row r="2031" spans="1:10">
      <c r="A2031" t="s">
        <v>185</v>
      </c>
      <c r="B2031" t="s">
        <v>186</v>
      </c>
      <c r="C2031" t="s">
        <v>192</v>
      </c>
      <c r="D2031" t="s">
        <v>184</v>
      </c>
      <c r="E2031" t="s">
        <v>193</v>
      </c>
      <c r="F2031" t="s">
        <v>506</v>
      </c>
      <c r="G2031" t="s">
        <v>507</v>
      </c>
      <c r="H2031" t="s">
        <v>257</v>
      </c>
      <c r="I2031" t="s">
        <v>508</v>
      </c>
      <c r="J2031" t="s">
        <v>509</v>
      </c>
    </row>
    <row r="2032" spans="1:10">
      <c r="A2032" t="s">
        <v>195</v>
      </c>
      <c r="B2032" t="s">
        <v>212</v>
      </c>
      <c r="C2032">
        <v>873</v>
      </c>
      <c r="D2032" t="s">
        <v>194</v>
      </c>
      <c r="E2032">
        <v>2677</v>
      </c>
      <c r="F2032" s="3">
        <v>1.6E-2</v>
      </c>
      <c r="G2032" s="3">
        <v>4.1999999999999997E-3</v>
      </c>
      <c r="H2032" s="3">
        <v>1.6999999999999999E-3</v>
      </c>
      <c r="I2032" s="3">
        <v>0.93679999999999997</v>
      </c>
      <c r="J2032" s="3">
        <v>4.1399999999999999E-2</v>
      </c>
    </row>
    <row r="2033" spans="1:10">
      <c r="A2033" t="s">
        <v>195</v>
      </c>
      <c r="B2033" t="s">
        <v>214</v>
      </c>
      <c r="C2033">
        <v>181</v>
      </c>
      <c r="D2033" t="s">
        <v>194</v>
      </c>
      <c r="E2033">
        <v>2677</v>
      </c>
      <c r="H2033" s="3">
        <v>2.0000000000000001E-4</v>
      </c>
      <c r="I2033" s="3">
        <v>0.96709999999999996</v>
      </c>
      <c r="J2033" s="3">
        <v>3.27E-2</v>
      </c>
    </row>
    <row r="2034" spans="1:10">
      <c r="A2034" t="s">
        <v>195</v>
      </c>
      <c r="B2034" t="s">
        <v>215</v>
      </c>
      <c r="C2034">
        <v>135</v>
      </c>
      <c r="D2034" t="s">
        <v>194</v>
      </c>
      <c r="E2034">
        <v>2677</v>
      </c>
      <c r="F2034" s="3">
        <v>5.1400000000000001E-2</v>
      </c>
      <c r="G2034" s="3">
        <v>2.0500000000000001E-2</v>
      </c>
      <c r="I2034" s="3">
        <v>0.81820000000000004</v>
      </c>
      <c r="J2034" s="3">
        <v>0.1099</v>
      </c>
    </row>
    <row r="2035" spans="1:10">
      <c r="A2035" t="s">
        <v>199</v>
      </c>
      <c r="B2035" t="s">
        <v>212</v>
      </c>
      <c r="C2035">
        <v>1118</v>
      </c>
      <c r="D2035" t="s">
        <v>194</v>
      </c>
      <c r="E2035">
        <v>2677</v>
      </c>
      <c r="F2035" s="3">
        <v>8.3999999999999995E-3</v>
      </c>
      <c r="G2035" s="3">
        <v>5.9999999999999995E-4</v>
      </c>
      <c r="I2035" s="3">
        <v>0.95569999999999999</v>
      </c>
      <c r="J2035" s="3">
        <v>3.5299999999999998E-2</v>
      </c>
    </row>
    <row r="2036" spans="1:10">
      <c r="A2036" t="s">
        <v>199</v>
      </c>
      <c r="B2036" t="s">
        <v>214</v>
      </c>
      <c r="C2036">
        <v>197</v>
      </c>
      <c r="D2036" t="s">
        <v>194</v>
      </c>
      <c r="E2036">
        <v>2677</v>
      </c>
      <c r="I2036" s="3">
        <v>0.91190000000000004</v>
      </c>
      <c r="J2036" s="3">
        <v>8.8099999999999998E-2</v>
      </c>
    </row>
    <row r="2037" spans="1:10">
      <c r="A2037" t="s">
        <v>199</v>
      </c>
      <c r="B2037" t="s">
        <v>215</v>
      </c>
      <c r="C2037">
        <v>173</v>
      </c>
      <c r="D2037" t="s">
        <v>194</v>
      </c>
      <c r="E2037">
        <v>2677</v>
      </c>
      <c r="F2037" s="3">
        <v>1.6000000000000001E-3</v>
      </c>
      <c r="G2037" s="3">
        <v>1.4E-3</v>
      </c>
      <c r="I2037" s="3">
        <v>0.94320000000000004</v>
      </c>
      <c r="J2037" s="3">
        <v>5.3800000000000001E-2</v>
      </c>
    </row>
    <row r="2038" spans="1:10">
      <c r="A2038" t="s">
        <v>200</v>
      </c>
      <c r="B2038" t="s">
        <v>200</v>
      </c>
      <c r="C2038">
        <v>2677</v>
      </c>
      <c r="D2038" t="s">
        <v>200</v>
      </c>
      <c r="E2038">
        <v>2677</v>
      </c>
      <c r="F2038" s="3">
        <v>1.09E-2</v>
      </c>
      <c r="G2038" s="3">
        <v>2.5000000000000001E-3</v>
      </c>
      <c r="H2038" s="3">
        <v>5.9999999999999995E-4</v>
      </c>
      <c r="I2038" s="3">
        <v>0.94089999999999996</v>
      </c>
      <c r="J2038" s="3">
        <v>4.5199999999999997E-2</v>
      </c>
    </row>
    <row r="2040" spans="1:10" ht="45">
      <c r="A2040" s="22" t="s">
        <v>544</v>
      </c>
    </row>
    <row r="2041" spans="1:10">
      <c r="A2041" t="s">
        <v>185</v>
      </c>
      <c r="B2041" t="s">
        <v>186</v>
      </c>
      <c r="C2041" t="s">
        <v>192</v>
      </c>
      <c r="D2041" t="s">
        <v>184</v>
      </c>
      <c r="E2041" t="s">
        <v>193</v>
      </c>
      <c r="F2041" t="s">
        <v>506</v>
      </c>
      <c r="G2041" t="s">
        <v>507</v>
      </c>
      <c r="H2041" t="s">
        <v>257</v>
      </c>
      <c r="I2041" t="s">
        <v>508</v>
      </c>
      <c r="J2041" t="s">
        <v>509</v>
      </c>
    </row>
    <row r="2042" spans="1:10">
      <c r="A2042" t="s">
        <v>195</v>
      </c>
      <c r="B2042" t="s">
        <v>217</v>
      </c>
      <c r="C2042">
        <v>499</v>
      </c>
      <c r="D2042" t="s">
        <v>194</v>
      </c>
      <c r="E2042">
        <v>2677</v>
      </c>
      <c r="F2042" s="3">
        <v>1.6400000000000001E-2</v>
      </c>
      <c r="G2042" s="3">
        <v>4.7000000000000002E-3</v>
      </c>
      <c r="H2042" s="3">
        <v>3.0000000000000001E-3</v>
      </c>
      <c r="I2042" s="3">
        <v>0.93510000000000004</v>
      </c>
      <c r="J2042" s="3">
        <v>4.0899999999999999E-2</v>
      </c>
    </row>
    <row r="2043" spans="1:10">
      <c r="A2043" t="s">
        <v>195</v>
      </c>
      <c r="B2043" t="s">
        <v>219</v>
      </c>
      <c r="C2043">
        <v>507</v>
      </c>
      <c r="D2043" t="s">
        <v>194</v>
      </c>
      <c r="E2043">
        <v>2677</v>
      </c>
      <c r="F2043" s="3">
        <v>2.4E-2</v>
      </c>
      <c r="G2043" s="3">
        <v>7.1000000000000004E-3</v>
      </c>
      <c r="H2043" s="3">
        <v>1E-4</v>
      </c>
      <c r="I2043" s="3">
        <v>0.91200000000000003</v>
      </c>
      <c r="J2043" s="3">
        <v>5.6800000000000003E-2</v>
      </c>
    </row>
    <row r="2044" spans="1:10">
      <c r="A2044" t="s">
        <v>195</v>
      </c>
      <c r="B2044" t="s">
        <v>220</v>
      </c>
      <c r="C2044">
        <v>182</v>
      </c>
      <c r="D2044" t="s">
        <v>194</v>
      </c>
      <c r="E2044">
        <v>2677</v>
      </c>
      <c r="F2044" s="3">
        <v>1E-4</v>
      </c>
      <c r="G2044" s="3">
        <v>8.0000000000000004E-4</v>
      </c>
      <c r="I2044" s="3">
        <v>0.96609999999999996</v>
      </c>
      <c r="J2044" s="3">
        <v>3.3000000000000002E-2</v>
      </c>
    </row>
    <row r="2045" spans="1:10">
      <c r="A2045" t="s">
        <v>199</v>
      </c>
      <c r="B2045" t="s">
        <v>217</v>
      </c>
      <c r="C2045">
        <v>814</v>
      </c>
      <c r="D2045" t="s">
        <v>194</v>
      </c>
      <c r="E2045">
        <v>2677</v>
      </c>
      <c r="F2045" s="3">
        <v>8.9999999999999993E-3</v>
      </c>
      <c r="G2045" s="3">
        <v>2.0000000000000001E-4</v>
      </c>
      <c r="I2045" s="3">
        <v>0.95799999999999996</v>
      </c>
      <c r="J2045" s="3">
        <v>3.2899999999999999E-2</v>
      </c>
    </row>
    <row r="2046" spans="1:10">
      <c r="A2046" t="s">
        <v>199</v>
      </c>
      <c r="B2046" t="s">
        <v>219</v>
      </c>
      <c r="C2046">
        <v>451</v>
      </c>
      <c r="D2046" t="s">
        <v>194</v>
      </c>
      <c r="E2046">
        <v>2677</v>
      </c>
      <c r="F2046" s="3">
        <v>4.8999999999999998E-3</v>
      </c>
      <c r="G2046" s="3">
        <v>1.9E-3</v>
      </c>
      <c r="I2046" s="3">
        <v>0.91310000000000002</v>
      </c>
      <c r="J2046" s="3">
        <v>8.0100000000000005E-2</v>
      </c>
    </row>
    <row r="2047" spans="1:10">
      <c r="A2047" t="s">
        <v>199</v>
      </c>
      <c r="B2047" t="s">
        <v>220</v>
      </c>
      <c r="C2047">
        <v>223</v>
      </c>
      <c r="D2047" t="s">
        <v>194</v>
      </c>
      <c r="E2047">
        <v>2677</v>
      </c>
      <c r="I2047" s="3">
        <v>0.96519999999999995</v>
      </c>
      <c r="J2047" s="3">
        <v>3.4799999999999998E-2</v>
      </c>
    </row>
    <row r="2048" spans="1:10">
      <c r="A2048" t="s">
        <v>200</v>
      </c>
      <c r="B2048" t="s">
        <v>200</v>
      </c>
      <c r="C2048">
        <v>2677</v>
      </c>
      <c r="D2048" t="s">
        <v>200</v>
      </c>
      <c r="E2048">
        <v>2677</v>
      </c>
      <c r="F2048" s="3">
        <v>1.09E-2</v>
      </c>
      <c r="G2048" s="3">
        <v>2.5000000000000001E-3</v>
      </c>
      <c r="H2048" s="3">
        <v>5.9999999999999995E-4</v>
      </c>
      <c r="I2048" s="3">
        <v>0.94089999999999996</v>
      </c>
      <c r="J2048" s="3">
        <v>4.5199999999999997E-2</v>
      </c>
    </row>
    <row r="2050" spans="1:10" ht="45">
      <c r="A2050" s="22" t="s">
        <v>545</v>
      </c>
    </row>
    <row r="2051" spans="1:10">
      <c r="A2051" t="s">
        <v>185</v>
      </c>
      <c r="B2051" t="s">
        <v>186</v>
      </c>
      <c r="C2051" t="s">
        <v>192</v>
      </c>
      <c r="D2051" t="s">
        <v>184</v>
      </c>
      <c r="E2051" t="s">
        <v>193</v>
      </c>
      <c r="F2051" t="s">
        <v>257</v>
      </c>
      <c r="G2051" t="s">
        <v>546</v>
      </c>
      <c r="H2051" t="s">
        <v>247</v>
      </c>
      <c r="I2051" t="s">
        <v>547</v>
      </c>
      <c r="J2051" t="s">
        <v>548</v>
      </c>
    </row>
    <row r="2052" spans="1:10">
      <c r="A2052" t="s">
        <v>195</v>
      </c>
      <c r="B2052" t="s">
        <v>196</v>
      </c>
      <c r="C2052">
        <v>413</v>
      </c>
      <c r="D2052" t="s">
        <v>194</v>
      </c>
      <c r="E2052">
        <v>2677</v>
      </c>
      <c r="F2052" s="3">
        <v>5.5999999999999999E-3</v>
      </c>
      <c r="G2052" s="3">
        <v>0.6552</v>
      </c>
      <c r="H2052" s="3">
        <v>2E-3</v>
      </c>
      <c r="I2052" s="3">
        <v>0.13009999999999999</v>
      </c>
      <c r="J2052" s="3">
        <v>0.2072</v>
      </c>
    </row>
    <row r="2053" spans="1:10">
      <c r="A2053" t="s">
        <v>195</v>
      </c>
      <c r="B2053" t="s">
        <v>198</v>
      </c>
      <c r="C2053">
        <v>755</v>
      </c>
      <c r="D2053" t="s">
        <v>194</v>
      </c>
      <c r="E2053">
        <v>2677</v>
      </c>
      <c r="F2053" s="3">
        <v>1.5E-3</v>
      </c>
      <c r="G2053" s="3">
        <v>0.67349999999999999</v>
      </c>
      <c r="H2053" s="3">
        <v>9.4999999999999998E-3</v>
      </c>
      <c r="I2053" s="3">
        <v>0.16370000000000001</v>
      </c>
      <c r="J2053" s="3">
        <v>0.1517</v>
      </c>
    </row>
    <row r="2054" spans="1:10">
      <c r="A2054" t="s">
        <v>199</v>
      </c>
      <c r="B2054" t="s">
        <v>196</v>
      </c>
      <c r="C2054">
        <v>525</v>
      </c>
      <c r="D2054" t="s">
        <v>194</v>
      </c>
      <c r="E2054">
        <v>2677</v>
      </c>
      <c r="F2054" s="3">
        <v>8.0000000000000004E-4</v>
      </c>
      <c r="G2054" s="3">
        <v>0.53769999999999996</v>
      </c>
      <c r="I2054" s="3">
        <v>0.1021</v>
      </c>
      <c r="J2054" s="3">
        <v>0.3594</v>
      </c>
    </row>
    <row r="2055" spans="1:10">
      <c r="A2055" t="s">
        <v>199</v>
      </c>
      <c r="B2055" t="s">
        <v>198</v>
      </c>
      <c r="C2055">
        <v>945</v>
      </c>
      <c r="D2055" t="s">
        <v>194</v>
      </c>
      <c r="E2055">
        <v>2677</v>
      </c>
      <c r="F2055" s="3">
        <v>2.9999999999999997E-4</v>
      </c>
      <c r="G2055" s="3">
        <v>0.49659999999999999</v>
      </c>
      <c r="H2055" s="3">
        <v>1.5E-3</v>
      </c>
      <c r="I2055" s="3">
        <v>7.6999999999999999E-2</v>
      </c>
      <c r="J2055" s="3">
        <v>0.42459999999999998</v>
      </c>
    </row>
    <row r="2056" spans="1:10">
      <c r="A2056" t="s">
        <v>200</v>
      </c>
      <c r="B2056" t="s">
        <v>200</v>
      </c>
      <c r="C2056">
        <v>2677</v>
      </c>
      <c r="D2056" t="s">
        <v>200</v>
      </c>
      <c r="E2056">
        <v>2677</v>
      </c>
      <c r="F2056" s="3">
        <v>1.4E-3</v>
      </c>
      <c r="G2056" s="3">
        <v>0.57740000000000002</v>
      </c>
      <c r="H2056" s="3">
        <v>4.0000000000000001E-3</v>
      </c>
      <c r="I2056" s="3">
        <v>0.1143</v>
      </c>
      <c r="J2056" s="3">
        <v>0.30299999999999999</v>
      </c>
    </row>
    <row r="2058" spans="1:10" ht="45">
      <c r="A2058" s="22" t="s">
        <v>549</v>
      </c>
    </row>
    <row r="2059" spans="1:10">
      <c r="A2059" t="s">
        <v>185</v>
      </c>
      <c r="B2059" t="s">
        <v>186</v>
      </c>
      <c r="C2059" t="s">
        <v>192</v>
      </c>
      <c r="D2059" t="s">
        <v>184</v>
      </c>
      <c r="E2059" t="s">
        <v>193</v>
      </c>
      <c r="F2059" t="s">
        <v>257</v>
      </c>
      <c r="G2059" t="s">
        <v>546</v>
      </c>
      <c r="H2059" t="s">
        <v>247</v>
      </c>
      <c r="I2059" t="s">
        <v>547</v>
      </c>
      <c r="J2059" t="s">
        <v>548</v>
      </c>
    </row>
    <row r="2060" spans="1:10">
      <c r="A2060" t="s">
        <v>195</v>
      </c>
      <c r="B2060" t="s">
        <v>202</v>
      </c>
      <c r="C2060">
        <v>533</v>
      </c>
      <c r="D2060" t="s">
        <v>194</v>
      </c>
      <c r="E2060">
        <v>2677</v>
      </c>
      <c r="F2060" s="3">
        <v>2.0999999999999999E-3</v>
      </c>
      <c r="G2060" s="3">
        <v>0.67290000000000005</v>
      </c>
      <c r="H2060" s="3">
        <v>4.0000000000000001E-3</v>
      </c>
      <c r="I2060" s="3">
        <v>0.1686</v>
      </c>
      <c r="J2060" s="3">
        <v>0.15229999999999999</v>
      </c>
    </row>
    <row r="2061" spans="1:10">
      <c r="A2061" t="s">
        <v>195</v>
      </c>
      <c r="B2061" t="s">
        <v>204</v>
      </c>
      <c r="C2061">
        <v>301</v>
      </c>
      <c r="D2061" t="s">
        <v>194</v>
      </c>
      <c r="E2061">
        <v>2677</v>
      </c>
      <c r="F2061" s="3">
        <v>5.1999999999999998E-3</v>
      </c>
      <c r="G2061" s="3">
        <v>0.67810000000000004</v>
      </c>
      <c r="H2061" s="3">
        <v>2.23E-2</v>
      </c>
      <c r="I2061" s="3">
        <v>0.13980000000000001</v>
      </c>
      <c r="J2061" s="3">
        <v>0.15459999999999999</v>
      </c>
    </row>
    <row r="2062" spans="1:10">
      <c r="A2062" t="s">
        <v>195</v>
      </c>
      <c r="B2062" t="s">
        <v>205</v>
      </c>
      <c r="C2062">
        <v>334</v>
      </c>
      <c r="D2062" t="s">
        <v>194</v>
      </c>
      <c r="E2062">
        <v>2677</v>
      </c>
      <c r="F2062" s="3">
        <v>8.9999999999999998E-4</v>
      </c>
      <c r="G2062" s="3">
        <v>0.63300000000000001</v>
      </c>
      <c r="H2062" s="3">
        <v>5.0000000000000001E-4</v>
      </c>
      <c r="I2062" s="3">
        <v>0.1119</v>
      </c>
      <c r="J2062" s="3">
        <v>0.25359999999999999</v>
      </c>
    </row>
    <row r="2063" spans="1:10">
      <c r="A2063" t="s">
        <v>199</v>
      </c>
      <c r="B2063" t="s">
        <v>202</v>
      </c>
      <c r="C2063">
        <v>538</v>
      </c>
      <c r="D2063" t="s">
        <v>194</v>
      </c>
      <c r="E2063">
        <v>2677</v>
      </c>
      <c r="G2063" s="3">
        <v>0.51639999999999997</v>
      </c>
      <c r="H2063" s="3">
        <v>1.9E-3</v>
      </c>
      <c r="I2063" s="3">
        <v>8.7300000000000003E-2</v>
      </c>
      <c r="J2063" s="3">
        <v>0.39429999999999998</v>
      </c>
    </row>
    <row r="2064" spans="1:10">
      <c r="A2064" t="s">
        <v>199</v>
      </c>
      <c r="B2064" t="s">
        <v>204</v>
      </c>
      <c r="C2064">
        <v>426</v>
      </c>
      <c r="D2064" t="s">
        <v>194</v>
      </c>
      <c r="E2064">
        <v>2677</v>
      </c>
      <c r="F2064" s="3">
        <v>5.9999999999999995E-4</v>
      </c>
      <c r="G2064" s="3">
        <v>0.45190000000000002</v>
      </c>
      <c r="I2064" s="3">
        <v>4.2999999999999997E-2</v>
      </c>
      <c r="J2064" s="3">
        <v>0.50449999999999995</v>
      </c>
    </row>
    <row r="2065" spans="1:10">
      <c r="A2065" t="s">
        <v>199</v>
      </c>
      <c r="B2065" t="s">
        <v>205</v>
      </c>
      <c r="C2065">
        <v>506</v>
      </c>
      <c r="D2065" t="s">
        <v>194</v>
      </c>
      <c r="E2065">
        <v>2677</v>
      </c>
      <c r="F2065" s="3">
        <v>1.5E-3</v>
      </c>
      <c r="G2065" s="3">
        <v>0.51849999999999996</v>
      </c>
      <c r="I2065" s="3">
        <v>0.1045</v>
      </c>
      <c r="J2065" s="3">
        <v>0.3755</v>
      </c>
    </row>
    <row r="2066" spans="1:10">
      <c r="A2066" t="s">
        <v>200</v>
      </c>
      <c r="B2066" t="s">
        <v>200</v>
      </c>
      <c r="C2066">
        <v>2677</v>
      </c>
      <c r="D2066" t="s">
        <v>200</v>
      </c>
      <c r="E2066">
        <v>2677</v>
      </c>
      <c r="F2066" s="3">
        <v>1.4E-3</v>
      </c>
      <c r="G2066" s="3">
        <v>0.57740000000000002</v>
      </c>
      <c r="H2066" s="3">
        <v>4.0000000000000001E-3</v>
      </c>
      <c r="I2066" s="3">
        <v>0.1143</v>
      </c>
      <c r="J2066" s="3">
        <v>0.30299999999999999</v>
      </c>
    </row>
    <row r="2068" spans="1:10" ht="45">
      <c r="A2068" s="22" t="s">
        <v>550</v>
      </c>
    </row>
    <row r="2069" spans="1:10">
      <c r="A2069" t="s">
        <v>185</v>
      </c>
      <c r="B2069" t="s">
        <v>186</v>
      </c>
      <c r="C2069" t="s">
        <v>192</v>
      </c>
      <c r="D2069" t="s">
        <v>184</v>
      </c>
      <c r="E2069" t="s">
        <v>193</v>
      </c>
      <c r="F2069" t="s">
        <v>257</v>
      </c>
      <c r="G2069" t="s">
        <v>546</v>
      </c>
      <c r="H2069" t="s">
        <v>247</v>
      </c>
      <c r="I2069" t="s">
        <v>547</v>
      </c>
      <c r="J2069" t="s">
        <v>548</v>
      </c>
    </row>
    <row r="2070" spans="1:10">
      <c r="A2070" t="s">
        <v>195</v>
      </c>
      <c r="B2070" t="s">
        <v>207</v>
      </c>
      <c r="C2070">
        <v>322</v>
      </c>
      <c r="D2070" t="s">
        <v>194</v>
      </c>
      <c r="E2070">
        <v>2677</v>
      </c>
      <c r="F2070" s="3">
        <v>4.4000000000000003E-3</v>
      </c>
      <c r="G2070" s="3">
        <v>0.69689999999999996</v>
      </c>
      <c r="H2070" s="3">
        <v>2E-3</v>
      </c>
      <c r="I2070" s="3">
        <v>0.14460000000000001</v>
      </c>
      <c r="J2070" s="3">
        <v>0.15210000000000001</v>
      </c>
    </row>
    <row r="2071" spans="1:10">
      <c r="A2071" t="s">
        <v>195</v>
      </c>
      <c r="B2071" t="s">
        <v>209</v>
      </c>
      <c r="C2071">
        <v>867</v>
      </c>
      <c r="D2071" t="s">
        <v>194</v>
      </c>
      <c r="E2071">
        <v>2677</v>
      </c>
      <c r="F2071" s="3">
        <v>2E-3</v>
      </c>
      <c r="G2071" s="3">
        <v>0.65880000000000005</v>
      </c>
      <c r="H2071" s="3">
        <v>9.2999999999999992E-3</v>
      </c>
      <c r="I2071" s="3">
        <v>0.15870000000000001</v>
      </c>
      <c r="J2071" s="3">
        <v>0.1711</v>
      </c>
    </row>
    <row r="2072" spans="1:10">
      <c r="A2072" t="s">
        <v>199</v>
      </c>
      <c r="B2072" t="s">
        <v>207</v>
      </c>
      <c r="C2072">
        <v>283</v>
      </c>
      <c r="D2072" t="s">
        <v>194</v>
      </c>
      <c r="E2072">
        <v>2677</v>
      </c>
      <c r="F2072" s="3">
        <v>1E-3</v>
      </c>
      <c r="G2072" s="3">
        <v>0.41849999999999998</v>
      </c>
      <c r="H2072" s="3">
        <v>2.7000000000000001E-3</v>
      </c>
      <c r="I2072" s="3">
        <v>0.1024</v>
      </c>
      <c r="J2072" s="3">
        <v>0.47549999999999998</v>
      </c>
    </row>
    <row r="2073" spans="1:10">
      <c r="A2073" t="s">
        <v>199</v>
      </c>
      <c r="B2073" t="s">
        <v>209</v>
      </c>
      <c r="C2073">
        <v>1205</v>
      </c>
      <c r="D2073" t="s">
        <v>194</v>
      </c>
      <c r="E2073">
        <v>2677</v>
      </c>
      <c r="F2073" s="3">
        <v>2.9999999999999997E-4</v>
      </c>
      <c r="G2073" s="3">
        <v>0.51639999999999997</v>
      </c>
      <c r="H2073" s="3">
        <v>1E-3</v>
      </c>
      <c r="I2073" s="3">
        <v>7.8799999999999995E-2</v>
      </c>
      <c r="J2073" s="3">
        <v>0.40350000000000003</v>
      </c>
    </row>
    <row r="2074" spans="1:10">
      <c r="A2074" t="s">
        <v>200</v>
      </c>
      <c r="B2074" t="s">
        <v>200</v>
      </c>
      <c r="C2074">
        <v>2677</v>
      </c>
      <c r="D2074" t="s">
        <v>200</v>
      </c>
      <c r="E2074">
        <v>2677</v>
      </c>
      <c r="F2074" s="3">
        <v>1.4E-3</v>
      </c>
      <c r="G2074" s="3">
        <v>0.57740000000000002</v>
      </c>
      <c r="H2074" s="3">
        <v>4.0000000000000001E-3</v>
      </c>
      <c r="I2074" s="3">
        <v>0.1143</v>
      </c>
      <c r="J2074" s="3">
        <v>0.30299999999999999</v>
      </c>
    </row>
    <row r="2076" spans="1:10" ht="45">
      <c r="A2076" s="22" t="s">
        <v>551</v>
      </c>
    </row>
    <row r="2077" spans="1:10">
      <c r="A2077" t="s">
        <v>185</v>
      </c>
      <c r="B2077" t="s">
        <v>192</v>
      </c>
      <c r="C2077" t="s">
        <v>184</v>
      </c>
      <c r="D2077" t="s">
        <v>193</v>
      </c>
      <c r="E2077" t="s">
        <v>257</v>
      </c>
      <c r="F2077" t="s">
        <v>546</v>
      </c>
      <c r="G2077" t="s">
        <v>247</v>
      </c>
      <c r="H2077" t="s">
        <v>547</v>
      </c>
      <c r="I2077" t="s">
        <v>548</v>
      </c>
    </row>
    <row r="2078" spans="1:10">
      <c r="A2078" t="s">
        <v>195</v>
      </c>
      <c r="B2078">
        <v>1189</v>
      </c>
      <c r="C2078" t="s">
        <v>194</v>
      </c>
      <c r="D2078">
        <v>2677</v>
      </c>
      <c r="E2078" s="3">
        <v>2.5999999999999999E-3</v>
      </c>
      <c r="F2078" s="3">
        <v>0.66859999999999997</v>
      </c>
      <c r="G2078" s="3">
        <v>7.4000000000000003E-3</v>
      </c>
      <c r="H2078" s="3">
        <v>0.15509999999999999</v>
      </c>
      <c r="I2078" s="3">
        <v>0.16619999999999999</v>
      </c>
    </row>
    <row r="2079" spans="1:10">
      <c r="A2079" t="s">
        <v>199</v>
      </c>
      <c r="B2079">
        <v>1488</v>
      </c>
      <c r="C2079" t="s">
        <v>194</v>
      </c>
      <c r="D2079">
        <v>2677</v>
      </c>
      <c r="E2079" s="3">
        <v>4.0000000000000002E-4</v>
      </c>
      <c r="F2079" s="3">
        <v>0.50449999999999995</v>
      </c>
      <c r="G2079" s="3">
        <v>1.1999999999999999E-3</v>
      </c>
      <c r="H2079" s="3">
        <v>8.1699999999999995E-2</v>
      </c>
      <c r="I2079" s="3">
        <v>0.4123</v>
      </c>
    </row>
    <row r="2080" spans="1:10">
      <c r="A2080" t="s">
        <v>200</v>
      </c>
      <c r="B2080">
        <v>2677</v>
      </c>
      <c r="C2080" t="s">
        <v>200</v>
      </c>
      <c r="D2080">
        <v>2677</v>
      </c>
      <c r="E2080" s="3">
        <v>1.4E-3</v>
      </c>
      <c r="F2080" s="3">
        <v>0.57740000000000002</v>
      </c>
      <c r="G2080" s="3">
        <v>4.0000000000000001E-3</v>
      </c>
      <c r="H2080" s="3">
        <v>0.1143</v>
      </c>
      <c r="I2080" s="3">
        <v>0.30299999999999999</v>
      </c>
    </row>
    <row r="2082" spans="1:10" ht="45">
      <c r="A2082" s="22" t="s">
        <v>552</v>
      </c>
    </row>
    <row r="2083" spans="1:10">
      <c r="A2083" t="s">
        <v>185</v>
      </c>
      <c r="B2083" t="s">
        <v>186</v>
      </c>
      <c r="C2083" t="s">
        <v>192</v>
      </c>
      <c r="D2083" t="s">
        <v>184</v>
      </c>
      <c r="E2083" t="s">
        <v>193</v>
      </c>
      <c r="F2083" t="s">
        <v>257</v>
      </c>
      <c r="G2083" t="s">
        <v>546</v>
      </c>
      <c r="H2083" t="s">
        <v>247</v>
      </c>
      <c r="I2083" t="s">
        <v>547</v>
      </c>
      <c r="J2083" t="s">
        <v>548</v>
      </c>
    </row>
    <row r="2084" spans="1:10">
      <c r="A2084" t="s">
        <v>195</v>
      </c>
      <c r="B2084" t="s">
        <v>212</v>
      </c>
      <c r="C2084">
        <v>873</v>
      </c>
      <c r="D2084" t="s">
        <v>194</v>
      </c>
      <c r="E2084">
        <v>2677</v>
      </c>
      <c r="F2084" s="3">
        <v>2.0000000000000001E-4</v>
      </c>
      <c r="G2084" s="3">
        <v>0.65649999999999997</v>
      </c>
      <c r="H2084" s="3">
        <v>7.1000000000000004E-3</v>
      </c>
      <c r="I2084" s="3">
        <v>0.14410000000000001</v>
      </c>
      <c r="J2084" s="3">
        <v>0.19209999999999999</v>
      </c>
    </row>
    <row r="2085" spans="1:10">
      <c r="A2085" t="s">
        <v>195</v>
      </c>
      <c r="B2085" t="s">
        <v>214</v>
      </c>
      <c r="C2085">
        <v>181</v>
      </c>
      <c r="D2085" t="s">
        <v>194</v>
      </c>
      <c r="E2085">
        <v>2677</v>
      </c>
      <c r="F2085" s="3">
        <v>1.4E-2</v>
      </c>
      <c r="G2085" s="3">
        <v>0.7329</v>
      </c>
      <c r="H2085" s="3">
        <v>1.29E-2</v>
      </c>
      <c r="I2085" s="3">
        <v>0.2296</v>
      </c>
      <c r="J2085" s="3">
        <v>1.0500000000000001E-2</v>
      </c>
    </row>
    <row r="2086" spans="1:10">
      <c r="A2086" t="s">
        <v>195</v>
      </c>
      <c r="B2086" t="s">
        <v>215</v>
      </c>
      <c r="C2086">
        <v>135</v>
      </c>
      <c r="D2086" t="s">
        <v>194</v>
      </c>
      <c r="E2086">
        <v>2677</v>
      </c>
      <c r="F2086" s="3">
        <v>1.5E-3</v>
      </c>
      <c r="G2086" s="3">
        <v>0.65059999999999996</v>
      </c>
      <c r="I2086" s="3">
        <v>0.10639999999999999</v>
      </c>
      <c r="J2086" s="3">
        <v>0.24149999999999999</v>
      </c>
    </row>
    <row r="2087" spans="1:10">
      <c r="A2087" t="s">
        <v>199</v>
      </c>
      <c r="B2087" t="s">
        <v>212</v>
      </c>
      <c r="C2087">
        <v>1118</v>
      </c>
      <c r="D2087" t="s">
        <v>194</v>
      </c>
      <c r="E2087">
        <v>2677</v>
      </c>
      <c r="F2087" s="3">
        <v>2.0000000000000001E-4</v>
      </c>
      <c r="G2087" s="3">
        <v>0.48110000000000003</v>
      </c>
      <c r="H2087" s="3">
        <v>1.1999999999999999E-3</v>
      </c>
      <c r="I2087" s="3">
        <v>8.0199999999999994E-2</v>
      </c>
      <c r="J2087" s="3">
        <v>0.43730000000000002</v>
      </c>
    </row>
    <row r="2088" spans="1:10">
      <c r="A2088" t="s">
        <v>199</v>
      </c>
      <c r="B2088" t="s">
        <v>214</v>
      </c>
      <c r="C2088">
        <v>197</v>
      </c>
      <c r="D2088" t="s">
        <v>194</v>
      </c>
      <c r="E2088">
        <v>2677</v>
      </c>
      <c r="F2088" s="3">
        <v>1.6999999999999999E-3</v>
      </c>
      <c r="G2088" s="3">
        <v>0.73619999999999997</v>
      </c>
      <c r="H2088" s="3">
        <v>2.2000000000000001E-3</v>
      </c>
      <c r="I2088" s="3">
        <v>0.11799999999999999</v>
      </c>
      <c r="J2088" s="3">
        <v>0.1419</v>
      </c>
    </row>
    <row r="2089" spans="1:10">
      <c r="A2089" t="s">
        <v>199</v>
      </c>
      <c r="B2089" t="s">
        <v>215</v>
      </c>
      <c r="C2089">
        <v>173</v>
      </c>
      <c r="D2089" t="s">
        <v>194</v>
      </c>
      <c r="E2089">
        <v>2677</v>
      </c>
      <c r="G2089" s="3">
        <v>0.29909999999999998</v>
      </c>
      <c r="I2089" s="3">
        <v>2.9100000000000001E-2</v>
      </c>
      <c r="J2089" s="3">
        <v>0.67179999999999995</v>
      </c>
    </row>
    <row r="2090" spans="1:10">
      <c r="A2090" t="s">
        <v>200</v>
      </c>
      <c r="B2090" t="s">
        <v>200</v>
      </c>
      <c r="C2090">
        <v>2677</v>
      </c>
      <c r="D2090" t="s">
        <v>200</v>
      </c>
      <c r="E2090">
        <v>2677</v>
      </c>
      <c r="F2090" s="3">
        <v>1.4E-3</v>
      </c>
      <c r="G2090" s="3">
        <v>0.57740000000000002</v>
      </c>
      <c r="H2090" s="3">
        <v>4.0000000000000001E-3</v>
      </c>
      <c r="I2090" s="3">
        <v>0.1143</v>
      </c>
      <c r="J2090" s="3">
        <v>0.30299999999999999</v>
      </c>
    </row>
    <row r="2092" spans="1:10" ht="45">
      <c r="A2092" s="22" t="s">
        <v>553</v>
      </c>
    </row>
    <row r="2093" spans="1:10">
      <c r="A2093" t="s">
        <v>185</v>
      </c>
      <c r="B2093" t="s">
        <v>186</v>
      </c>
      <c r="C2093" t="s">
        <v>192</v>
      </c>
      <c r="D2093" t="s">
        <v>184</v>
      </c>
      <c r="E2093" t="s">
        <v>193</v>
      </c>
      <c r="F2093" t="s">
        <v>257</v>
      </c>
      <c r="G2093" t="s">
        <v>546</v>
      </c>
      <c r="H2093" t="s">
        <v>247</v>
      </c>
      <c r="I2093" t="s">
        <v>547</v>
      </c>
      <c r="J2093" t="s">
        <v>548</v>
      </c>
    </row>
    <row r="2094" spans="1:10">
      <c r="A2094" t="s">
        <v>195</v>
      </c>
      <c r="B2094" t="s">
        <v>217</v>
      </c>
      <c r="C2094">
        <v>499</v>
      </c>
      <c r="D2094" t="s">
        <v>194</v>
      </c>
      <c r="E2094">
        <v>2677</v>
      </c>
      <c r="F2094" s="3">
        <v>6.9999999999999999E-4</v>
      </c>
      <c r="G2094" s="3">
        <v>0.66369999999999996</v>
      </c>
      <c r="I2094" s="3">
        <v>8.77E-2</v>
      </c>
      <c r="J2094" s="3">
        <v>0.24790000000000001</v>
      </c>
    </row>
    <row r="2095" spans="1:10">
      <c r="A2095" t="s">
        <v>195</v>
      </c>
      <c r="B2095" t="s">
        <v>219</v>
      </c>
      <c r="C2095">
        <v>507</v>
      </c>
      <c r="D2095" t="s">
        <v>194</v>
      </c>
      <c r="E2095">
        <v>2677</v>
      </c>
      <c r="F2095" s="3">
        <v>5.8999999999999999E-3</v>
      </c>
      <c r="G2095" s="3">
        <v>0.67869999999999997</v>
      </c>
      <c r="H2095" s="3">
        <v>5.4999999999999997E-3</v>
      </c>
      <c r="I2095" s="3">
        <v>0.23749999999999999</v>
      </c>
      <c r="J2095" s="3">
        <v>7.2300000000000003E-2</v>
      </c>
    </row>
    <row r="2096" spans="1:10">
      <c r="A2096" t="s">
        <v>195</v>
      </c>
      <c r="B2096" t="s">
        <v>220</v>
      </c>
      <c r="C2096">
        <v>182</v>
      </c>
      <c r="D2096" t="s">
        <v>194</v>
      </c>
      <c r="E2096">
        <v>2677</v>
      </c>
      <c r="G2096" s="3">
        <v>0.65869999999999995</v>
      </c>
      <c r="H2096" s="3">
        <v>2.81E-2</v>
      </c>
      <c r="I2096" s="3">
        <v>0.13469999999999999</v>
      </c>
      <c r="J2096" s="3">
        <v>0.17849999999999999</v>
      </c>
    </row>
    <row r="2097" spans="1:10">
      <c r="A2097" t="s">
        <v>199</v>
      </c>
      <c r="B2097" t="s">
        <v>217</v>
      </c>
      <c r="C2097">
        <v>814</v>
      </c>
      <c r="D2097" t="s">
        <v>194</v>
      </c>
      <c r="E2097">
        <v>2677</v>
      </c>
      <c r="G2097" s="3">
        <v>0.44350000000000001</v>
      </c>
      <c r="H2097" s="3">
        <v>1.5E-3</v>
      </c>
      <c r="I2097" s="3">
        <v>6.6299999999999998E-2</v>
      </c>
      <c r="J2097" s="3">
        <v>0.48859999999999998</v>
      </c>
    </row>
    <row r="2098" spans="1:10">
      <c r="A2098" t="s">
        <v>199</v>
      </c>
      <c r="B2098" t="s">
        <v>219</v>
      </c>
      <c r="C2098">
        <v>451</v>
      </c>
      <c r="D2098" t="s">
        <v>194</v>
      </c>
      <c r="E2098">
        <v>2677</v>
      </c>
      <c r="F2098" s="3">
        <v>1E-3</v>
      </c>
      <c r="G2098" s="3">
        <v>0.64549999999999996</v>
      </c>
      <c r="H2098" s="3">
        <v>1.2999999999999999E-3</v>
      </c>
      <c r="I2098" s="3">
        <v>0.1103</v>
      </c>
      <c r="J2098" s="3">
        <v>0.24179999999999999</v>
      </c>
    </row>
    <row r="2099" spans="1:10">
      <c r="A2099" t="s">
        <v>199</v>
      </c>
      <c r="B2099" t="s">
        <v>220</v>
      </c>
      <c r="C2099">
        <v>223</v>
      </c>
      <c r="D2099" t="s">
        <v>194</v>
      </c>
      <c r="E2099">
        <v>2677</v>
      </c>
      <c r="F2099" s="3">
        <v>6.9999999999999999E-4</v>
      </c>
      <c r="G2099" s="3">
        <v>0.51470000000000005</v>
      </c>
      <c r="I2099" s="3">
        <v>9.4899999999999998E-2</v>
      </c>
      <c r="J2099" s="3">
        <v>0.3896</v>
      </c>
    </row>
    <row r="2100" spans="1:10">
      <c r="A2100" t="s">
        <v>200</v>
      </c>
      <c r="B2100" t="s">
        <v>200</v>
      </c>
      <c r="C2100">
        <v>2677</v>
      </c>
      <c r="D2100" t="s">
        <v>200</v>
      </c>
      <c r="E2100">
        <v>2677</v>
      </c>
      <c r="F2100" s="3">
        <v>1.4E-3</v>
      </c>
      <c r="G2100" s="3">
        <v>0.57740000000000002</v>
      </c>
      <c r="H2100" s="3">
        <v>4.0000000000000001E-3</v>
      </c>
      <c r="I2100" s="3">
        <v>0.1143</v>
      </c>
      <c r="J2100" s="3">
        <v>0.30299999999999999</v>
      </c>
    </row>
    <row r="2102" spans="1:10" ht="30">
      <c r="A2102" s="22" t="s">
        <v>554</v>
      </c>
    </row>
    <row r="2103" spans="1:10">
      <c r="A2103" t="s">
        <v>185</v>
      </c>
      <c r="B2103" t="s">
        <v>186</v>
      </c>
      <c r="C2103" t="s">
        <v>192</v>
      </c>
      <c r="D2103" t="s">
        <v>184</v>
      </c>
      <c r="E2103" t="s">
        <v>193</v>
      </c>
      <c r="F2103" t="s">
        <v>257</v>
      </c>
      <c r="G2103" t="s">
        <v>226</v>
      </c>
      <c r="H2103" t="s">
        <v>247</v>
      </c>
      <c r="I2103" t="s">
        <v>227</v>
      </c>
    </row>
    <row r="2104" spans="1:10">
      <c r="A2104" t="s">
        <v>195</v>
      </c>
      <c r="B2104" t="s">
        <v>196</v>
      </c>
      <c r="C2104">
        <v>413</v>
      </c>
      <c r="D2104" t="s">
        <v>194</v>
      </c>
      <c r="E2104">
        <v>2677</v>
      </c>
      <c r="F2104" s="3">
        <v>5.0000000000000001E-4</v>
      </c>
      <c r="G2104" s="3">
        <v>0.90839999999999999</v>
      </c>
      <c r="I2104" s="3">
        <v>9.11E-2</v>
      </c>
    </row>
    <row r="2105" spans="1:10">
      <c r="A2105" t="s">
        <v>195</v>
      </c>
      <c r="B2105" t="s">
        <v>198</v>
      </c>
      <c r="C2105">
        <v>755</v>
      </c>
      <c r="D2105" t="s">
        <v>194</v>
      </c>
      <c r="E2105">
        <v>2677</v>
      </c>
      <c r="G2105" s="3">
        <v>0.90369999999999995</v>
      </c>
      <c r="I2105" s="3">
        <v>9.6299999999999997E-2</v>
      </c>
    </row>
    <row r="2106" spans="1:10">
      <c r="A2106" t="s">
        <v>199</v>
      </c>
      <c r="B2106" t="s">
        <v>196</v>
      </c>
      <c r="C2106">
        <v>525</v>
      </c>
      <c r="D2106" t="s">
        <v>194</v>
      </c>
      <c r="E2106">
        <v>2677</v>
      </c>
      <c r="F2106" s="3">
        <v>6.9999999999999999E-4</v>
      </c>
      <c r="G2106" s="3">
        <v>0.67730000000000001</v>
      </c>
      <c r="I2106" s="3">
        <v>0.32200000000000001</v>
      </c>
    </row>
    <row r="2107" spans="1:10">
      <c r="A2107" t="s">
        <v>199</v>
      </c>
      <c r="B2107" t="s">
        <v>198</v>
      </c>
      <c r="C2107">
        <v>945</v>
      </c>
      <c r="D2107" t="s">
        <v>194</v>
      </c>
      <c r="E2107">
        <v>2677</v>
      </c>
      <c r="F2107" s="3">
        <v>8.9999999999999998E-4</v>
      </c>
      <c r="G2107" s="3">
        <v>0.64349999999999996</v>
      </c>
      <c r="H2107" s="3">
        <v>1.5E-3</v>
      </c>
      <c r="I2107" s="3">
        <v>0.35410000000000003</v>
      </c>
    </row>
    <row r="2108" spans="1:10">
      <c r="A2108" t="s">
        <v>200</v>
      </c>
      <c r="B2108" t="s">
        <v>200</v>
      </c>
      <c r="C2108">
        <v>2677</v>
      </c>
      <c r="D2108" t="s">
        <v>200</v>
      </c>
      <c r="E2108">
        <v>2677</v>
      </c>
      <c r="F2108" s="3">
        <v>5.9999999999999995E-4</v>
      </c>
      <c r="G2108" s="3">
        <v>0.76319999999999999</v>
      </c>
      <c r="H2108" s="3">
        <v>6.9999999999999999E-4</v>
      </c>
      <c r="I2108" s="3">
        <v>0.2356</v>
      </c>
    </row>
    <row r="2110" spans="1:10" ht="45">
      <c r="A2110" s="22" t="s">
        <v>555</v>
      </c>
    </row>
    <row r="2111" spans="1:10">
      <c r="A2111" t="s">
        <v>185</v>
      </c>
      <c r="B2111" t="s">
        <v>186</v>
      </c>
      <c r="C2111" t="s">
        <v>192</v>
      </c>
      <c r="D2111" t="s">
        <v>184</v>
      </c>
      <c r="E2111" t="s">
        <v>193</v>
      </c>
      <c r="F2111" t="s">
        <v>257</v>
      </c>
      <c r="G2111" t="s">
        <v>226</v>
      </c>
      <c r="H2111" t="s">
        <v>247</v>
      </c>
      <c r="I2111" t="s">
        <v>227</v>
      </c>
    </row>
    <row r="2112" spans="1:10">
      <c r="A2112" t="s">
        <v>195</v>
      </c>
      <c r="B2112" t="s">
        <v>202</v>
      </c>
      <c r="C2112">
        <v>533</v>
      </c>
      <c r="D2112" t="s">
        <v>194</v>
      </c>
      <c r="E2112">
        <v>2677</v>
      </c>
      <c r="F2112" s="3">
        <v>2.0000000000000001E-4</v>
      </c>
      <c r="G2112" s="3">
        <v>0.88580000000000003</v>
      </c>
      <c r="I2112" s="3">
        <v>0.114</v>
      </c>
    </row>
    <row r="2113" spans="1:9">
      <c r="A2113" t="s">
        <v>195</v>
      </c>
      <c r="B2113" t="s">
        <v>204</v>
      </c>
      <c r="C2113">
        <v>301</v>
      </c>
      <c r="D2113" t="s">
        <v>194</v>
      </c>
      <c r="E2113">
        <v>2677</v>
      </c>
      <c r="G2113" s="3">
        <v>0.94299999999999995</v>
      </c>
      <c r="I2113" s="3">
        <v>5.7000000000000002E-2</v>
      </c>
    </row>
    <row r="2114" spans="1:9">
      <c r="A2114" t="s">
        <v>195</v>
      </c>
      <c r="B2114" t="s">
        <v>205</v>
      </c>
      <c r="C2114">
        <v>334</v>
      </c>
      <c r="D2114" t="s">
        <v>194</v>
      </c>
      <c r="E2114">
        <v>2677</v>
      </c>
      <c r="G2114" s="3">
        <v>0.93630000000000002</v>
      </c>
      <c r="I2114" s="3">
        <v>6.3700000000000007E-2</v>
      </c>
    </row>
    <row r="2115" spans="1:9">
      <c r="A2115" t="s">
        <v>199</v>
      </c>
      <c r="B2115" t="s">
        <v>202</v>
      </c>
      <c r="C2115">
        <v>538</v>
      </c>
      <c r="D2115" t="s">
        <v>194</v>
      </c>
      <c r="E2115">
        <v>2677</v>
      </c>
      <c r="G2115" s="3">
        <v>0.6512</v>
      </c>
      <c r="H2115" s="3">
        <v>1.5E-3</v>
      </c>
      <c r="I2115" s="3">
        <v>0.3473</v>
      </c>
    </row>
    <row r="2116" spans="1:9">
      <c r="A2116" t="s">
        <v>199</v>
      </c>
      <c r="B2116" t="s">
        <v>204</v>
      </c>
      <c r="C2116">
        <v>426</v>
      </c>
      <c r="D2116" t="s">
        <v>194</v>
      </c>
      <c r="E2116">
        <v>2677</v>
      </c>
      <c r="F2116" s="3">
        <v>3.3999999999999998E-3</v>
      </c>
      <c r="G2116" s="3">
        <v>0.58430000000000004</v>
      </c>
      <c r="I2116" s="3">
        <v>0.4123</v>
      </c>
    </row>
    <row r="2117" spans="1:9">
      <c r="A2117" t="s">
        <v>199</v>
      </c>
      <c r="B2117" t="s">
        <v>205</v>
      </c>
      <c r="C2117">
        <v>506</v>
      </c>
      <c r="D2117" t="s">
        <v>194</v>
      </c>
      <c r="E2117">
        <v>2677</v>
      </c>
      <c r="F2117" s="3">
        <v>1.4E-3</v>
      </c>
      <c r="G2117" s="3">
        <v>0.71930000000000005</v>
      </c>
      <c r="H2117" s="3">
        <v>1.6000000000000001E-3</v>
      </c>
      <c r="I2117" s="3">
        <v>0.2777</v>
      </c>
    </row>
    <row r="2118" spans="1:9">
      <c r="A2118" t="s">
        <v>200</v>
      </c>
      <c r="B2118" t="s">
        <v>200</v>
      </c>
      <c r="C2118">
        <v>2677</v>
      </c>
      <c r="D2118" t="s">
        <v>200</v>
      </c>
      <c r="E2118">
        <v>2677</v>
      </c>
      <c r="F2118" s="3">
        <v>5.9999999999999995E-4</v>
      </c>
      <c r="G2118" s="3">
        <v>0.76319999999999999</v>
      </c>
      <c r="H2118" s="3">
        <v>6.9999999999999999E-4</v>
      </c>
      <c r="I2118" s="3">
        <v>0.2356</v>
      </c>
    </row>
    <row r="2120" spans="1:9" ht="45">
      <c r="A2120" s="22" t="s">
        <v>556</v>
      </c>
    </row>
    <row r="2121" spans="1:9">
      <c r="A2121" t="s">
        <v>185</v>
      </c>
      <c r="B2121" t="s">
        <v>186</v>
      </c>
      <c r="C2121" t="s">
        <v>192</v>
      </c>
      <c r="D2121" t="s">
        <v>184</v>
      </c>
      <c r="E2121" t="s">
        <v>193</v>
      </c>
      <c r="F2121" t="s">
        <v>257</v>
      </c>
      <c r="G2121" t="s">
        <v>226</v>
      </c>
      <c r="H2121" t="s">
        <v>247</v>
      </c>
      <c r="I2121" t="s">
        <v>227</v>
      </c>
    </row>
    <row r="2122" spans="1:9">
      <c r="A2122" t="s">
        <v>195</v>
      </c>
      <c r="B2122" t="s">
        <v>207</v>
      </c>
      <c r="C2122">
        <v>322</v>
      </c>
      <c r="D2122" t="s">
        <v>194</v>
      </c>
      <c r="E2122">
        <v>2677</v>
      </c>
      <c r="G2122" s="3">
        <v>0.9304</v>
      </c>
      <c r="I2122" s="3">
        <v>6.9599999999999995E-2</v>
      </c>
    </row>
    <row r="2123" spans="1:9">
      <c r="A2123" t="s">
        <v>195</v>
      </c>
      <c r="B2123" t="s">
        <v>209</v>
      </c>
      <c r="C2123">
        <v>867</v>
      </c>
      <c r="D2123" t="s">
        <v>194</v>
      </c>
      <c r="E2123">
        <v>2677</v>
      </c>
      <c r="F2123" s="3">
        <v>2.0000000000000001E-4</v>
      </c>
      <c r="G2123" s="3">
        <v>0.8962</v>
      </c>
      <c r="I2123" s="3">
        <v>0.1036</v>
      </c>
    </row>
    <row r="2124" spans="1:9">
      <c r="A2124" t="s">
        <v>199</v>
      </c>
      <c r="B2124" t="s">
        <v>207</v>
      </c>
      <c r="C2124">
        <v>283</v>
      </c>
      <c r="D2124" t="s">
        <v>194</v>
      </c>
      <c r="E2124">
        <v>2677</v>
      </c>
      <c r="F2124" s="3">
        <v>1E-3</v>
      </c>
      <c r="G2124" s="3">
        <v>0.71679999999999999</v>
      </c>
      <c r="H2124" s="3">
        <v>4.3E-3</v>
      </c>
      <c r="I2124" s="3">
        <v>0.27800000000000002</v>
      </c>
    </row>
    <row r="2125" spans="1:9">
      <c r="A2125" t="s">
        <v>199</v>
      </c>
      <c r="B2125" t="s">
        <v>209</v>
      </c>
      <c r="C2125">
        <v>1205</v>
      </c>
      <c r="D2125" t="s">
        <v>194</v>
      </c>
      <c r="E2125">
        <v>2677</v>
      </c>
      <c r="F2125" s="3">
        <v>8.9999999999999998E-4</v>
      </c>
      <c r="G2125" s="3">
        <v>0.64059999999999995</v>
      </c>
      <c r="H2125" s="3">
        <v>8.0000000000000004E-4</v>
      </c>
      <c r="I2125" s="3">
        <v>0.35770000000000002</v>
      </c>
    </row>
    <row r="2126" spans="1:9">
      <c r="A2126" t="s">
        <v>200</v>
      </c>
      <c r="B2126" t="s">
        <v>200</v>
      </c>
      <c r="C2126">
        <v>2677</v>
      </c>
      <c r="D2126" t="s">
        <v>200</v>
      </c>
      <c r="E2126">
        <v>2677</v>
      </c>
      <c r="F2126" s="3">
        <v>5.9999999999999995E-4</v>
      </c>
      <c r="G2126" s="3">
        <v>0.76319999999999999</v>
      </c>
      <c r="H2126" s="3">
        <v>6.9999999999999999E-4</v>
      </c>
      <c r="I2126" s="3">
        <v>0.2356</v>
      </c>
    </row>
    <row r="2128" spans="1:9" ht="45">
      <c r="A2128" s="22" t="s">
        <v>557</v>
      </c>
    </row>
    <row r="2129" spans="1:9">
      <c r="A2129" t="s">
        <v>185</v>
      </c>
      <c r="B2129" t="s">
        <v>192</v>
      </c>
      <c r="C2129" t="s">
        <v>184</v>
      </c>
      <c r="D2129" t="s">
        <v>193</v>
      </c>
      <c r="E2129" t="s">
        <v>257</v>
      </c>
      <c r="F2129" t="s">
        <v>226</v>
      </c>
      <c r="G2129" t="s">
        <v>247</v>
      </c>
      <c r="H2129" t="s">
        <v>227</v>
      </c>
    </row>
    <row r="2130" spans="1:9">
      <c r="A2130" t="s">
        <v>195</v>
      </c>
      <c r="B2130">
        <v>1189</v>
      </c>
      <c r="C2130" t="s">
        <v>194</v>
      </c>
      <c r="D2130">
        <v>2677</v>
      </c>
      <c r="E2130" s="3">
        <v>1E-4</v>
      </c>
      <c r="F2130" s="3">
        <v>0.90500000000000003</v>
      </c>
      <c r="H2130" s="3">
        <v>9.4899999999999998E-2</v>
      </c>
    </row>
    <row r="2131" spans="1:9">
      <c r="A2131" t="s">
        <v>199</v>
      </c>
      <c r="B2131">
        <v>1488</v>
      </c>
      <c r="C2131" t="s">
        <v>194</v>
      </c>
      <c r="D2131">
        <v>2677</v>
      </c>
      <c r="E2131" s="3">
        <v>8.9999999999999998E-4</v>
      </c>
      <c r="F2131" s="3">
        <v>0.64990000000000003</v>
      </c>
      <c r="G2131" s="3">
        <v>1.1999999999999999E-3</v>
      </c>
      <c r="H2131" s="3">
        <v>0.34799999999999998</v>
      </c>
    </row>
    <row r="2132" spans="1:9">
      <c r="A2132" t="s">
        <v>200</v>
      </c>
      <c r="B2132">
        <v>2677</v>
      </c>
      <c r="C2132" t="s">
        <v>200</v>
      </c>
      <c r="D2132">
        <v>2677</v>
      </c>
      <c r="E2132" s="3">
        <v>5.9999999999999995E-4</v>
      </c>
      <c r="F2132" s="3">
        <v>0.76319999999999999</v>
      </c>
      <c r="G2132" s="3">
        <v>6.9999999999999999E-4</v>
      </c>
      <c r="H2132" s="3">
        <v>0.2356</v>
      </c>
    </row>
    <row r="2134" spans="1:9" ht="30">
      <c r="A2134" s="22" t="s">
        <v>558</v>
      </c>
    </row>
    <row r="2135" spans="1:9">
      <c r="A2135" t="s">
        <v>185</v>
      </c>
      <c r="B2135" t="s">
        <v>186</v>
      </c>
      <c r="C2135" t="s">
        <v>192</v>
      </c>
      <c r="D2135" t="s">
        <v>184</v>
      </c>
      <c r="E2135" t="s">
        <v>193</v>
      </c>
      <c r="F2135" t="s">
        <v>257</v>
      </c>
      <c r="G2135" t="s">
        <v>226</v>
      </c>
      <c r="H2135" t="s">
        <v>247</v>
      </c>
      <c r="I2135" t="s">
        <v>227</v>
      </c>
    </row>
    <row r="2136" spans="1:9">
      <c r="A2136" t="s">
        <v>195</v>
      </c>
      <c r="B2136" t="s">
        <v>212</v>
      </c>
      <c r="C2136">
        <v>873</v>
      </c>
      <c r="D2136" t="s">
        <v>194</v>
      </c>
      <c r="E2136">
        <v>2677</v>
      </c>
      <c r="F2136" s="3">
        <v>2.0000000000000001E-4</v>
      </c>
      <c r="G2136" s="3">
        <v>0.9012</v>
      </c>
      <c r="I2136" s="3">
        <v>9.8599999999999993E-2</v>
      </c>
    </row>
    <row r="2137" spans="1:9">
      <c r="A2137" t="s">
        <v>195</v>
      </c>
      <c r="B2137" t="s">
        <v>214</v>
      </c>
      <c r="C2137">
        <v>181</v>
      </c>
      <c r="D2137" t="s">
        <v>194</v>
      </c>
      <c r="E2137">
        <v>2677</v>
      </c>
      <c r="G2137" s="3">
        <v>0.90369999999999995</v>
      </c>
      <c r="I2137" s="3">
        <v>9.6299999999999997E-2</v>
      </c>
    </row>
    <row r="2138" spans="1:9">
      <c r="A2138" t="s">
        <v>195</v>
      </c>
      <c r="B2138" t="s">
        <v>215</v>
      </c>
      <c r="C2138">
        <v>135</v>
      </c>
      <c r="D2138" t="s">
        <v>194</v>
      </c>
      <c r="E2138">
        <v>2677</v>
      </c>
      <c r="G2138" s="3">
        <v>0.94169999999999998</v>
      </c>
      <c r="I2138" s="3">
        <v>5.8299999999999998E-2</v>
      </c>
    </row>
    <row r="2139" spans="1:9">
      <c r="A2139" t="s">
        <v>199</v>
      </c>
      <c r="B2139" t="s">
        <v>212</v>
      </c>
      <c r="C2139">
        <v>1118</v>
      </c>
      <c r="D2139" t="s">
        <v>194</v>
      </c>
      <c r="E2139">
        <v>2677</v>
      </c>
      <c r="F2139" s="3">
        <v>1E-3</v>
      </c>
      <c r="G2139" s="3">
        <v>0.65680000000000005</v>
      </c>
      <c r="H2139" s="3">
        <v>1.2999999999999999E-3</v>
      </c>
      <c r="I2139" s="3">
        <v>0.34089999999999998</v>
      </c>
    </row>
    <row r="2140" spans="1:9">
      <c r="A2140" t="s">
        <v>199</v>
      </c>
      <c r="B2140" t="s">
        <v>214</v>
      </c>
      <c r="C2140">
        <v>197</v>
      </c>
      <c r="D2140" t="s">
        <v>194</v>
      </c>
      <c r="E2140">
        <v>2677</v>
      </c>
      <c r="F2140" s="3">
        <v>8.0000000000000004E-4</v>
      </c>
      <c r="G2140" s="3">
        <v>0.61509999999999998</v>
      </c>
      <c r="H2140" s="3">
        <v>1.8E-3</v>
      </c>
      <c r="I2140" s="3">
        <v>0.38219999999999998</v>
      </c>
    </row>
    <row r="2141" spans="1:9">
      <c r="A2141" t="s">
        <v>199</v>
      </c>
      <c r="B2141" t="s">
        <v>215</v>
      </c>
      <c r="C2141">
        <v>173</v>
      </c>
      <c r="D2141" t="s">
        <v>194</v>
      </c>
      <c r="E2141">
        <v>2677</v>
      </c>
      <c r="G2141" s="3">
        <v>0.64939999999999998</v>
      </c>
      <c r="I2141" s="3">
        <v>0.35060000000000002</v>
      </c>
    </row>
    <row r="2142" spans="1:9">
      <c r="A2142" t="s">
        <v>200</v>
      </c>
      <c r="B2142" t="s">
        <v>200</v>
      </c>
      <c r="C2142">
        <v>2677</v>
      </c>
      <c r="D2142" t="s">
        <v>200</v>
      </c>
      <c r="E2142">
        <v>2677</v>
      </c>
      <c r="F2142" s="3">
        <v>5.9999999999999995E-4</v>
      </c>
      <c r="G2142" s="3">
        <v>0.76319999999999999</v>
      </c>
      <c r="H2142" s="3">
        <v>6.9999999999999999E-4</v>
      </c>
      <c r="I2142" s="3">
        <v>0.2356</v>
      </c>
    </row>
    <row r="2144" spans="1:9" ht="30">
      <c r="A2144" s="22" t="s">
        <v>559</v>
      </c>
    </row>
    <row r="2145" spans="1:10">
      <c r="A2145" t="s">
        <v>185</v>
      </c>
      <c r="B2145" t="s">
        <v>186</v>
      </c>
      <c r="C2145" t="s">
        <v>192</v>
      </c>
      <c r="D2145" t="s">
        <v>184</v>
      </c>
      <c r="E2145" t="s">
        <v>193</v>
      </c>
      <c r="F2145" t="s">
        <v>257</v>
      </c>
      <c r="G2145" t="s">
        <v>226</v>
      </c>
      <c r="H2145" t="s">
        <v>247</v>
      </c>
      <c r="I2145" t="s">
        <v>227</v>
      </c>
    </row>
    <row r="2146" spans="1:10">
      <c r="A2146" t="s">
        <v>195</v>
      </c>
      <c r="B2146" t="s">
        <v>217</v>
      </c>
      <c r="C2146">
        <v>499</v>
      </c>
      <c r="D2146" t="s">
        <v>194</v>
      </c>
      <c r="E2146">
        <v>2677</v>
      </c>
      <c r="G2146" s="3">
        <v>0.94930000000000003</v>
      </c>
      <c r="I2146" s="3">
        <v>5.0700000000000002E-2</v>
      </c>
    </row>
    <row r="2147" spans="1:10">
      <c r="A2147" t="s">
        <v>195</v>
      </c>
      <c r="B2147" t="s">
        <v>219</v>
      </c>
      <c r="C2147">
        <v>507</v>
      </c>
      <c r="D2147" t="s">
        <v>194</v>
      </c>
      <c r="E2147">
        <v>2677</v>
      </c>
      <c r="F2147" s="3">
        <v>2.9999999999999997E-4</v>
      </c>
      <c r="G2147" s="3">
        <v>0.84750000000000003</v>
      </c>
      <c r="I2147" s="3">
        <v>0.1522</v>
      </c>
    </row>
    <row r="2148" spans="1:10">
      <c r="A2148" t="s">
        <v>195</v>
      </c>
      <c r="B2148" t="s">
        <v>220</v>
      </c>
      <c r="C2148">
        <v>182</v>
      </c>
      <c r="D2148" t="s">
        <v>194</v>
      </c>
      <c r="E2148">
        <v>2677</v>
      </c>
      <c r="G2148" s="3">
        <v>0.92530000000000001</v>
      </c>
      <c r="I2148" s="3">
        <v>7.4700000000000003E-2</v>
      </c>
    </row>
    <row r="2149" spans="1:10">
      <c r="A2149" t="s">
        <v>199</v>
      </c>
      <c r="B2149" t="s">
        <v>217</v>
      </c>
      <c r="C2149">
        <v>814</v>
      </c>
      <c r="D2149" t="s">
        <v>194</v>
      </c>
      <c r="E2149">
        <v>2677</v>
      </c>
      <c r="F2149" s="3">
        <v>1.2999999999999999E-3</v>
      </c>
      <c r="G2149" s="3">
        <v>0.66639999999999999</v>
      </c>
      <c r="I2149" s="3">
        <v>0.33229999999999998</v>
      </c>
    </row>
    <row r="2150" spans="1:10">
      <c r="A2150" t="s">
        <v>199</v>
      </c>
      <c r="B2150" t="s">
        <v>219</v>
      </c>
      <c r="C2150">
        <v>451</v>
      </c>
      <c r="D2150" t="s">
        <v>194</v>
      </c>
      <c r="E2150">
        <v>2677</v>
      </c>
      <c r="F2150" s="3">
        <v>5.0000000000000001E-4</v>
      </c>
      <c r="G2150" s="3">
        <v>0.6008</v>
      </c>
      <c r="H2150" s="3">
        <v>3.2000000000000002E-3</v>
      </c>
      <c r="I2150" s="3">
        <v>0.39550000000000002</v>
      </c>
    </row>
    <row r="2151" spans="1:10">
      <c r="A2151" t="s">
        <v>199</v>
      </c>
      <c r="B2151" t="s">
        <v>220</v>
      </c>
      <c r="C2151">
        <v>223</v>
      </c>
      <c r="D2151" t="s">
        <v>194</v>
      </c>
      <c r="E2151">
        <v>2677</v>
      </c>
      <c r="G2151" s="3">
        <v>0.66410000000000002</v>
      </c>
      <c r="H2151" s="3">
        <v>2.8E-3</v>
      </c>
      <c r="I2151" s="3">
        <v>0.33310000000000001</v>
      </c>
    </row>
    <row r="2152" spans="1:10">
      <c r="A2152" t="s">
        <v>200</v>
      </c>
      <c r="B2152" t="s">
        <v>200</v>
      </c>
      <c r="C2152">
        <v>2677</v>
      </c>
      <c r="D2152" t="s">
        <v>200</v>
      </c>
      <c r="E2152">
        <v>2677</v>
      </c>
      <c r="F2152" s="3">
        <v>5.9999999999999995E-4</v>
      </c>
      <c r="G2152" s="3">
        <v>0.76319999999999999</v>
      </c>
      <c r="H2152" s="3">
        <v>6.9999999999999999E-4</v>
      </c>
      <c r="I2152" s="3">
        <v>0.2356</v>
      </c>
    </row>
    <row r="2154" spans="1:10" ht="60">
      <c r="A2154" s="22" t="s">
        <v>560</v>
      </c>
    </row>
    <row r="2155" spans="1:10">
      <c r="A2155" t="s">
        <v>185</v>
      </c>
      <c r="B2155" t="s">
        <v>192</v>
      </c>
      <c r="C2155" t="s">
        <v>184</v>
      </c>
      <c r="D2155" t="s">
        <v>193</v>
      </c>
      <c r="E2155" t="s">
        <v>561</v>
      </c>
      <c r="F2155" t="s">
        <v>562</v>
      </c>
      <c r="G2155" t="s">
        <v>563</v>
      </c>
      <c r="H2155" t="s">
        <v>564</v>
      </c>
      <c r="I2155" t="s">
        <v>565</v>
      </c>
      <c r="J2155" t="s">
        <v>566</v>
      </c>
    </row>
    <row r="2156" spans="1:10">
      <c r="A2156" t="s">
        <v>195</v>
      </c>
      <c r="B2156">
        <v>1189</v>
      </c>
      <c r="C2156" t="s">
        <v>194</v>
      </c>
      <c r="D2156">
        <v>1397</v>
      </c>
      <c r="E2156" s="3">
        <v>2.4500000000000001E-2</v>
      </c>
      <c r="F2156" s="3">
        <v>0.79390000000000005</v>
      </c>
      <c r="G2156" s="3">
        <v>4.4699999999999997E-2</v>
      </c>
      <c r="H2156" s="3">
        <v>5.0099999999999999E-2</v>
      </c>
      <c r="I2156" s="3">
        <v>6.6900000000000001E-2</v>
      </c>
      <c r="J2156" s="3">
        <v>0.02</v>
      </c>
    </row>
    <row r="2157" spans="1:10">
      <c r="A2157" t="s">
        <v>199</v>
      </c>
      <c r="B2157">
        <v>208</v>
      </c>
      <c r="C2157" t="s">
        <v>194</v>
      </c>
      <c r="D2157">
        <v>1397</v>
      </c>
      <c r="E2157" s="3">
        <v>6.5299999999999997E-2</v>
      </c>
      <c r="F2157" s="3">
        <v>0.65139999999999998</v>
      </c>
      <c r="G2157" s="3">
        <v>3.2399999999999998E-2</v>
      </c>
      <c r="H2157" s="3">
        <v>7.5499999999999998E-2</v>
      </c>
      <c r="I2157" s="3">
        <v>0.14949999999999999</v>
      </c>
      <c r="J2157" s="3">
        <v>2.5999999999999999E-2</v>
      </c>
    </row>
    <row r="2158" spans="1:10">
      <c r="A2158" t="s">
        <v>200</v>
      </c>
      <c r="B2158">
        <v>1397</v>
      </c>
      <c r="C2158" t="s">
        <v>200</v>
      </c>
      <c r="D2158">
        <v>1397</v>
      </c>
      <c r="E2158" s="3">
        <v>2.8400000000000002E-2</v>
      </c>
      <c r="F2158" s="3">
        <v>0.7802</v>
      </c>
      <c r="G2158" s="3">
        <v>4.3499999999999997E-2</v>
      </c>
      <c r="H2158" s="3">
        <v>5.2499999999999998E-2</v>
      </c>
      <c r="I2158" s="3">
        <v>7.4800000000000005E-2</v>
      </c>
      <c r="J2158" s="3">
        <v>2.06E-2</v>
      </c>
    </row>
    <row r="2160" spans="1:10" ht="45">
      <c r="A2160" s="22" t="s">
        <v>567</v>
      </c>
    </row>
    <row r="2161" spans="1:20">
      <c r="A2161" t="s">
        <v>185</v>
      </c>
      <c r="B2161" t="s">
        <v>186</v>
      </c>
      <c r="C2161" t="s">
        <v>192</v>
      </c>
      <c r="D2161" t="s">
        <v>184</v>
      </c>
      <c r="E2161" t="s">
        <v>193</v>
      </c>
      <c r="F2161" t="s">
        <v>568</v>
      </c>
      <c r="G2161" t="s">
        <v>569</v>
      </c>
      <c r="H2161" t="s">
        <v>570</v>
      </c>
      <c r="I2161" t="s">
        <v>571</v>
      </c>
      <c r="J2161" t="s">
        <v>572</v>
      </c>
      <c r="K2161" t="s">
        <v>573</v>
      </c>
      <c r="L2161" t="s">
        <v>574</v>
      </c>
      <c r="M2161" t="s">
        <v>575</v>
      </c>
      <c r="N2161" t="s">
        <v>576</v>
      </c>
      <c r="O2161" t="s">
        <v>577</v>
      </c>
      <c r="P2161" t="s">
        <v>274</v>
      </c>
      <c r="Q2161" t="s">
        <v>578</v>
      </c>
      <c r="R2161" t="s">
        <v>247</v>
      </c>
      <c r="S2161" t="s">
        <v>579</v>
      </c>
      <c r="T2161" t="s">
        <v>580</v>
      </c>
    </row>
    <row r="2162" spans="1:20">
      <c r="A2162" t="s">
        <v>199</v>
      </c>
      <c r="B2162" t="s">
        <v>196</v>
      </c>
      <c r="C2162">
        <v>521</v>
      </c>
      <c r="D2162" t="s">
        <v>194</v>
      </c>
      <c r="E2162">
        <v>1476</v>
      </c>
      <c r="F2162" s="3">
        <v>8.1500000000000003E-2</v>
      </c>
      <c r="G2162" s="3">
        <v>1.6999999999999999E-3</v>
      </c>
      <c r="H2162" s="3">
        <v>5.9999999999999995E-4</v>
      </c>
      <c r="I2162" s="3">
        <v>0.12470000000000001</v>
      </c>
      <c r="J2162" s="3">
        <v>0.1812</v>
      </c>
      <c r="K2162" s="3">
        <v>1.9400000000000001E-2</v>
      </c>
      <c r="L2162" s="3">
        <v>7.0000000000000001E-3</v>
      </c>
      <c r="M2162" s="3">
        <v>3.4000000000000002E-2</v>
      </c>
      <c r="N2162" s="3">
        <v>6.4699999999999994E-2</v>
      </c>
      <c r="O2162" s="3">
        <v>1.0200000000000001E-2</v>
      </c>
      <c r="P2162" s="3">
        <v>1E-3</v>
      </c>
      <c r="Q2162" s="3">
        <v>0.3473</v>
      </c>
      <c r="R2162" s="3">
        <v>1.06E-2</v>
      </c>
      <c r="S2162" s="3">
        <v>0.58420000000000005</v>
      </c>
      <c r="T2162" s="3">
        <v>1.8700000000000001E-2</v>
      </c>
    </row>
    <row r="2163" spans="1:20">
      <c r="A2163" t="s">
        <v>199</v>
      </c>
      <c r="B2163" t="s">
        <v>198</v>
      </c>
      <c r="C2163">
        <v>937</v>
      </c>
      <c r="D2163" t="s">
        <v>194</v>
      </c>
      <c r="E2163">
        <v>1476</v>
      </c>
      <c r="F2163" s="3">
        <v>0.1229</v>
      </c>
      <c r="G2163" s="3">
        <v>1.17E-2</v>
      </c>
      <c r="H2163" s="3">
        <v>1.1000000000000001E-3</v>
      </c>
      <c r="I2163" s="3">
        <v>0.18859999999999999</v>
      </c>
      <c r="J2163" s="3">
        <v>0.1502</v>
      </c>
      <c r="K2163" s="3">
        <v>3.15E-2</v>
      </c>
      <c r="L2163" s="3">
        <v>1.44E-2</v>
      </c>
      <c r="M2163" s="3">
        <v>3.9600000000000003E-2</v>
      </c>
      <c r="N2163" s="3">
        <v>5.3600000000000002E-2</v>
      </c>
      <c r="O2163" s="3">
        <v>4.0000000000000001E-3</v>
      </c>
      <c r="P2163" s="3">
        <v>8.8999999999999999E-3</v>
      </c>
      <c r="Q2163" s="3">
        <v>0.47270000000000001</v>
      </c>
      <c r="R2163" s="3">
        <v>3.5000000000000001E-3</v>
      </c>
      <c r="S2163" s="3">
        <v>0.49680000000000002</v>
      </c>
      <c r="T2163" s="3">
        <v>1.2E-2</v>
      </c>
    </row>
    <row r="2164" spans="1:20">
      <c r="A2164" t="s">
        <v>200</v>
      </c>
      <c r="B2164" t="s">
        <v>200</v>
      </c>
      <c r="C2164">
        <v>1476</v>
      </c>
      <c r="D2164" t="s">
        <v>200</v>
      </c>
      <c r="E2164">
        <v>1476</v>
      </c>
      <c r="F2164" s="3">
        <v>0.11509999999999999</v>
      </c>
      <c r="G2164" s="3">
        <v>9.9000000000000008E-3</v>
      </c>
      <c r="H2164" s="3">
        <v>1.2999999999999999E-3</v>
      </c>
      <c r="I2164" s="3">
        <v>0.1767</v>
      </c>
      <c r="J2164" s="3">
        <v>0.15579999999999999</v>
      </c>
      <c r="K2164" s="3">
        <v>2.93E-2</v>
      </c>
      <c r="L2164" s="3">
        <v>1.2999999999999999E-2</v>
      </c>
      <c r="M2164" s="3">
        <v>3.8600000000000002E-2</v>
      </c>
      <c r="N2164" s="3">
        <v>5.5599999999999997E-2</v>
      </c>
      <c r="O2164" s="3">
        <v>5.1000000000000004E-3</v>
      </c>
      <c r="P2164" s="3">
        <v>7.4000000000000003E-3</v>
      </c>
      <c r="Q2164" s="3">
        <v>0.44940000000000002</v>
      </c>
      <c r="R2164" s="3">
        <v>4.7999999999999996E-3</v>
      </c>
      <c r="S2164" s="3">
        <v>0.51290000000000002</v>
      </c>
      <c r="T2164" s="3">
        <v>1.32E-2</v>
      </c>
    </row>
    <row r="2166" spans="1:20" ht="45">
      <c r="A2166" s="22" t="s">
        <v>581</v>
      </c>
    </row>
    <row r="2167" spans="1:20">
      <c r="A2167" t="s">
        <v>185</v>
      </c>
      <c r="B2167" t="s">
        <v>186</v>
      </c>
      <c r="C2167" t="s">
        <v>192</v>
      </c>
      <c r="D2167" t="s">
        <v>184</v>
      </c>
      <c r="E2167" t="s">
        <v>193</v>
      </c>
      <c r="F2167" t="s">
        <v>568</v>
      </c>
      <c r="G2167" t="s">
        <v>569</v>
      </c>
      <c r="H2167" t="s">
        <v>570</v>
      </c>
      <c r="I2167" t="s">
        <v>571</v>
      </c>
      <c r="J2167" t="s">
        <v>572</v>
      </c>
      <c r="K2167" t="s">
        <v>573</v>
      </c>
      <c r="L2167" t="s">
        <v>574</v>
      </c>
      <c r="M2167" t="s">
        <v>575</v>
      </c>
      <c r="N2167" t="s">
        <v>576</v>
      </c>
      <c r="O2167" t="s">
        <v>577</v>
      </c>
      <c r="P2167" t="s">
        <v>274</v>
      </c>
      <c r="Q2167" t="s">
        <v>578</v>
      </c>
      <c r="R2167" t="s">
        <v>247</v>
      </c>
      <c r="S2167" t="s">
        <v>579</v>
      </c>
      <c r="T2167" t="s">
        <v>580</v>
      </c>
    </row>
    <row r="2168" spans="1:20">
      <c r="A2168" t="s">
        <v>199</v>
      </c>
      <c r="B2168" t="s">
        <v>202</v>
      </c>
      <c r="C2168">
        <v>535</v>
      </c>
      <c r="D2168" t="s">
        <v>194</v>
      </c>
      <c r="E2168">
        <v>1476</v>
      </c>
      <c r="F2168" s="3">
        <v>9.8799999999999999E-2</v>
      </c>
      <c r="G2168" s="3">
        <v>0.01</v>
      </c>
      <c r="I2168" s="3">
        <v>0.14749999999999999</v>
      </c>
      <c r="J2168" s="3">
        <v>0.16980000000000001</v>
      </c>
      <c r="K2168" s="3">
        <v>2.9899999999999999E-2</v>
      </c>
      <c r="L2168" s="3">
        <v>1.4999999999999999E-2</v>
      </c>
      <c r="M2168" s="3">
        <v>3.4799999999999998E-2</v>
      </c>
      <c r="N2168" s="3">
        <v>4.1399999999999999E-2</v>
      </c>
      <c r="O2168" s="3">
        <v>5.0000000000000001E-3</v>
      </c>
      <c r="P2168" s="3">
        <v>1.0800000000000001E-2</v>
      </c>
      <c r="Q2168" s="3">
        <v>0.41199999999999998</v>
      </c>
      <c r="R2168" s="3">
        <v>5.8999999999999999E-3</v>
      </c>
      <c r="S2168" s="3">
        <v>0.5978</v>
      </c>
      <c r="T2168" s="3">
        <v>1.34E-2</v>
      </c>
    </row>
    <row r="2169" spans="1:20">
      <c r="A2169" t="s">
        <v>199</v>
      </c>
      <c r="B2169" t="s">
        <v>204</v>
      </c>
      <c r="C2169">
        <v>422</v>
      </c>
      <c r="D2169" t="s">
        <v>194</v>
      </c>
      <c r="E2169">
        <v>1476</v>
      </c>
      <c r="F2169" s="3">
        <v>0.112</v>
      </c>
      <c r="G2169" s="3">
        <v>6.7999999999999996E-3</v>
      </c>
      <c r="H2169" s="3">
        <v>1.6000000000000001E-3</v>
      </c>
      <c r="I2169" s="3">
        <v>0.2087</v>
      </c>
      <c r="J2169" s="3">
        <v>0.12670000000000001</v>
      </c>
      <c r="K2169" s="3">
        <v>3.0200000000000001E-2</v>
      </c>
      <c r="L2169" s="3">
        <v>8.5000000000000006E-3</v>
      </c>
      <c r="M2169" s="3">
        <v>4.1799999999999997E-2</v>
      </c>
      <c r="N2169" s="3">
        <v>6.6400000000000001E-2</v>
      </c>
      <c r="O2169" s="3">
        <v>6.7999999999999996E-3</v>
      </c>
      <c r="P2169" s="3">
        <v>8.9999999999999998E-4</v>
      </c>
      <c r="Q2169" s="3">
        <v>0.53620000000000001</v>
      </c>
      <c r="R2169" s="3">
        <v>3.3999999999999998E-3</v>
      </c>
      <c r="S2169" s="3">
        <v>0.47870000000000001</v>
      </c>
      <c r="T2169" s="3">
        <v>3.2000000000000002E-3</v>
      </c>
    </row>
    <row r="2170" spans="1:20">
      <c r="A2170" t="s">
        <v>199</v>
      </c>
      <c r="B2170" t="s">
        <v>205</v>
      </c>
      <c r="C2170">
        <v>501</v>
      </c>
      <c r="D2170" t="s">
        <v>194</v>
      </c>
      <c r="E2170">
        <v>1476</v>
      </c>
      <c r="F2170" s="3">
        <v>0.1812</v>
      </c>
      <c r="G2170" s="3">
        <v>1.2800000000000001E-2</v>
      </c>
      <c r="H2170" s="3">
        <v>4.3E-3</v>
      </c>
      <c r="I2170" s="3">
        <v>0.25030000000000002</v>
      </c>
      <c r="J2170" s="3">
        <v>0.1371</v>
      </c>
      <c r="K2170" s="3">
        <v>2.58E-2</v>
      </c>
      <c r="L2170" s="3">
        <v>1.0999999999999999E-2</v>
      </c>
      <c r="M2170" s="3">
        <v>4.9299999999999997E-2</v>
      </c>
      <c r="N2170" s="3">
        <v>9.7100000000000006E-2</v>
      </c>
      <c r="O2170" s="3">
        <v>3.5000000000000001E-3</v>
      </c>
      <c r="P2170" s="3">
        <v>2.3999999999999998E-3</v>
      </c>
      <c r="Q2170" s="3">
        <v>0.4919</v>
      </c>
      <c r="R2170" s="3">
        <v>2.3E-3</v>
      </c>
      <c r="S2170" s="3">
        <v>0.23280000000000001</v>
      </c>
      <c r="T2170" s="3">
        <v>2.4199999999999999E-2</v>
      </c>
    </row>
    <row r="2171" spans="1:20">
      <c r="A2171" t="s">
        <v>200</v>
      </c>
      <c r="B2171" t="s">
        <v>200</v>
      </c>
      <c r="C2171">
        <v>1476</v>
      </c>
      <c r="D2171" t="s">
        <v>200</v>
      </c>
      <c r="E2171">
        <v>1476</v>
      </c>
      <c r="F2171" s="3">
        <v>0.11509999999999999</v>
      </c>
      <c r="G2171" s="3">
        <v>9.9000000000000008E-3</v>
      </c>
      <c r="H2171" s="3">
        <v>1.2999999999999999E-3</v>
      </c>
      <c r="I2171" s="3">
        <v>0.1767</v>
      </c>
      <c r="J2171" s="3">
        <v>0.15579999999999999</v>
      </c>
      <c r="K2171" s="3">
        <v>2.93E-2</v>
      </c>
      <c r="L2171" s="3">
        <v>1.2999999999999999E-2</v>
      </c>
      <c r="M2171" s="3">
        <v>3.8600000000000002E-2</v>
      </c>
      <c r="N2171" s="3">
        <v>5.5599999999999997E-2</v>
      </c>
      <c r="O2171" s="3">
        <v>5.1000000000000004E-3</v>
      </c>
      <c r="P2171" s="3">
        <v>7.4000000000000003E-3</v>
      </c>
      <c r="Q2171" s="3">
        <v>0.44940000000000002</v>
      </c>
      <c r="R2171" s="3">
        <v>4.7999999999999996E-3</v>
      </c>
      <c r="S2171" s="3">
        <v>0.51290000000000002</v>
      </c>
      <c r="T2171" s="3">
        <v>1.32E-2</v>
      </c>
    </row>
    <row r="2173" spans="1:20" ht="45">
      <c r="A2173" s="22" t="s">
        <v>582</v>
      </c>
    </row>
    <row r="2174" spans="1:20">
      <c r="A2174" t="s">
        <v>185</v>
      </c>
      <c r="B2174" t="s">
        <v>186</v>
      </c>
      <c r="C2174" t="s">
        <v>192</v>
      </c>
      <c r="D2174" t="s">
        <v>184</v>
      </c>
      <c r="E2174" t="s">
        <v>193</v>
      </c>
      <c r="F2174" t="s">
        <v>568</v>
      </c>
      <c r="G2174" t="s">
        <v>569</v>
      </c>
      <c r="H2174" t="s">
        <v>570</v>
      </c>
      <c r="I2174" t="s">
        <v>571</v>
      </c>
      <c r="J2174" t="s">
        <v>572</v>
      </c>
      <c r="K2174" t="s">
        <v>573</v>
      </c>
      <c r="L2174" t="s">
        <v>574</v>
      </c>
      <c r="M2174" t="s">
        <v>575</v>
      </c>
      <c r="N2174" t="s">
        <v>576</v>
      </c>
      <c r="O2174" t="s">
        <v>577</v>
      </c>
      <c r="P2174" t="s">
        <v>274</v>
      </c>
      <c r="Q2174" t="s">
        <v>578</v>
      </c>
      <c r="R2174" t="s">
        <v>247</v>
      </c>
      <c r="S2174" t="s">
        <v>579</v>
      </c>
      <c r="T2174" t="s">
        <v>580</v>
      </c>
    </row>
    <row r="2175" spans="1:20">
      <c r="A2175" t="s">
        <v>199</v>
      </c>
      <c r="B2175" t="s">
        <v>207</v>
      </c>
      <c r="C2175">
        <v>280</v>
      </c>
      <c r="D2175" t="s">
        <v>194</v>
      </c>
      <c r="E2175">
        <v>1476</v>
      </c>
      <c r="F2175" s="3">
        <v>0.14710000000000001</v>
      </c>
      <c r="G2175" s="3">
        <v>2.4400000000000002E-2</v>
      </c>
      <c r="H2175" s="3">
        <v>1.9E-3</v>
      </c>
      <c r="I2175" s="3">
        <v>0.12640000000000001</v>
      </c>
      <c r="J2175" s="3">
        <v>7.1499999999999994E-2</v>
      </c>
      <c r="K2175" s="3">
        <v>1.23E-2</v>
      </c>
      <c r="L2175" s="3">
        <v>2.0400000000000001E-2</v>
      </c>
      <c r="M2175" s="3">
        <v>6.4699999999999994E-2</v>
      </c>
      <c r="N2175" s="3">
        <v>6.4199999999999993E-2</v>
      </c>
      <c r="O2175" s="3">
        <v>1.29E-2</v>
      </c>
      <c r="P2175" s="3">
        <v>2.5000000000000001E-3</v>
      </c>
      <c r="Q2175" s="3">
        <v>0.39529999999999998</v>
      </c>
      <c r="R2175" s="3">
        <v>1.1999999999999999E-3</v>
      </c>
      <c r="S2175" s="3">
        <v>0.48060000000000003</v>
      </c>
      <c r="T2175" s="3">
        <v>1.5299999999999999E-2</v>
      </c>
    </row>
    <row r="2176" spans="1:20">
      <c r="A2176" t="s">
        <v>199</v>
      </c>
      <c r="B2176" t="s">
        <v>209</v>
      </c>
      <c r="C2176">
        <v>1196</v>
      </c>
      <c r="D2176" t="s">
        <v>194</v>
      </c>
      <c r="E2176">
        <v>1476</v>
      </c>
      <c r="F2176" s="3">
        <v>0.11070000000000001</v>
      </c>
      <c r="G2176" s="3">
        <v>7.9000000000000008E-3</v>
      </c>
      <c r="H2176" s="3">
        <v>1.1999999999999999E-3</v>
      </c>
      <c r="I2176" s="3">
        <v>0.18360000000000001</v>
      </c>
      <c r="J2176" s="3">
        <v>0.16739999999999999</v>
      </c>
      <c r="K2176" s="3">
        <v>3.1600000000000003E-2</v>
      </c>
      <c r="L2176" s="3">
        <v>1.2E-2</v>
      </c>
      <c r="M2176" s="3">
        <v>3.49E-2</v>
      </c>
      <c r="N2176" s="3">
        <v>5.4399999999999997E-2</v>
      </c>
      <c r="O2176" s="3">
        <v>4.0000000000000001E-3</v>
      </c>
      <c r="P2176" s="3">
        <v>8.0999999999999996E-3</v>
      </c>
      <c r="Q2176" s="3">
        <v>0.45689999999999997</v>
      </c>
      <c r="R2176" s="3">
        <v>5.3E-3</v>
      </c>
      <c r="S2176" s="3">
        <v>0.51739999999999997</v>
      </c>
      <c r="T2176" s="3">
        <v>1.29E-2</v>
      </c>
    </row>
    <row r="2177" spans="1:20">
      <c r="A2177" t="s">
        <v>200</v>
      </c>
      <c r="B2177" t="s">
        <v>200</v>
      </c>
      <c r="C2177">
        <v>1476</v>
      </c>
      <c r="D2177" t="s">
        <v>200</v>
      </c>
      <c r="E2177">
        <v>1476</v>
      </c>
      <c r="F2177" s="3">
        <v>0.11509999999999999</v>
      </c>
      <c r="G2177" s="3">
        <v>9.9000000000000008E-3</v>
      </c>
      <c r="H2177" s="3">
        <v>1.2999999999999999E-3</v>
      </c>
      <c r="I2177" s="3">
        <v>0.1767</v>
      </c>
      <c r="J2177" s="3">
        <v>0.15579999999999999</v>
      </c>
      <c r="K2177" s="3">
        <v>2.93E-2</v>
      </c>
      <c r="L2177" s="3">
        <v>1.2999999999999999E-2</v>
      </c>
      <c r="M2177" s="3">
        <v>3.8600000000000002E-2</v>
      </c>
      <c r="N2177" s="3">
        <v>5.5599999999999997E-2</v>
      </c>
      <c r="O2177" s="3">
        <v>5.1000000000000004E-3</v>
      </c>
      <c r="P2177" s="3">
        <v>7.4000000000000003E-3</v>
      </c>
      <c r="Q2177" s="3">
        <v>0.44940000000000002</v>
      </c>
      <c r="R2177" s="3">
        <v>4.7999999999999996E-3</v>
      </c>
      <c r="S2177" s="3">
        <v>0.51290000000000002</v>
      </c>
      <c r="T2177" s="3">
        <v>1.32E-2</v>
      </c>
    </row>
    <row r="2179" spans="1:20" ht="45">
      <c r="A2179" s="22" t="s">
        <v>583</v>
      </c>
    </row>
    <row r="2180" spans="1:20">
      <c r="A2180" t="s">
        <v>185</v>
      </c>
      <c r="B2180" t="s">
        <v>186</v>
      </c>
      <c r="C2180" t="s">
        <v>192</v>
      </c>
      <c r="D2180" t="s">
        <v>184</v>
      </c>
      <c r="E2180" t="s">
        <v>193</v>
      </c>
      <c r="F2180" t="s">
        <v>568</v>
      </c>
      <c r="G2180" t="s">
        <v>569</v>
      </c>
      <c r="H2180" t="s">
        <v>570</v>
      </c>
      <c r="I2180" t="s">
        <v>571</v>
      </c>
      <c r="J2180" t="s">
        <v>572</v>
      </c>
      <c r="K2180" t="s">
        <v>573</v>
      </c>
      <c r="L2180" t="s">
        <v>574</v>
      </c>
      <c r="M2180" t="s">
        <v>575</v>
      </c>
      <c r="N2180" t="s">
        <v>576</v>
      </c>
      <c r="O2180" t="s">
        <v>577</v>
      </c>
      <c r="P2180" t="s">
        <v>274</v>
      </c>
      <c r="Q2180" t="s">
        <v>578</v>
      </c>
      <c r="R2180" t="s">
        <v>247</v>
      </c>
      <c r="S2180" t="s">
        <v>579</v>
      </c>
      <c r="T2180" t="s">
        <v>580</v>
      </c>
    </row>
    <row r="2181" spans="1:20">
      <c r="A2181" t="s">
        <v>199</v>
      </c>
      <c r="B2181" t="s">
        <v>212</v>
      </c>
      <c r="C2181">
        <v>1109</v>
      </c>
      <c r="D2181" t="s">
        <v>194</v>
      </c>
      <c r="E2181">
        <v>1476</v>
      </c>
      <c r="F2181" s="3">
        <v>0.1181</v>
      </c>
      <c r="G2181" s="3">
        <v>4.7999999999999996E-3</v>
      </c>
      <c r="H2181" s="3">
        <v>1E-3</v>
      </c>
      <c r="I2181" s="3">
        <v>0.1666</v>
      </c>
      <c r="J2181" s="3">
        <v>0.1462</v>
      </c>
      <c r="K2181" s="3">
        <v>2.0799999999999999E-2</v>
      </c>
      <c r="L2181" s="3">
        <v>1.61E-2</v>
      </c>
      <c r="M2181" s="3">
        <v>4.3499999999999997E-2</v>
      </c>
      <c r="N2181" s="3">
        <v>0.05</v>
      </c>
      <c r="O2181" s="3">
        <v>5.3E-3</v>
      </c>
      <c r="P2181" s="3">
        <v>9.7000000000000003E-3</v>
      </c>
      <c r="Q2181" s="3">
        <v>0.49280000000000002</v>
      </c>
      <c r="R2181" s="3">
        <v>3.3999999999999998E-3</v>
      </c>
      <c r="S2181" s="3">
        <v>0.48220000000000002</v>
      </c>
      <c r="T2181" s="3">
        <v>1.49E-2</v>
      </c>
    </row>
    <row r="2182" spans="1:20">
      <c r="A2182" t="s">
        <v>199</v>
      </c>
      <c r="B2182" t="s">
        <v>214</v>
      </c>
      <c r="C2182">
        <v>194</v>
      </c>
      <c r="D2182" t="s">
        <v>194</v>
      </c>
      <c r="E2182">
        <v>1476</v>
      </c>
      <c r="F2182" s="3">
        <v>0.14649999999999999</v>
      </c>
      <c r="G2182" s="3">
        <v>3.6799999999999999E-2</v>
      </c>
      <c r="H2182" s="3">
        <v>2.5000000000000001E-3</v>
      </c>
      <c r="I2182" s="3">
        <v>0.22370000000000001</v>
      </c>
      <c r="J2182" s="3">
        <v>0.18590000000000001</v>
      </c>
      <c r="K2182" s="3">
        <v>6.1100000000000002E-2</v>
      </c>
      <c r="L2182" s="3">
        <v>1.4E-3</v>
      </c>
      <c r="M2182" s="3">
        <v>7.7999999999999996E-3</v>
      </c>
      <c r="N2182" s="3">
        <v>0.1012</v>
      </c>
      <c r="Q2182" s="3">
        <v>0.28349999999999997</v>
      </c>
      <c r="R2182" s="3">
        <v>8.0000000000000002E-3</v>
      </c>
      <c r="S2182" s="3">
        <v>0.62280000000000002</v>
      </c>
      <c r="T2182" s="3">
        <v>8.9999999999999998E-4</v>
      </c>
    </row>
    <row r="2183" spans="1:20">
      <c r="A2183" t="s">
        <v>199</v>
      </c>
      <c r="B2183" t="s">
        <v>215</v>
      </c>
      <c r="C2183">
        <v>173</v>
      </c>
      <c r="D2183" t="s">
        <v>194</v>
      </c>
      <c r="E2183">
        <v>1476</v>
      </c>
      <c r="F2183" s="3">
        <v>3.2300000000000002E-2</v>
      </c>
      <c r="G2183" s="3">
        <v>7.4000000000000003E-3</v>
      </c>
      <c r="H2183" s="3">
        <v>1.5E-3</v>
      </c>
      <c r="I2183" s="3">
        <v>0.18429999999999999</v>
      </c>
      <c r="J2183" s="3">
        <v>0.188</v>
      </c>
      <c r="K2183" s="3">
        <v>4.87E-2</v>
      </c>
      <c r="L2183" s="3">
        <v>6.7000000000000002E-3</v>
      </c>
      <c r="M2183" s="3">
        <v>4.87E-2</v>
      </c>
      <c r="N2183" s="3">
        <v>2.47E-2</v>
      </c>
      <c r="O2183" s="3">
        <v>1.2699999999999999E-2</v>
      </c>
      <c r="Q2183" s="3">
        <v>0.3533</v>
      </c>
      <c r="R2183" s="3">
        <v>1.18E-2</v>
      </c>
      <c r="S2183" s="3">
        <v>0.59379999999999999</v>
      </c>
      <c r="T2183" s="3">
        <v>2.0199999999999999E-2</v>
      </c>
    </row>
    <row r="2184" spans="1:20">
      <c r="A2184" t="s">
        <v>200</v>
      </c>
      <c r="B2184" t="s">
        <v>200</v>
      </c>
      <c r="C2184">
        <v>1476</v>
      </c>
      <c r="D2184" t="s">
        <v>200</v>
      </c>
      <c r="E2184">
        <v>1476</v>
      </c>
      <c r="F2184" s="3">
        <v>0.11509999999999999</v>
      </c>
      <c r="G2184" s="3">
        <v>9.9000000000000008E-3</v>
      </c>
      <c r="H2184" s="3">
        <v>1.2999999999999999E-3</v>
      </c>
      <c r="I2184" s="3">
        <v>0.1767</v>
      </c>
      <c r="J2184" s="3">
        <v>0.15579999999999999</v>
      </c>
      <c r="K2184" s="3">
        <v>2.93E-2</v>
      </c>
      <c r="L2184" s="3">
        <v>1.2999999999999999E-2</v>
      </c>
      <c r="M2184" s="3">
        <v>3.8600000000000002E-2</v>
      </c>
      <c r="N2184" s="3">
        <v>5.5599999999999997E-2</v>
      </c>
      <c r="O2184" s="3">
        <v>5.1000000000000004E-3</v>
      </c>
      <c r="P2184" s="3">
        <v>7.4000000000000003E-3</v>
      </c>
      <c r="Q2184" s="3">
        <v>0.44940000000000002</v>
      </c>
      <c r="R2184" s="3">
        <v>4.7999999999999996E-3</v>
      </c>
      <c r="S2184" s="3">
        <v>0.51290000000000002</v>
      </c>
      <c r="T2184" s="3">
        <v>1.32E-2</v>
      </c>
    </row>
    <row r="2186" spans="1:20" ht="45">
      <c r="A2186" s="22" t="s">
        <v>584</v>
      </c>
    </row>
    <row r="2187" spans="1:20">
      <c r="A2187" t="s">
        <v>185</v>
      </c>
      <c r="B2187" t="s">
        <v>186</v>
      </c>
      <c r="C2187" t="s">
        <v>192</v>
      </c>
      <c r="D2187" t="s">
        <v>184</v>
      </c>
      <c r="E2187" t="s">
        <v>193</v>
      </c>
      <c r="F2187" t="s">
        <v>568</v>
      </c>
      <c r="G2187" t="s">
        <v>569</v>
      </c>
      <c r="H2187" t="s">
        <v>570</v>
      </c>
      <c r="I2187" t="s">
        <v>571</v>
      </c>
      <c r="J2187" t="s">
        <v>572</v>
      </c>
      <c r="K2187" t="s">
        <v>573</v>
      </c>
      <c r="L2187" t="s">
        <v>574</v>
      </c>
      <c r="M2187" t="s">
        <v>575</v>
      </c>
      <c r="N2187" t="s">
        <v>576</v>
      </c>
      <c r="O2187" t="s">
        <v>577</v>
      </c>
      <c r="P2187" t="s">
        <v>274</v>
      </c>
      <c r="Q2187" t="s">
        <v>578</v>
      </c>
      <c r="R2187" t="s">
        <v>247</v>
      </c>
      <c r="S2187" t="s">
        <v>579</v>
      </c>
      <c r="T2187" t="s">
        <v>580</v>
      </c>
    </row>
    <row r="2188" spans="1:20">
      <c r="A2188" t="s">
        <v>199</v>
      </c>
      <c r="B2188" t="s">
        <v>217</v>
      </c>
      <c r="C2188">
        <v>809</v>
      </c>
      <c r="D2188" t="s">
        <v>194</v>
      </c>
      <c r="E2188">
        <v>1476</v>
      </c>
      <c r="F2188" s="3">
        <v>0.1139</v>
      </c>
      <c r="G2188" s="3">
        <v>5.8999999999999999E-3</v>
      </c>
      <c r="H2188" s="3">
        <v>4.0000000000000002E-4</v>
      </c>
      <c r="I2188" s="3">
        <v>0.17580000000000001</v>
      </c>
      <c r="J2188" s="3">
        <v>0.14630000000000001</v>
      </c>
      <c r="K2188" s="3">
        <v>1.9599999999999999E-2</v>
      </c>
      <c r="L2188" s="3">
        <v>1.7299999999999999E-2</v>
      </c>
      <c r="M2188" s="3">
        <v>5.21E-2</v>
      </c>
      <c r="N2188" s="3">
        <v>4.07E-2</v>
      </c>
      <c r="O2188" s="3">
        <v>4.4999999999999997E-3</v>
      </c>
      <c r="P2188" s="3">
        <v>1.0999999999999999E-2</v>
      </c>
      <c r="Q2188" s="3">
        <v>0.50649999999999995</v>
      </c>
      <c r="R2188" s="3">
        <v>5.1000000000000004E-3</v>
      </c>
      <c r="S2188" s="3">
        <v>0.49130000000000001</v>
      </c>
      <c r="T2188" s="3">
        <v>1.83E-2</v>
      </c>
    </row>
    <row r="2189" spans="1:20">
      <c r="A2189" t="s">
        <v>199</v>
      </c>
      <c r="B2189" t="s">
        <v>219</v>
      </c>
      <c r="C2189">
        <v>449</v>
      </c>
      <c r="D2189" t="s">
        <v>194</v>
      </c>
      <c r="E2189">
        <v>1476</v>
      </c>
      <c r="F2189" s="3">
        <v>0.13289999999999999</v>
      </c>
      <c r="G2189" s="3">
        <v>2.29E-2</v>
      </c>
      <c r="H2189" s="3">
        <v>2.2000000000000001E-3</v>
      </c>
      <c r="I2189" s="3">
        <v>0.1986</v>
      </c>
      <c r="J2189" s="3">
        <v>0.15859999999999999</v>
      </c>
      <c r="K2189" s="3">
        <v>3.8800000000000001E-2</v>
      </c>
      <c r="L2189" s="3">
        <v>6.1999999999999998E-3</v>
      </c>
      <c r="M2189" s="3">
        <v>2.3400000000000001E-2</v>
      </c>
      <c r="N2189" s="3">
        <v>7.7299999999999994E-2</v>
      </c>
      <c r="O2189" s="3">
        <v>5.1999999999999998E-3</v>
      </c>
      <c r="P2189" s="3">
        <v>1.8E-3</v>
      </c>
      <c r="Q2189" s="3">
        <v>0.35949999999999999</v>
      </c>
      <c r="R2189" s="3">
        <v>1.6000000000000001E-3</v>
      </c>
      <c r="S2189" s="3">
        <v>0.5837</v>
      </c>
      <c r="T2189" s="3">
        <v>7.3000000000000001E-3</v>
      </c>
    </row>
    <row r="2190" spans="1:20">
      <c r="A2190" t="s">
        <v>199</v>
      </c>
      <c r="B2190" t="s">
        <v>220</v>
      </c>
      <c r="C2190">
        <v>218</v>
      </c>
      <c r="D2190" t="s">
        <v>194</v>
      </c>
      <c r="E2190">
        <v>1476</v>
      </c>
      <c r="F2190" s="3">
        <v>9.1899999999999996E-2</v>
      </c>
      <c r="G2190" s="3">
        <v>4.1999999999999997E-3</v>
      </c>
      <c r="H2190" s="3">
        <v>3.3E-3</v>
      </c>
      <c r="I2190" s="3">
        <v>0.14549999999999999</v>
      </c>
      <c r="J2190" s="3">
        <v>0.1875</v>
      </c>
      <c r="K2190" s="3">
        <v>5.11E-2</v>
      </c>
      <c r="L2190" s="3">
        <v>7.4999999999999997E-3</v>
      </c>
      <c r="M2190" s="3">
        <v>1.11E-2</v>
      </c>
      <c r="N2190" s="3">
        <v>7.8200000000000006E-2</v>
      </c>
      <c r="O2190" s="3">
        <v>7.1999999999999998E-3</v>
      </c>
      <c r="P2190" s="3">
        <v>2.8E-3</v>
      </c>
      <c r="Q2190" s="3">
        <v>0.37430000000000002</v>
      </c>
      <c r="R2190" s="3">
        <v>8.8000000000000005E-3</v>
      </c>
      <c r="S2190" s="3">
        <v>0.48299999999999998</v>
      </c>
      <c r="T2190" s="3">
        <v>3.0999999999999999E-3</v>
      </c>
    </row>
    <row r="2191" spans="1:20">
      <c r="A2191" t="s">
        <v>200</v>
      </c>
      <c r="B2191" t="s">
        <v>200</v>
      </c>
      <c r="C2191">
        <v>1476</v>
      </c>
      <c r="D2191" t="s">
        <v>200</v>
      </c>
      <c r="E2191">
        <v>1476</v>
      </c>
      <c r="F2191" s="3">
        <v>0.11509999999999999</v>
      </c>
      <c r="G2191" s="3">
        <v>9.9000000000000008E-3</v>
      </c>
      <c r="H2191" s="3">
        <v>1.2999999999999999E-3</v>
      </c>
      <c r="I2191" s="3">
        <v>0.1767</v>
      </c>
      <c r="J2191" s="3">
        <v>0.15579999999999999</v>
      </c>
      <c r="K2191" s="3">
        <v>2.93E-2</v>
      </c>
      <c r="L2191" s="3">
        <v>1.2999999999999999E-2</v>
      </c>
      <c r="M2191" s="3">
        <v>3.8600000000000002E-2</v>
      </c>
      <c r="N2191" s="3">
        <v>5.5599999999999997E-2</v>
      </c>
      <c r="O2191" s="3">
        <v>5.1000000000000004E-3</v>
      </c>
      <c r="P2191" s="3">
        <v>7.4000000000000003E-3</v>
      </c>
      <c r="Q2191" s="3">
        <v>0.44940000000000002</v>
      </c>
      <c r="R2191" s="3">
        <v>4.7999999999999996E-3</v>
      </c>
      <c r="S2191" s="3">
        <v>0.51290000000000002</v>
      </c>
      <c r="T2191" s="3">
        <v>1.32E-2</v>
      </c>
    </row>
    <row r="2193" spans="1:13" ht="45">
      <c r="A2193" s="22" t="s">
        <v>585</v>
      </c>
    </row>
    <row r="2194" spans="1:13">
      <c r="A2194" t="s">
        <v>185</v>
      </c>
      <c r="B2194" t="s">
        <v>186</v>
      </c>
      <c r="C2194" t="s">
        <v>192</v>
      </c>
      <c r="D2194" t="s">
        <v>184</v>
      </c>
      <c r="E2194" t="s">
        <v>193</v>
      </c>
      <c r="F2194" t="s">
        <v>586</v>
      </c>
      <c r="G2194" t="s">
        <v>587</v>
      </c>
      <c r="H2194" t="s">
        <v>588</v>
      </c>
      <c r="I2194" t="s">
        <v>589</v>
      </c>
      <c r="J2194" t="s">
        <v>590</v>
      </c>
      <c r="K2194" t="s">
        <v>591</v>
      </c>
      <c r="L2194" t="s">
        <v>247</v>
      </c>
      <c r="M2194" t="s">
        <v>592</v>
      </c>
    </row>
    <row r="2195" spans="1:13">
      <c r="A2195" t="s">
        <v>195</v>
      </c>
      <c r="B2195" t="s">
        <v>196</v>
      </c>
      <c r="C2195">
        <v>413</v>
      </c>
      <c r="D2195" t="s">
        <v>194</v>
      </c>
      <c r="E2195">
        <v>2677</v>
      </c>
      <c r="F2195" s="3">
        <v>2.3400000000000001E-2</v>
      </c>
      <c r="G2195" s="3">
        <v>2.3300000000000001E-2</v>
      </c>
      <c r="H2195" s="3">
        <v>8.3000000000000001E-3</v>
      </c>
      <c r="I2195" s="3">
        <v>2.0000000000000001E-4</v>
      </c>
      <c r="J2195" s="3">
        <v>9.6799999999999997E-2</v>
      </c>
      <c r="K2195" s="3">
        <v>0.60550000000000004</v>
      </c>
      <c r="M2195" s="3">
        <v>0.24249999999999999</v>
      </c>
    </row>
    <row r="2196" spans="1:13">
      <c r="A2196" t="s">
        <v>195</v>
      </c>
      <c r="B2196" t="s">
        <v>198</v>
      </c>
      <c r="C2196">
        <v>755</v>
      </c>
      <c r="D2196" t="s">
        <v>194</v>
      </c>
      <c r="E2196">
        <v>2677</v>
      </c>
      <c r="F2196" s="3">
        <v>3.8100000000000002E-2</v>
      </c>
      <c r="G2196" s="3">
        <v>2.9000000000000001E-2</v>
      </c>
      <c r="H2196" s="3">
        <v>1.3100000000000001E-2</v>
      </c>
      <c r="I2196" s="3">
        <v>1.09E-2</v>
      </c>
      <c r="J2196" s="3">
        <v>5.5599999999999997E-2</v>
      </c>
      <c r="K2196" s="3">
        <v>0.61229999999999996</v>
      </c>
      <c r="L2196" s="3">
        <v>1.9E-3</v>
      </c>
      <c r="M2196" s="3">
        <v>0.23910000000000001</v>
      </c>
    </row>
    <row r="2197" spans="1:13">
      <c r="A2197" t="s">
        <v>199</v>
      </c>
      <c r="B2197" t="s">
        <v>196</v>
      </c>
      <c r="C2197">
        <v>525</v>
      </c>
      <c r="D2197" t="s">
        <v>194</v>
      </c>
      <c r="E2197">
        <v>2677</v>
      </c>
      <c r="F2197" s="3">
        <v>7.1400000000000005E-2</v>
      </c>
      <c r="G2197" s="3">
        <v>4.3E-3</v>
      </c>
      <c r="H2197" s="3">
        <v>4.1999999999999997E-3</v>
      </c>
      <c r="K2197" s="3">
        <v>0.78900000000000003</v>
      </c>
      <c r="L2197" s="3">
        <v>4.0000000000000002E-4</v>
      </c>
      <c r="M2197" s="3">
        <v>0.13070000000000001</v>
      </c>
    </row>
    <row r="2198" spans="1:13">
      <c r="A2198" t="s">
        <v>199</v>
      </c>
      <c r="B2198" t="s">
        <v>198</v>
      </c>
      <c r="C2198">
        <v>945</v>
      </c>
      <c r="D2198" t="s">
        <v>194</v>
      </c>
      <c r="E2198">
        <v>2677</v>
      </c>
      <c r="F2198" s="3">
        <v>4.2299999999999997E-2</v>
      </c>
      <c r="G2198" s="3">
        <v>2.0500000000000001E-2</v>
      </c>
      <c r="H2198" s="3">
        <v>8.5000000000000006E-3</v>
      </c>
      <c r="I2198" s="3">
        <v>2.9999999999999997E-4</v>
      </c>
      <c r="K2198" s="3">
        <v>0.7661</v>
      </c>
      <c r="L2198" s="3">
        <v>6.4999999999999997E-3</v>
      </c>
      <c r="M2198" s="3">
        <v>0.15570000000000001</v>
      </c>
    </row>
    <row r="2199" spans="1:13">
      <c r="A2199" t="s">
        <v>200</v>
      </c>
      <c r="B2199" t="s">
        <v>200</v>
      </c>
      <c r="C2199">
        <v>2677</v>
      </c>
      <c r="D2199" t="s">
        <v>200</v>
      </c>
      <c r="E2199">
        <v>2677</v>
      </c>
      <c r="F2199" s="3">
        <v>4.1599999999999998E-2</v>
      </c>
      <c r="G2199" s="3">
        <v>2.1899999999999999E-2</v>
      </c>
      <c r="H2199" s="3">
        <v>9.4999999999999998E-3</v>
      </c>
      <c r="I2199" s="3">
        <v>3.7000000000000002E-3</v>
      </c>
      <c r="J2199" s="3">
        <v>0.03</v>
      </c>
      <c r="K2199" s="3">
        <v>0.69850000000000001</v>
      </c>
      <c r="L2199" s="3">
        <v>3.5999999999999999E-3</v>
      </c>
      <c r="M2199" s="3">
        <v>0.1913</v>
      </c>
    </row>
    <row r="2201" spans="1:13" ht="45">
      <c r="A2201" s="22" t="s">
        <v>593</v>
      </c>
    </row>
    <row r="2202" spans="1:13">
      <c r="A2202" t="s">
        <v>185</v>
      </c>
      <c r="B2202" t="s">
        <v>186</v>
      </c>
      <c r="C2202" t="s">
        <v>192</v>
      </c>
      <c r="D2202" t="s">
        <v>184</v>
      </c>
      <c r="E2202" t="s">
        <v>193</v>
      </c>
      <c r="F2202" t="s">
        <v>586</v>
      </c>
      <c r="G2202" t="s">
        <v>587</v>
      </c>
      <c r="H2202" t="s">
        <v>588</v>
      </c>
      <c r="I2202" t="s">
        <v>589</v>
      </c>
      <c r="J2202" t="s">
        <v>590</v>
      </c>
      <c r="K2202" t="s">
        <v>591</v>
      </c>
      <c r="L2202" t="s">
        <v>247</v>
      </c>
      <c r="M2202" t="s">
        <v>592</v>
      </c>
    </row>
    <row r="2203" spans="1:13">
      <c r="A2203" t="s">
        <v>195</v>
      </c>
      <c r="B2203" t="s">
        <v>202</v>
      </c>
      <c r="C2203">
        <v>533</v>
      </c>
      <c r="D2203" t="s">
        <v>194</v>
      </c>
      <c r="E2203">
        <v>2677</v>
      </c>
      <c r="F2203" s="3">
        <v>4.6300000000000001E-2</v>
      </c>
      <c r="G2203" s="3">
        <v>1.9699999999999999E-2</v>
      </c>
      <c r="H2203" s="3">
        <v>9.4000000000000004E-3</v>
      </c>
      <c r="I2203" s="3">
        <v>5.4999999999999997E-3</v>
      </c>
      <c r="J2203" s="3">
        <v>6.7199999999999996E-2</v>
      </c>
      <c r="K2203" s="3">
        <v>0.61439999999999995</v>
      </c>
      <c r="L2203" s="3">
        <v>1.2999999999999999E-3</v>
      </c>
      <c r="M2203" s="3">
        <v>0.23619999999999999</v>
      </c>
    </row>
    <row r="2204" spans="1:13">
      <c r="A2204" t="s">
        <v>195</v>
      </c>
      <c r="B2204" t="s">
        <v>204</v>
      </c>
      <c r="C2204">
        <v>301</v>
      </c>
      <c r="D2204" t="s">
        <v>194</v>
      </c>
      <c r="E2204">
        <v>2677</v>
      </c>
      <c r="F2204" s="3">
        <v>9.2999999999999992E-3</v>
      </c>
      <c r="G2204" s="3">
        <v>5.96E-2</v>
      </c>
      <c r="J2204" s="3">
        <v>8.6499999999999994E-2</v>
      </c>
      <c r="K2204" s="3">
        <v>0.64639999999999997</v>
      </c>
      <c r="M2204" s="3">
        <v>0.1981</v>
      </c>
    </row>
    <row r="2205" spans="1:13">
      <c r="A2205" t="s">
        <v>195</v>
      </c>
      <c r="B2205" t="s">
        <v>205</v>
      </c>
      <c r="C2205">
        <v>334</v>
      </c>
      <c r="D2205" t="s">
        <v>194</v>
      </c>
      <c r="E2205">
        <v>2677</v>
      </c>
      <c r="F2205" s="3">
        <v>1.54E-2</v>
      </c>
      <c r="G2205" s="3">
        <v>1.37E-2</v>
      </c>
      <c r="H2205" s="3">
        <v>4.2099999999999999E-2</v>
      </c>
      <c r="I2205" s="3">
        <v>3.3099999999999997E-2</v>
      </c>
      <c r="J2205" s="3">
        <v>3.2199999999999999E-2</v>
      </c>
      <c r="K2205" s="3">
        <v>0.53480000000000005</v>
      </c>
      <c r="L2205" s="3">
        <v>4.1000000000000003E-3</v>
      </c>
      <c r="M2205" s="3">
        <v>0.3246</v>
      </c>
    </row>
    <row r="2206" spans="1:13">
      <c r="A2206" t="s">
        <v>199</v>
      </c>
      <c r="B2206" t="s">
        <v>202</v>
      </c>
      <c r="C2206">
        <v>538</v>
      </c>
      <c r="D2206" t="s">
        <v>194</v>
      </c>
      <c r="E2206">
        <v>2677</v>
      </c>
      <c r="F2206" s="3">
        <v>3.5400000000000001E-2</v>
      </c>
      <c r="H2206" s="3">
        <v>8.0000000000000004E-4</v>
      </c>
      <c r="K2206" s="3">
        <v>0.85629999999999995</v>
      </c>
      <c r="L2206" s="3">
        <v>8.0000000000000002E-3</v>
      </c>
      <c r="M2206" s="3">
        <v>9.9500000000000005E-2</v>
      </c>
    </row>
    <row r="2207" spans="1:13">
      <c r="A2207" t="s">
        <v>199</v>
      </c>
      <c r="B2207" t="s">
        <v>204</v>
      </c>
      <c r="C2207">
        <v>426</v>
      </c>
      <c r="D2207" t="s">
        <v>194</v>
      </c>
      <c r="E2207">
        <v>2677</v>
      </c>
      <c r="F2207" s="3">
        <v>6.6900000000000001E-2</v>
      </c>
      <c r="G2207" s="3">
        <v>1.12E-2</v>
      </c>
      <c r="H2207" s="3">
        <v>1.2999999999999999E-3</v>
      </c>
      <c r="I2207" s="3">
        <v>5.9999999999999995E-4</v>
      </c>
      <c r="K2207" s="3">
        <v>0.65190000000000003</v>
      </c>
      <c r="M2207" s="3">
        <v>0.2681</v>
      </c>
    </row>
    <row r="2208" spans="1:13">
      <c r="A2208" t="s">
        <v>199</v>
      </c>
      <c r="B2208" t="s">
        <v>205</v>
      </c>
      <c r="C2208">
        <v>506</v>
      </c>
      <c r="D2208" t="s">
        <v>194</v>
      </c>
      <c r="E2208">
        <v>2677</v>
      </c>
      <c r="F2208" s="3">
        <v>7.2300000000000003E-2</v>
      </c>
      <c r="G2208" s="3">
        <v>9.0800000000000006E-2</v>
      </c>
      <c r="H2208" s="3">
        <v>4.1000000000000002E-2</v>
      </c>
      <c r="I2208" s="3">
        <v>8.0000000000000004E-4</v>
      </c>
      <c r="K2208" s="3">
        <v>0.5827</v>
      </c>
      <c r="L2208" s="3">
        <v>1.6000000000000001E-3</v>
      </c>
      <c r="M2208" s="3">
        <v>0.21079999999999999</v>
      </c>
    </row>
    <row r="2209" spans="1:13">
      <c r="A2209" t="s">
        <v>200</v>
      </c>
      <c r="B2209" t="s">
        <v>200</v>
      </c>
      <c r="C2209">
        <v>2677</v>
      </c>
      <c r="D2209" t="s">
        <v>200</v>
      </c>
      <c r="E2209">
        <v>2677</v>
      </c>
      <c r="F2209" s="3">
        <v>4.1599999999999998E-2</v>
      </c>
      <c r="G2209" s="3">
        <v>2.1899999999999999E-2</v>
      </c>
      <c r="H2209" s="3">
        <v>9.4999999999999998E-3</v>
      </c>
      <c r="I2209" s="3">
        <v>3.7000000000000002E-3</v>
      </c>
      <c r="J2209" s="3">
        <v>0.03</v>
      </c>
      <c r="K2209" s="3">
        <v>0.69850000000000001</v>
      </c>
      <c r="L2209" s="3">
        <v>3.5999999999999999E-3</v>
      </c>
      <c r="M2209" s="3">
        <v>0.1913</v>
      </c>
    </row>
    <row r="2211" spans="1:13" ht="45">
      <c r="A2211" s="22" t="s">
        <v>594</v>
      </c>
    </row>
    <row r="2212" spans="1:13">
      <c r="A2212" t="s">
        <v>185</v>
      </c>
      <c r="B2212" t="s">
        <v>186</v>
      </c>
      <c r="C2212" t="s">
        <v>192</v>
      </c>
      <c r="D2212" t="s">
        <v>184</v>
      </c>
      <c r="E2212" t="s">
        <v>193</v>
      </c>
      <c r="F2212" t="s">
        <v>586</v>
      </c>
      <c r="G2212" t="s">
        <v>587</v>
      </c>
      <c r="H2212" t="s">
        <v>588</v>
      </c>
      <c r="I2212" t="s">
        <v>589</v>
      </c>
      <c r="J2212" t="s">
        <v>590</v>
      </c>
      <c r="K2212" t="s">
        <v>591</v>
      </c>
      <c r="L2212" t="s">
        <v>247</v>
      </c>
      <c r="M2212" t="s">
        <v>592</v>
      </c>
    </row>
    <row r="2213" spans="1:13">
      <c r="A2213" t="s">
        <v>195</v>
      </c>
      <c r="B2213" t="s">
        <v>207</v>
      </c>
      <c r="C2213">
        <v>322</v>
      </c>
      <c r="D2213" t="s">
        <v>194</v>
      </c>
      <c r="E2213">
        <v>2677</v>
      </c>
      <c r="F2213" s="3">
        <v>2.2800000000000001E-2</v>
      </c>
      <c r="G2213" s="3">
        <v>1.1299999999999999E-2</v>
      </c>
      <c r="H2213" s="3">
        <v>5.5999999999999999E-3</v>
      </c>
      <c r="I2213" s="3">
        <v>2.3199999999999998E-2</v>
      </c>
      <c r="J2213" s="3">
        <v>9.2499999999999999E-2</v>
      </c>
      <c r="K2213" s="3">
        <v>0.66149999999999998</v>
      </c>
      <c r="M2213" s="3">
        <v>0.18310000000000001</v>
      </c>
    </row>
    <row r="2214" spans="1:13">
      <c r="A2214" t="s">
        <v>195</v>
      </c>
      <c r="B2214" t="s">
        <v>209</v>
      </c>
      <c r="C2214">
        <v>867</v>
      </c>
      <c r="D2214" t="s">
        <v>194</v>
      </c>
      <c r="E2214">
        <v>2677</v>
      </c>
      <c r="F2214" s="3">
        <v>3.78E-2</v>
      </c>
      <c r="G2214" s="3">
        <v>3.2899999999999999E-2</v>
      </c>
      <c r="H2214" s="3">
        <v>1.3899999999999999E-2</v>
      </c>
      <c r="I2214" s="3">
        <v>2.7000000000000001E-3</v>
      </c>
      <c r="J2214" s="3">
        <v>5.8900000000000001E-2</v>
      </c>
      <c r="K2214" s="3">
        <v>0.59109999999999996</v>
      </c>
      <c r="L2214" s="3">
        <v>1.9E-3</v>
      </c>
      <c r="M2214" s="3">
        <v>0.26079999999999998</v>
      </c>
    </row>
    <row r="2215" spans="1:13">
      <c r="A2215" t="s">
        <v>199</v>
      </c>
      <c r="B2215" t="s">
        <v>207</v>
      </c>
      <c r="C2215">
        <v>283</v>
      </c>
      <c r="D2215" t="s">
        <v>194</v>
      </c>
      <c r="E2215">
        <v>2677</v>
      </c>
      <c r="F2215" s="3">
        <v>4.3299999999999998E-2</v>
      </c>
      <c r="G2215" s="3">
        <v>1.9099999999999999E-2</v>
      </c>
      <c r="H2215" s="3">
        <v>3.0999999999999999E-3</v>
      </c>
      <c r="K2215" s="3">
        <v>0.84</v>
      </c>
      <c r="L2215" s="3">
        <v>2.8E-3</v>
      </c>
      <c r="M2215" s="3">
        <v>9.1700000000000004E-2</v>
      </c>
    </row>
    <row r="2216" spans="1:13">
      <c r="A2216" t="s">
        <v>199</v>
      </c>
      <c r="B2216" t="s">
        <v>209</v>
      </c>
      <c r="C2216">
        <v>1205</v>
      </c>
      <c r="D2216" t="s">
        <v>194</v>
      </c>
      <c r="E2216">
        <v>2677</v>
      </c>
      <c r="F2216" s="3">
        <v>4.8300000000000003E-2</v>
      </c>
      <c r="G2216" s="3">
        <v>1.7299999999999999E-2</v>
      </c>
      <c r="H2216" s="3">
        <v>8.3999999999999995E-3</v>
      </c>
      <c r="I2216" s="3">
        <v>2.9999999999999997E-4</v>
      </c>
      <c r="K2216" s="3">
        <v>0.7601</v>
      </c>
      <c r="L2216" s="3">
        <v>5.7000000000000002E-3</v>
      </c>
      <c r="M2216" s="3">
        <v>0.16</v>
      </c>
    </row>
    <row r="2217" spans="1:13">
      <c r="A2217" t="s">
        <v>200</v>
      </c>
      <c r="B2217" t="s">
        <v>200</v>
      </c>
      <c r="C2217">
        <v>2677</v>
      </c>
      <c r="D2217" t="s">
        <v>200</v>
      </c>
      <c r="E2217">
        <v>2677</v>
      </c>
      <c r="F2217" s="3">
        <v>4.1599999999999998E-2</v>
      </c>
      <c r="G2217" s="3">
        <v>2.1899999999999999E-2</v>
      </c>
      <c r="H2217" s="3">
        <v>9.4999999999999998E-3</v>
      </c>
      <c r="I2217" s="3">
        <v>3.7000000000000002E-3</v>
      </c>
      <c r="J2217" s="3">
        <v>0.03</v>
      </c>
      <c r="K2217" s="3">
        <v>0.69850000000000001</v>
      </c>
      <c r="L2217" s="3">
        <v>3.5999999999999999E-3</v>
      </c>
      <c r="M2217" s="3">
        <v>0.1913</v>
      </c>
    </row>
    <row r="2219" spans="1:13" ht="45">
      <c r="A2219" s="22" t="s">
        <v>595</v>
      </c>
    </row>
    <row r="2220" spans="1:13">
      <c r="A2220" t="s">
        <v>185</v>
      </c>
      <c r="B2220" t="s">
        <v>192</v>
      </c>
      <c r="C2220" t="s">
        <v>184</v>
      </c>
      <c r="D2220" t="s">
        <v>193</v>
      </c>
      <c r="E2220" t="s">
        <v>586</v>
      </c>
      <c r="F2220" t="s">
        <v>587</v>
      </c>
      <c r="G2220" t="s">
        <v>588</v>
      </c>
      <c r="H2220" t="s">
        <v>589</v>
      </c>
      <c r="I2220" t="s">
        <v>590</v>
      </c>
      <c r="J2220" t="s">
        <v>591</v>
      </c>
      <c r="K2220" t="s">
        <v>247</v>
      </c>
      <c r="L2220" t="s">
        <v>592</v>
      </c>
    </row>
    <row r="2221" spans="1:13">
      <c r="A2221" t="s">
        <v>195</v>
      </c>
      <c r="B2221">
        <v>1189</v>
      </c>
      <c r="C2221" t="s">
        <v>194</v>
      </c>
      <c r="D2221">
        <v>2677</v>
      </c>
      <c r="E2221" s="3">
        <v>3.4000000000000002E-2</v>
      </c>
      <c r="F2221" s="3">
        <v>2.7300000000000001E-2</v>
      </c>
      <c r="G2221" s="3">
        <v>1.18E-2</v>
      </c>
      <c r="H2221" s="3">
        <v>8.0000000000000002E-3</v>
      </c>
      <c r="I2221" s="3">
        <v>6.7500000000000004E-2</v>
      </c>
      <c r="J2221" s="3">
        <v>0.60919999999999996</v>
      </c>
      <c r="K2221" s="3">
        <v>1.4E-3</v>
      </c>
      <c r="L2221" s="3">
        <v>0.24079999999999999</v>
      </c>
    </row>
    <row r="2222" spans="1:13">
      <c r="A2222" t="s">
        <v>199</v>
      </c>
      <c r="B2222">
        <v>1488</v>
      </c>
      <c r="C2222" t="s">
        <v>194</v>
      </c>
      <c r="D2222">
        <v>2677</v>
      </c>
      <c r="E2222" s="3">
        <v>4.7699999999999999E-2</v>
      </c>
      <c r="F2222" s="3">
        <v>1.7500000000000002E-2</v>
      </c>
      <c r="G2222" s="3">
        <v>7.7000000000000002E-3</v>
      </c>
      <c r="H2222" s="3">
        <v>2.9999999999999997E-4</v>
      </c>
      <c r="J2222" s="3">
        <v>0.76980000000000004</v>
      </c>
      <c r="K2222" s="3">
        <v>5.4000000000000003E-3</v>
      </c>
      <c r="L2222" s="3">
        <v>0.1517</v>
      </c>
    </row>
    <row r="2223" spans="1:13">
      <c r="A2223" t="s">
        <v>200</v>
      </c>
      <c r="B2223">
        <v>2677</v>
      </c>
      <c r="C2223" t="s">
        <v>200</v>
      </c>
      <c r="D2223">
        <v>2677</v>
      </c>
      <c r="E2223" s="3">
        <v>4.1599999999999998E-2</v>
      </c>
      <c r="F2223" s="3">
        <v>2.1899999999999999E-2</v>
      </c>
      <c r="G2223" s="3">
        <v>9.4999999999999998E-3</v>
      </c>
      <c r="H2223" s="3">
        <v>3.7000000000000002E-3</v>
      </c>
      <c r="I2223" s="3">
        <v>0.03</v>
      </c>
      <c r="J2223" s="3">
        <v>0.69850000000000001</v>
      </c>
      <c r="K2223" s="3">
        <v>3.5999999999999999E-3</v>
      </c>
      <c r="L2223" s="3">
        <v>0.1913</v>
      </c>
    </row>
    <row r="2225" spans="1:13" ht="45">
      <c r="A2225" s="22" t="s">
        <v>596</v>
      </c>
    </row>
    <row r="2226" spans="1:13">
      <c r="A2226" t="s">
        <v>185</v>
      </c>
      <c r="B2226" t="s">
        <v>186</v>
      </c>
      <c r="C2226" t="s">
        <v>192</v>
      </c>
      <c r="D2226" t="s">
        <v>184</v>
      </c>
      <c r="E2226" t="s">
        <v>193</v>
      </c>
      <c r="F2226" t="s">
        <v>586</v>
      </c>
      <c r="G2226" t="s">
        <v>587</v>
      </c>
      <c r="H2226" t="s">
        <v>588</v>
      </c>
      <c r="I2226" t="s">
        <v>589</v>
      </c>
      <c r="J2226" t="s">
        <v>590</v>
      </c>
      <c r="K2226" t="s">
        <v>591</v>
      </c>
      <c r="L2226" t="s">
        <v>247</v>
      </c>
      <c r="M2226" t="s">
        <v>592</v>
      </c>
    </row>
    <row r="2227" spans="1:13">
      <c r="A2227" t="s">
        <v>195</v>
      </c>
      <c r="B2227" t="s">
        <v>212</v>
      </c>
      <c r="C2227">
        <v>873</v>
      </c>
      <c r="D2227" t="s">
        <v>194</v>
      </c>
      <c r="E2227">
        <v>2677</v>
      </c>
      <c r="F2227" s="3">
        <v>3.5099999999999999E-2</v>
      </c>
      <c r="G2227" s="3">
        <v>3.4099999999999998E-2</v>
      </c>
      <c r="H2227" s="3">
        <v>1.2200000000000001E-2</v>
      </c>
      <c r="I2227" s="3">
        <v>8.5000000000000006E-3</v>
      </c>
      <c r="J2227" s="3">
        <v>7.17E-2</v>
      </c>
      <c r="K2227" s="3">
        <v>0.61499999999999999</v>
      </c>
      <c r="L2227" s="3">
        <v>6.9999999999999999E-4</v>
      </c>
      <c r="M2227" s="3">
        <v>0.22259999999999999</v>
      </c>
    </row>
    <row r="2228" spans="1:13">
      <c r="A2228" t="s">
        <v>195</v>
      </c>
      <c r="B2228" t="s">
        <v>214</v>
      </c>
      <c r="C2228">
        <v>181</v>
      </c>
      <c r="D2228" t="s">
        <v>194</v>
      </c>
      <c r="E2228">
        <v>2677</v>
      </c>
      <c r="F2228" s="3">
        <v>4.4600000000000001E-2</v>
      </c>
      <c r="G2228" s="3">
        <v>7.7000000000000002E-3</v>
      </c>
      <c r="H2228" s="3">
        <v>1.5800000000000002E-2</v>
      </c>
      <c r="I2228" s="3">
        <v>2.0000000000000001E-4</v>
      </c>
      <c r="J2228" s="3">
        <v>6.2E-2</v>
      </c>
      <c r="K2228" s="3">
        <v>0.54569999999999996</v>
      </c>
      <c r="M2228" s="3">
        <v>0.32390000000000002</v>
      </c>
    </row>
    <row r="2229" spans="1:13">
      <c r="A2229" t="s">
        <v>195</v>
      </c>
      <c r="B2229" t="s">
        <v>215</v>
      </c>
      <c r="C2229">
        <v>135</v>
      </c>
      <c r="D2229" t="s">
        <v>194</v>
      </c>
      <c r="E2229">
        <v>2677</v>
      </c>
      <c r="F2229" s="3">
        <v>2.3999999999999998E-3</v>
      </c>
      <c r="G2229" s="3">
        <v>5.1000000000000004E-3</v>
      </c>
      <c r="I2229" s="3">
        <v>1.8800000000000001E-2</v>
      </c>
      <c r="J2229" s="3">
        <v>4.1200000000000001E-2</v>
      </c>
      <c r="K2229" s="3">
        <v>0.68220000000000003</v>
      </c>
      <c r="L2229" s="3">
        <v>1.01E-2</v>
      </c>
      <c r="M2229" s="3">
        <v>0.2402</v>
      </c>
    </row>
    <row r="2230" spans="1:13">
      <c r="A2230" t="s">
        <v>199</v>
      </c>
      <c r="B2230" t="s">
        <v>212</v>
      </c>
      <c r="C2230">
        <v>1118</v>
      </c>
      <c r="D2230" t="s">
        <v>194</v>
      </c>
      <c r="E2230">
        <v>2677</v>
      </c>
      <c r="F2230" s="3">
        <v>4.4400000000000002E-2</v>
      </c>
      <c r="G2230" s="3">
        <v>1.67E-2</v>
      </c>
      <c r="H2230" s="3">
        <v>6.3E-3</v>
      </c>
      <c r="I2230" s="3">
        <v>2.9999999999999997E-4</v>
      </c>
      <c r="K2230" s="3">
        <v>0.77649999999999997</v>
      </c>
      <c r="L2230" s="3">
        <v>5.0000000000000001E-4</v>
      </c>
      <c r="M2230" s="3">
        <v>0.15529999999999999</v>
      </c>
    </row>
    <row r="2231" spans="1:13">
      <c r="A2231" t="s">
        <v>199</v>
      </c>
      <c r="B2231" t="s">
        <v>214</v>
      </c>
      <c r="C2231">
        <v>197</v>
      </c>
      <c r="D2231" t="s">
        <v>194</v>
      </c>
      <c r="E2231">
        <v>2677</v>
      </c>
      <c r="F2231" s="3">
        <v>6.2799999999999995E-2</v>
      </c>
      <c r="G2231" s="3">
        <v>2.8E-3</v>
      </c>
      <c r="H2231" s="3">
        <v>2.5000000000000001E-3</v>
      </c>
      <c r="K2231" s="3">
        <v>0.75070000000000003</v>
      </c>
      <c r="L2231" s="3">
        <v>3.2300000000000002E-2</v>
      </c>
      <c r="M2231" s="3">
        <v>0.1489</v>
      </c>
    </row>
    <row r="2232" spans="1:13">
      <c r="A2232" t="s">
        <v>199</v>
      </c>
      <c r="B2232" t="s">
        <v>215</v>
      </c>
      <c r="C2232">
        <v>173</v>
      </c>
      <c r="D2232" t="s">
        <v>194</v>
      </c>
      <c r="E2232">
        <v>2677</v>
      </c>
      <c r="F2232" s="3">
        <v>5.0200000000000002E-2</v>
      </c>
      <c r="G2232" s="3">
        <v>5.11E-2</v>
      </c>
      <c r="H2232" s="3">
        <v>0.03</v>
      </c>
      <c r="K2232" s="3">
        <v>0.74399999999999999</v>
      </c>
      <c r="L2232" s="3">
        <v>8.0000000000000004E-4</v>
      </c>
      <c r="M2232" s="3">
        <v>0.1239</v>
      </c>
    </row>
    <row r="2233" spans="1:13">
      <c r="A2233" t="s">
        <v>200</v>
      </c>
      <c r="B2233" t="s">
        <v>200</v>
      </c>
      <c r="C2233">
        <v>2677</v>
      </c>
      <c r="D2233" t="s">
        <v>200</v>
      </c>
      <c r="E2233">
        <v>2677</v>
      </c>
      <c r="F2233" s="3">
        <v>4.1599999999999998E-2</v>
      </c>
      <c r="G2233" s="3">
        <v>2.1899999999999999E-2</v>
      </c>
      <c r="H2233" s="3">
        <v>9.4999999999999998E-3</v>
      </c>
      <c r="I2233" s="3">
        <v>3.7000000000000002E-3</v>
      </c>
      <c r="J2233" s="3">
        <v>0.03</v>
      </c>
      <c r="K2233" s="3">
        <v>0.69850000000000001</v>
      </c>
      <c r="L2233" s="3">
        <v>3.5999999999999999E-3</v>
      </c>
      <c r="M2233" s="3">
        <v>0.1913</v>
      </c>
    </row>
    <row r="2235" spans="1:13" ht="45">
      <c r="A2235" s="22" t="s">
        <v>597</v>
      </c>
    </row>
    <row r="2236" spans="1:13">
      <c r="A2236" t="s">
        <v>185</v>
      </c>
      <c r="B2236" t="s">
        <v>186</v>
      </c>
      <c r="C2236" t="s">
        <v>192</v>
      </c>
      <c r="D2236" t="s">
        <v>184</v>
      </c>
      <c r="E2236" t="s">
        <v>193</v>
      </c>
      <c r="F2236" t="s">
        <v>586</v>
      </c>
      <c r="G2236" t="s">
        <v>587</v>
      </c>
      <c r="H2236" t="s">
        <v>588</v>
      </c>
      <c r="I2236" t="s">
        <v>589</v>
      </c>
      <c r="J2236" t="s">
        <v>590</v>
      </c>
      <c r="K2236" t="s">
        <v>591</v>
      </c>
      <c r="L2236" t="s">
        <v>247</v>
      </c>
      <c r="M2236" t="s">
        <v>592</v>
      </c>
    </row>
    <row r="2237" spans="1:13">
      <c r="A2237" t="s">
        <v>195</v>
      </c>
      <c r="B2237" t="s">
        <v>217</v>
      </c>
      <c r="C2237">
        <v>499</v>
      </c>
      <c r="D2237" t="s">
        <v>194</v>
      </c>
      <c r="E2237">
        <v>2677</v>
      </c>
      <c r="F2237" s="3">
        <v>2.8199999999999999E-2</v>
      </c>
      <c r="G2237" s="3">
        <v>3.2800000000000003E-2</v>
      </c>
      <c r="H2237" s="3">
        <v>1.5800000000000002E-2</v>
      </c>
      <c r="I2237" s="3">
        <v>1.43E-2</v>
      </c>
      <c r="J2237" s="3">
        <v>7.1499999999999994E-2</v>
      </c>
      <c r="K2237" s="3">
        <v>0.59689999999999999</v>
      </c>
      <c r="L2237" s="3">
        <v>2E-3</v>
      </c>
      <c r="M2237" s="3">
        <v>0.23849999999999999</v>
      </c>
    </row>
    <row r="2238" spans="1:13">
      <c r="A2238" t="s">
        <v>195</v>
      </c>
      <c r="B2238" t="s">
        <v>219</v>
      </c>
      <c r="C2238">
        <v>507</v>
      </c>
      <c r="D2238" t="s">
        <v>194</v>
      </c>
      <c r="E2238">
        <v>2677</v>
      </c>
      <c r="F2238" s="3">
        <v>2.7099999999999999E-2</v>
      </c>
      <c r="G2238" s="3">
        <v>1.9599999999999999E-2</v>
      </c>
      <c r="H2238" s="3">
        <v>6.7000000000000002E-3</v>
      </c>
      <c r="I2238" s="3">
        <v>5.1000000000000004E-3</v>
      </c>
      <c r="J2238" s="3">
        <v>5.5199999999999999E-2</v>
      </c>
      <c r="K2238" s="3">
        <v>0.66700000000000004</v>
      </c>
      <c r="L2238" s="3">
        <v>1.4E-3</v>
      </c>
      <c r="M2238" s="3">
        <v>0.21790000000000001</v>
      </c>
    </row>
    <row r="2239" spans="1:13">
      <c r="A2239" t="s">
        <v>195</v>
      </c>
      <c r="B2239" t="s">
        <v>220</v>
      </c>
      <c r="C2239">
        <v>182</v>
      </c>
      <c r="D2239" t="s">
        <v>194</v>
      </c>
      <c r="E2239">
        <v>2677</v>
      </c>
      <c r="F2239" s="3">
        <v>6.0999999999999999E-2</v>
      </c>
      <c r="G2239" s="3">
        <v>3.1099999999999999E-2</v>
      </c>
      <c r="H2239" s="3">
        <v>1.32E-2</v>
      </c>
      <c r="J2239" s="3">
        <v>8.43E-2</v>
      </c>
      <c r="K2239" s="3">
        <v>0.51670000000000005</v>
      </c>
      <c r="M2239" s="3">
        <v>0.29370000000000002</v>
      </c>
    </row>
    <row r="2240" spans="1:13">
      <c r="A2240" t="s">
        <v>199</v>
      </c>
      <c r="B2240" t="s">
        <v>217</v>
      </c>
      <c r="C2240">
        <v>814</v>
      </c>
      <c r="D2240" t="s">
        <v>194</v>
      </c>
      <c r="E2240">
        <v>2677</v>
      </c>
      <c r="F2240" s="3">
        <v>4.2299999999999997E-2</v>
      </c>
      <c r="G2240" s="3">
        <v>1.6500000000000001E-2</v>
      </c>
      <c r="H2240" s="3">
        <v>8.3999999999999995E-3</v>
      </c>
      <c r="K2240" s="3">
        <v>0.78820000000000001</v>
      </c>
      <c r="L2240" s="3">
        <v>2.9999999999999997E-4</v>
      </c>
      <c r="M2240" s="3">
        <v>0.14430000000000001</v>
      </c>
    </row>
    <row r="2241" spans="1:13">
      <c r="A2241" t="s">
        <v>199</v>
      </c>
      <c r="B2241" t="s">
        <v>219</v>
      </c>
      <c r="C2241">
        <v>451</v>
      </c>
      <c r="D2241" t="s">
        <v>194</v>
      </c>
      <c r="E2241">
        <v>2677</v>
      </c>
      <c r="F2241" s="3">
        <v>6.6400000000000001E-2</v>
      </c>
      <c r="G2241" s="3">
        <v>2.0500000000000001E-2</v>
      </c>
      <c r="H2241" s="3">
        <v>2.5000000000000001E-3</v>
      </c>
      <c r="I2241" s="3">
        <v>1E-3</v>
      </c>
      <c r="K2241" s="3">
        <v>0.75339999999999996</v>
      </c>
      <c r="L2241" s="3">
        <v>1.9800000000000002E-2</v>
      </c>
      <c r="M2241" s="3">
        <v>0.13639999999999999</v>
      </c>
    </row>
    <row r="2242" spans="1:13">
      <c r="A2242" t="s">
        <v>199</v>
      </c>
      <c r="B2242" t="s">
        <v>220</v>
      </c>
      <c r="C2242">
        <v>223</v>
      </c>
      <c r="D2242" t="s">
        <v>194</v>
      </c>
      <c r="E2242">
        <v>2677</v>
      </c>
      <c r="F2242" s="3">
        <v>3.8600000000000002E-2</v>
      </c>
      <c r="G2242" s="3">
        <v>1.67E-2</v>
      </c>
      <c r="H2242" s="3">
        <v>1.3299999999999999E-2</v>
      </c>
      <c r="K2242" s="3">
        <v>0.72570000000000001</v>
      </c>
      <c r="L2242" s="3">
        <v>1.8E-3</v>
      </c>
      <c r="M2242" s="3">
        <v>0.20399999999999999</v>
      </c>
    </row>
    <row r="2243" spans="1:13">
      <c r="A2243" t="s">
        <v>200</v>
      </c>
      <c r="B2243" t="s">
        <v>200</v>
      </c>
      <c r="C2243">
        <v>2677</v>
      </c>
      <c r="D2243" t="s">
        <v>200</v>
      </c>
      <c r="E2243">
        <v>2677</v>
      </c>
      <c r="F2243" s="3">
        <v>4.1599999999999998E-2</v>
      </c>
      <c r="G2243" s="3">
        <v>2.1899999999999999E-2</v>
      </c>
      <c r="H2243" s="3">
        <v>9.4999999999999998E-3</v>
      </c>
      <c r="I2243" s="3">
        <v>3.7000000000000002E-3</v>
      </c>
      <c r="J2243" s="3">
        <v>0.03</v>
      </c>
      <c r="K2243" s="3">
        <v>0.69850000000000001</v>
      </c>
      <c r="L2243" s="3">
        <v>3.5999999999999999E-3</v>
      </c>
      <c r="M2243" s="3">
        <v>0.1913</v>
      </c>
    </row>
    <row r="2245" spans="1:13" ht="30">
      <c r="A2245" s="22" t="s">
        <v>598</v>
      </c>
    </row>
    <row r="2246" spans="1:13">
      <c r="A2246" t="s">
        <v>185</v>
      </c>
      <c r="B2246" t="s">
        <v>186</v>
      </c>
      <c r="C2246" t="s">
        <v>192</v>
      </c>
      <c r="D2246" t="s">
        <v>184</v>
      </c>
      <c r="E2246" t="s">
        <v>193</v>
      </c>
      <c r="F2246" t="s">
        <v>257</v>
      </c>
      <c r="G2246" t="s">
        <v>599</v>
      </c>
      <c r="H2246" t="s">
        <v>247</v>
      </c>
      <c r="I2246" t="s">
        <v>600</v>
      </c>
      <c r="J2246" t="s">
        <v>601</v>
      </c>
    </row>
    <row r="2247" spans="1:13">
      <c r="A2247" t="s">
        <v>195</v>
      </c>
      <c r="B2247" t="s">
        <v>196</v>
      </c>
      <c r="C2247">
        <v>413</v>
      </c>
      <c r="D2247" t="s">
        <v>194</v>
      </c>
      <c r="E2247">
        <v>2677</v>
      </c>
      <c r="F2247" s="3">
        <v>5.0000000000000001E-4</v>
      </c>
      <c r="G2247" s="3">
        <v>0.14319999999999999</v>
      </c>
      <c r="I2247" s="3">
        <v>0.65580000000000005</v>
      </c>
      <c r="J2247" s="3">
        <v>0.20050000000000001</v>
      </c>
    </row>
    <row r="2248" spans="1:13">
      <c r="A2248" t="s">
        <v>195</v>
      </c>
      <c r="B2248" t="s">
        <v>198</v>
      </c>
      <c r="C2248">
        <v>755</v>
      </c>
      <c r="D2248" t="s">
        <v>194</v>
      </c>
      <c r="E2248">
        <v>2677</v>
      </c>
      <c r="F2248" s="3">
        <v>6.9999999999999999E-4</v>
      </c>
      <c r="G2248" s="3">
        <v>5.62E-2</v>
      </c>
      <c r="H2248" s="3">
        <v>4.0000000000000002E-4</v>
      </c>
      <c r="I2248" s="3">
        <v>0.78320000000000001</v>
      </c>
      <c r="J2248" s="3">
        <v>0.1595</v>
      </c>
    </row>
    <row r="2249" spans="1:13">
      <c r="A2249" t="s">
        <v>199</v>
      </c>
      <c r="B2249" t="s">
        <v>196</v>
      </c>
      <c r="C2249">
        <v>525</v>
      </c>
      <c r="D2249" t="s">
        <v>194</v>
      </c>
      <c r="E2249">
        <v>2677</v>
      </c>
      <c r="F2249" s="3">
        <v>2.0000000000000001E-4</v>
      </c>
      <c r="G2249" s="3">
        <v>0.90639999999999998</v>
      </c>
      <c r="I2249" s="3">
        <v>0.05</v>
      </c>
      <c r="J2249" s="3">
        <v>4.3400000000000001E-2</v>
      </c>
    </row>
    <row r="2250" spans="1:13">
      <c r="A2250" t="s">
        <v>199</v>
      </c>
      <c r="B2250" t="s">
        <v>198</v>
      </c>
      <c r="C2250">
        <v>945</v>
      </c>
      <c r="D2250" t="s">
        <v>194</v>
      </c>
      <c r="E2250">
        <v>2677</v>
      </c>
      <c r="F2250" s="3">
        <v>1.04E-2</v>
      </c>
      <c r="G2250" s="3">
        <v>0.90890000000000004</v>
      </c>
      <c r="I2250" s="3">
        <v>3.4599999999999999E-2</v>
      </c>
      <c r="J2250" s="3">
        <v>4.6100000000000002E-2</v>
      </c>
    </row>
    <row r="2251" spans="1:13">
      <c r="A2251" t="s">
        <v>200</v>
      </c>
      <c r="B2251" t="s">
        <v>200</v>
      </c>
      <c r="C2251">
        <v>2677</v>
      </c>
      <c r="D2251" t="s">
        <v>200</v>
      </c>
      <c r="E2251">
        <v>2677</v>
      </c>
      <c r="F2251" s="3">
        <v>5.0000000000000001E-3</v>
      </c>
      <c r="G2251" s="3">
        <v>0.54020000000000001</v>
      </c>
      <c r="H2251" s="3">
        <v>1E-4</v>
      </c>
      <c r="I2251" s="3">
        <v>0.35320000000000001</v>
      </c>
      <c r="J2251" s="3">
        <v>0.1014</v>
      </c>
    </row>
    <row r="2253" spans="1:13" ht="45">
      <c r="A2253" s="22" t="s">
        <v>602</v>
      </c>
    </row>
    <row r="2254" spans="1:13">
      <c r="A2254" t="s">
        <v>185</v>
      </c>
      <c r="B2254" t="s">
        <v>186</v>
      </c>
      <c r="C2254" t="s">
        <v>192</v>
      </c>
      <c r="D2254" t="s">
        <v>184</v>
      </c>
      <c r="E2254" t="s">
        <v>193</v>
      </c>
      <c r="F2254" t="s">
        <v>257</v>
      </c>
      <c r="G2254" t="s">
        <v>599</v>
      </c>
      <c r="H2254" t="s">
        <v>247</v>
      </c>
      <c r="I2254" t="s">
        <v>600</v>
      </c>
      <c r="J2254" t="s">
        <v>601</v>
      </c>
    </row>
    <row r="2255" spans="1:13">
      <c r="A2255" t="s">
        <v>195</v>
      </c>
      <c r="B2255" t="s">
        <v>202</v>
      </c>
      <c r="C2255">
        <v>533</v>
      </c>
      <c r="D2255" t="s">
        <v>194</v>
      </c>
      <c r="E2255">
        <v>2677</v>
      </c>
      <c r="G2255" s="3">
        <v>7.7499999999999999E-2</v>
      </c>
      <c r="I2255" s="3">
        <v>0.75970000000000004</v>
      </c>
      <c r="J2255" s="3">
        <v>0.1628</v>
      </c>
    </row>
    <row r="2256" spans="1:13">
      <c r="A2256" t="s">
        <v>195</v>
      </c>
      <c r="B2256" t="s">
        <v>204</v>
      </c>
      <c r="C2256">
        <v>301</v>
      </c>
      <c r="D2256" t="s">
        <v>194</v>
      </c>
      <c r="E2256">
        <v>2677</v>
      </c>
      <c r="F2256" s="3">
        <v>2.8999999999999998E-3</v>
      </c>
      <c r="G2256" s="3">
        <v>0.10929999999999999</v>
      </c>
      <c r="I2256" s="3">
        <v>0.71799999999999997</v>
      </c>
      <c r="J2256" s="3">
        <v>0.16969999999999999</v>
      </c>
    </row>
    <row r="2257" spans="1:10">
      <c r="A2257" t="s">
        <v>195</v>
      </c>
      <c r="B2257" t="s">
        <v>205</v>
      </c>
      <c r="C2257">
        <v>334</v>
      </c>
      <c r="D2257" t="s">
        <v>194</v>
      </c>
      <c r="E2257">
        <v>2677</v>
      </c>
      <c r="G2257" s="3">
        <v>4.1599999999999998E-2</v>
      </c>
      <c r="H2257" s="3">
        <v>2.3E-3</v>
      </c>
      <c r="I2257" s="3">
        <v>0.74770000000000003</v>
      </c>
      <c r="J2257" s="3">
        <v>0.20830000000000001</v>
      </c>
    </row>
    <row r="2258" spans="1:10">
      <c r="A2258" t="s">
        <v>199</v>
      </c>
      <c r="B2258" t="s">
        <v>202</v>
      </c>
      <c r="C2258">
        <v>538</v>
      </c>
      <c r="D2258" t="s">
        <v>194</v>
      </c>
      <c r="E2258">
        <v>2677</v>
      </c>
      <c r="F2258" s="3">
        <v>1.2800000000000001E-2</v>
      </c>
      <c r="G2258" s="3">
        <v>0.93500000000000005</v>
      </c>
      <c r="I2258" s="3">
        <v>2.4799999999999999E-2</v>
      </c>
      <c r="J2258" s="3">
        <v>2.7400000000000001E-2</v>
      </c>
    </row>
    <row r="2259" spans="1:10">
      <c r="A2259" t="s">
        <v>199</v>
      </c>
      <c r="B2259" t="s">
        <v>204</v>
      </c>
      <c r="C2259">
        <v>426</v>
      </c>
      <c r="D2259" t="s">
        <v>194</v>
      </c>
      <c r="E2259">
        <v>2677</v>
      </c>
      <c r="G2259" s="3">
        <v>0.94320000000000004</v>
      </c>
      <c r="I2259" s="3">
        <v>2.7900000000000001E-2</v>
      </c>
      <c r="J2259" s="3">
        <v>2.9000000000000001E-2</v>
      </c>
    </row>
    <row r="2260" spans="1:10">
      <c r="A2260" t="s">
        <v>199</v>
      </c>
      <c r="B2260" t="s">
        <v>205</v>
      </c>
      <c r="C2260">
        <v>506</v>
      </c>
      <c r="D2260" t="s">
        <v>194</v>
      </c>
      <c r="E2260">
        <v>2677</v>
      </c>
      <c r="F2260" s="3">
        <v>2.3999999999999998E-3</v>
      </c>
      <c r="G2260" s="3">
        <v>0.76829999999999998</v>
      </c>
      <c r="I2260" s="3">
        <v>9.5899999999999999E-2</v>
      </c>
      <c r="J2260" s="3">
        <v>0.13339999999999999</v>
      </c>
    </row>
    <row r="2261" spans="1:10">
      <c r="A2261" t="s">
        <v>200</v>
      </c>
      <c r="B2261" t="s">
        <v>200</v>
      </c>
      <c r="C2261">
        <v>2677</v>
      </c>
      <c r="D2261" t="s">
        <v>200</v>
      </c>
      <c r="E2261">
        <v>2677</v>
      </c>
      <c r="F2261" s="3">
        <v>5.0000000000000001E-3</v>
      </c>
      <c r="G2261" s="3">
        <v>0.54020000000000001</v>
      </c>
      <c r="H2261" s="3">
        <v>1E-4</v>
      </c>
      <c r="I2261" s="3">
        <v>0.35320000000000001</v>
      </c>
      <c r="J2261" s="3">
        <v>0.1014</v>
      </c>
    </row>
    <row r="2263" spans="1:10" ht="45">
      <c r="A2263" s="22" t="s">
        <v>603</v>
      </c>
    </row>
    <row r="2264" spans="1:10">
      <c r="A2264" t="s">
        <v>185</v>
      </c>
      <c r="B2264" t="s">
        <v>186</v>
      </c>
      <c r="C2264" t="s">
        <v>192</v>
      </c>
      <c r="D2264" t="s">
        <v>184</v>
      </c>
      <c r="E2264" t="s">
        <v>193</v>
      </c>
      <c r="F2264" t="s">
        <v>257</v>
      </c>
      <c r="G2264" t="s">
        <v>599</v>
      </c>
      <c r="H2264" t="s">
        <v>247</v>
      </c>
      <c r="I2264" t="s">
        <v>600</v>
      </c>
      <c r="J2264" t="s">
        <v>601</v>
      </c>
    </row>
    <row r="2265" spans="1:10">
      <c r="A2265" t="s">
        <v>195</v>
      </c>
      <c r="B2265" t="s">
        <v>207</v>
      </c>
      <c r="C2265">
        <v>322</v>
      </c>
      <c r="D2265" t="s">
        <v>194</v>
      </c>
      <c r="E2265">
        <v>2677</v>
      </c>
      <c r="F2265" s="3">
        <v>4.0000000000000002E-4</v>
      </c>
      <c r="G2265" s="3">
        <v>5.11E-2</v>
      </c>
      <c r="I2265" s="3">
        <v>0.7772</v>
      </c>
      <c r="J2265" s="3">
        <v>0.17119999999999999</v>
      </c>
    </row>
    <row r="2266" spans="1:10">
      <c r="A2266" t="s">
        <v>195</v>
      </c>
      <c r="B2266" t="s">
        <v>209</v>
      </c>
      <c r="C2266">
        <v>867</v>
      </c>
      <c r="D2266" t="s">
        <v>194</v>
      </c>
      <c r="E2266">
        <v>2677</v>
      </c>
      <c r="F2266" s="3">
        <v>6.9999999999999999E-4</v>
      </c>
      <c r="G2266" s="3">
        <v>8.9599999999999999E-2</v>
      </c>
      <c r="H2266" s="3">
        <v>4.0000000000000002E-4</v>
      </c>
      <c r="I2266" s="3">
        <v>0.73839999999999995</v>
      </c>
      <c r="J2266" s="3">
        <v>0.1709</v>
      </c>
    </row>
    <row r="2267" spans="1:10">
      <c r="A2267" t="s">
        <v>199</v>
      </c>
      <c r="B2267" t="s">
        <v>207</v>
      </c>
      <c r="C2267">
        <v>283</v>
      </c>
      <c r="D2267" t="s">
        <v>194</v>
      </c>
      <c r="E2267">
        <v>2677</v>
      </c>
      <c r="F2267" s="3">
        <v>2.3E-3</v>
      </c>
      <c r="G2267" s="3">
        <v>0.84899999999999998</v>
      </c>
      <c r="I2267" s="3">
        <v>8.0199999999999994E-2</v>
      </c>
      <c r="J2267" s="3">
        <v>6.8500000000000005E-2</v>
      </c>
    </row>
    <row r="2268" spans="1:10">
      <c r="A2268" t="s">
        <v>199</v>
      </c>
      <c r="B2268" t="s">
        <v>209</v>
      </c>
      <c r="C2268">
        <v>1205</v>
      </c>
      <c r="D2268" t="s">
        <v>194</v>
      </c>
      <c r="E2268">
        <v>2677</v>
      </c>
      <c r="F2268" s="3">
        <v>9.4000000000000004E-3</v>
      </c>
      <c r="G2268" s="3">
        <v>0.91639999999999999</v>
      </c>
      <c r="I2268" s="3">
        <v>3.15E-2</v>
      </c>
      <c r="J2268" s="3">
        <v>4.2700000000000002E-2</v>
      </c>
    </row>
    <row r="2269" spans="1:10">
      <c r="A2269" t="s">
        <v>200</v>
      </c>
      <c r="B2269" t="s">
        <v>200</v>
      </c>
      <c r="C2269">
        <v>2677</v>
      </c>
      <c r="D2269" t="s">
        <v>200</v>
      </c>
      <c r="E2269">
        <v>2677</v>
      </c>
      <c r="F2269" s="3">
        <v>5.0000000000000001E-3</v>
      </c>
      <c r="G2269" s="3">
        <v>0.54020000000000001</v>
      </c>
      <c r="H2269" s="3">
        <v>1E-4</v>
      </c>
      <c r="I2269" s="3">
        <v>0.35320000000000001</v>
      </c>
      <c r="J2269" s="3">
        <v>0.1014</v>
      </c>
    </row>
    <row r="2271" spans="1:10" ht="45">
      <c r="A2271" s="22" t="s">
        <v>604</v>
      </c>
    </row>
    <row r="2272" spans="1:10">
      <c r="A2272" t="s">
        <v>185</v>
      </c>
      <c r="B2272" t="s">
        <v>192</v>
      </c>
      <c r="C2272" t="s">
        <v>184</v>
      </c>
      <c r="D2272" t="s">
        <v>193</v>
      </c>
      <c r="E2272" t="s">
        <v>257</v>
      </c>
      <c r="F2272" t="s">
        <v>599</v>
      </c>
      <c r="G2272" t="s">
        <v>247</v>
      </c>
      <c r="H2272" t="s">
        <v>600</v>
      </c>
      <c r="I2272" t="s">
        <v>601</v>
      </c>
    </row>
    <row r="2273" spans="1:10">
      <c r="A2273" t="s">
        <v>195</v>
      </c>
      <c r="B2273">
        <v>1189</v>
      </c>
      <c r="C2273" t="s">
        <v>194</v>
      </c>
      <c r="D2273">
        <v>2677</v>
      </c>
      <c r="E2273" s="3">
        <v>5.9999999999999995E-4</v>
      </c>
      <c r="F2273" s="3">
        <v>7.9699999999999993E-2</v>
      </c>
      <c r="G2273" s="3">
        <v>2.9999999999999997E-4</v>
      </c>
      <c r="H2273" s="3">
        <v>0.74839999999999995</v>
      </c>
      <c r="I2273" s="3">
        <v>0.17100000000000001</v>
      </c>
    </row>
    <row r="2274" spans="1:10">
      <c r="A2274" t="s">
        <v>199</v>
      </c>
      <c r="B2274">
        <v>1488</v>
      </c>
      <c r="C2274" t="s">
        <v>194</v>
      </c>
      <c r="D2274">
        <v>2677</v>
      </c>
      <c r="E2274" s="3">
        <v>8.5000000000000006E-3</v>
      </c>
      <c r="F2274" s="3">
        <v>0.90820000000000001</v>
      </c>
      <c r="H2274" s="3">
        <v>3.7400000000000003E-2</v>
      </c>
      <c r="I2274" s="3">
        <v>4.5900000000000003E-2</v>
      </c>
    </row>
    <row r="2275" spans="1:10">
      <c r="A2275" t="s">
        <v>200</v>
      </c>
      <c r="B2275">
        <v>2677</v>
      </c>
      <c r="C2275" t="s">
        <v>200</v>
      </c>
      <c r="D2275">
        <v>2677</v>
      </c>
      <c r="E2275" s="3">
        <v>5.0000000000000001E-3</v>
      </c>
      <c r="F2275" s="3">
        <v>0.54020000000000001</v>
      </c>
      <c r="G2275" s="3">
        <v>1E-4</v>
      </c>
      <c r="H2275" s="3">
        <v>0.35320000000000001</v>
      </c>
      <c r="I2275" s="3">
        <v>0.1014</v>
      </c>
    </row>
    <row r="2277" spans="1:10" ht="30">
      <c r="A2277" s="22" t="s">
        <v>605</v>
      </c>
    </row>
    <row r="2278" spans="1:10">
      <c r="A2278" t="s">
        <v>185</v>
      </c>
      <c r="B2278" t="s">
        <v>186</v>
      </c>
      <c r="C2278" t="s">
        <v>192</v>
      </c>
      <c r="D2278" t="s">
        <v>184</v>
      </c>
      <c r="E2278" t="s">
        <v>193</v>
      </c>
      <c r="F2278" t="s">
        <v>257</v>
      </c>
      <c r="G2278" t="s">
        <v>599</v>
      </c>
      <c r="H2278" t="s">
        <v>247</v>
      </c>
      <c r="I2278" t="s">
        <v>600</v>
      </c>
      <c r="J2278" t="s">
        <v>601</v>
      </c>
    </row>
    <row r="2279" spans="1:10">
      <c r="A2279" t="s">
        <v>195</v>
      </c>
      <c r="B2279" t="s">
        <v>212</v>
      </c>
      <c r="C2279">
        <v>873</v>
      </c>
      <c r="D2279" t="s">
        <v>194</v>
      </c>
      <c r="E2279">
        <v>2677</v>
      </c>
      <c r="F2279" s="3">
        <v>1E-4</v>
      </c>
      <c r="G2279" s="3">
        <v>6.6400000000000001E-2</v>
      </c>
      <c r="H2279" s="3">
        <v>4.0000000000000002E-4</v>
      </c>
      <c r="I2279" s="3">
        <v>0.74860000000000004</v>
      </c>
      <c r="J2279" s="3">
        <v>0.1845</v>
      </c>
    </row>
    <row r="2280" spans="1:10">
      <c r="A2280" t="s">
        <v>195</v>
      </c>
      <c r="B2280" t="s">
        <v>214</v>
      </c>
      <c r="C2280">
        <v>181</v>
      </c>
      <c r="D2280" t="s">
        <v>194</v>
      </c>
      <c r="E2280">
        <v>2677</v>
      </c>
      <c r="F2280" s="3">
        <v>3.3999999999999998E-3</v>
      </c>
      <c r="G2280" s="3">
        <v>0.15429999999999999</v>
      </c>
      <c r="I2280" s="3">
        <v>0.7994</v>
      </c>
      <c r="J2280" s="3">
        <v>4.2799999999999998E-2</v>
      </c>
    </row>
    <row r="2281" spans="1:10">
      <c r="A2281" t="s">
        <v>195</v>
      </c>
      <c r="B2281" t="s">
        <v>215</v>
      </c>
      <c r="C2281">
        <v>135</v>
      </c>
      <c r="D2281" t="s">
        <v>194</v>
      </c>
      <c r="E2281">
        <v>2677</v>
      </c>
      <c r="G2281" s="3">
        <v>5.1799999999999999E-2</v>
      </c>
      <c r="I2281" s="3">
        <v>0.64559999999999995</v>
      </c>
      <c r="J2281" s="3">
        <v>0.30259999999999998</v>
      </c>
    </row>
    <row r="2282" spans="1:10">
      <c r="A2282" t="s">
        <v>199</v>
      </c>
      <c r="B2282" t="s">
        <v>212</v>
      </c>
      <c r="C2282">
        <v>1118</v>
      </c>
      <c r="D2282" t="s">
        <v>194</v>
      </c>
      <c r="E2282">
        <v>2677</v>
      </c>
      <c r="F2282" s="3">
        <v>4.7000000000000002E-3</v>
      </c>
      <c r="G2282" s="3">
        <v>0.91559999999999997</v>
      </c>
      <c r="I2282" s="3">
        <v>2.86E-2</v>
      </c>
      <c r="J2282" s="3">
        <v>5.11E-2</v>
      </c>
    </row>
    <row r="2283" spans="1:10">
      <c r="A2283" t="s">
        <v>199</v>
      </c>
      <c r="B2283" t="s">
        <v>214</v>
      </c>
      <c r="C2283">
        <v>197</v>
      </c>
      <c r="D2283" t="s">
        <v>194</v>
      </c>
      <c r="E2283">
        <v>2677</v>
      </c>
      <c r="G2283" s="3">
        <v>0.92220000000000002</v>
      </c>
      <c r="I2283" s="3">
        <v>7.46E-2</v>
      </c>
      <c r="J2283" s="3">
        <v>3.2000000000000002E-3</v>
      </c>
    </row>
    <row r="2284" spans="1:10">
      <c r="A2284" t="s">
        <v>199</v>
      </c>
      <c r="B2284" t="s">
        <v>215</v>
      </c>
      <c r="C2284">
        <v>173</v>
      </c>
      <c r="D2284" t="s">
        <v>194</v>
      </c>
      <c r="E2284">
        <v>2677</v>
      </c>
      <c r="F2284" s="3">
        <v>5.8500000000000003E-2</v>
      </c>
      <c r="G2284" s="3">
        <v>0.81540000000000001</v>
      </c>
      <c r="I2284" s="3">
        <v>5.1299999999999998E-2</v>
      </c>
      <c r="J2284" s="3">
        <v>7.4800000000000005E-2</v>
      </c>
    </row>
    <row r="2285" spans="1:10">
      <c r="A2285" t="s">
        <v>200</v>
      </c>
      <c r="B2285" t="s">
        <v>200</v>
      </c>
      <c r="C2285">
        <v>2677</v>
      </c>
      <c r="D2285" t="s">
        <v>200</v>
      </c>
      <c r="E2285">
        <v>2677</v>
      </c>
      <c r="F2285" s="3">
        <v>5.0000000000000001E-3</v>
      </c>
      <c r="G2285" s="3">
        <v>0.54020000000000001</v>
      </c>
      <c r="H2285" s="3">
        <v>1E-4</v>
      </c>
      <c r="I2285" s="3">
        <v>0.35320000000000001</v>
      </c>
      <c r="J2285" s="3">
        <v>0.1014</v>
      </c>
    </row>
    <row r="2287" spans="1:10" ht="45">
      <c r="A2287" s="22" t="s">
        <v>606</v>
      </c>
    </row>
    <row r="2288" spans="1:10">
      <c r="A2288" t="s">
        <v>185</v>
      </c>
      <c r="B2288" t="s">
        <v>186</v>
      </c>
      <c r="C2288" t="s">
        <v>192</v>
      </c>
      <c r="D2288" t="s">
        <v>184</v>
      </c>
      <c r="E2288" t="s">
        <v>193</v>
      </c>
      <c r="F2288" t="s">
        <v>257</v>
      </c>
      <c r="G2288" t="s">
        <v>599</v>
      </c>
      <c r="H2288" t="s">
        <v>247</v>
      </c>
      <c r="I2288" t="s">
        <v>600</v>
      </c>
      <c r="J2288" t="s">
        <v>601</v>
      </c>
    </row>
    <row r="2289" spans="1:10">
      <c r="A2289" t="s">
        <v>195</v>
      </c>
      <c r="B2289" t="s">
        <v>217</v>
      </c>
      <c r="C2289">
        <v>499</v>
      </c>
      <c r="D2289" t="s">
        <v>194</v>
      </c>
      <c r="E2289">
        <v>2677</v>
      </c>
      <c r="F2289" s="3">
        <v>1E-4</v>
      </c>
      <c r="G2289" s="3">
        <v>6.4199999999999993E-2</v>
      </c>
      <c r="H2289" s="3">
        <v>8.0000000000000004E-4</v>
      </c>
      <c r="I2289" s="3">
        <v>0.66039999999999999</v>
      </c>
      <c r="J2289" s="3">
        <v>0.27460000000000001</v>
      </c>
    </row>
    <row r="2290" spans="1:10">
      <c r="A2290" t="s">
        <v>195</v>
      </c>
      <c r="B2290" t="s">
        <v>219</v>
      </c>
      <c r="C2290">
        <v>507</v>
      </c>
      <c r="D2290" t="s">
        <v>194</v>
      </c>
      <c r="E2290">
        <v>2677</v>
      </c>
      <c r="F2290" s="3">
        <v>1.5E-3</v>
      </c>
      <c r="G2290" s="3">
        <v>5.8200000000000002E-2</v>
      </c>
      <c r="I2290" s="3">
        <v>0.85299999999999998</v>
      </c>
      <c r="J2290" s="3">
        <v>8.7300000000000003E-2</v>
      </c>
    </row>
    <row r="2291" spans="1:10">
      <c r="A2291" t="s">
        <v>195</v>
      </c>
      <c r="B2291" t="s">
        <v>220</v>
      </c>
      <c r="C2291">
        <v>182</v>
      </c>
      <c r="D2291" t="s">
        <v>194</v>
      </c>
      <c r="E2291">
        <v>2677</v>
      </c>
      <c r="G2291" s="3">
        <v>0.159</v>
      </c>
      <c r="I2291" s="3">
        <v>0.7278</v>
      </c>
      <c r="J2291" s="3">
        <v>0.1132</v>
      </c>
    </row>
    <row r="2292" spans="1:10">
      <c r="A2292" t="s">
        <v>199</v>
      </c>
      <c r="B2292" t="s">
        <v>217</v>
      </c>
      <c r="C2292">
        <v>814</v>
      </c>
      <c r="D2292" t="s">
        <v>194</v>
      </c>
      <c r="E2292">
        <v>2677</v>
      </c>
      <c r="F2292" s="3">
        <v>2.2000000000000001E-3</v>
      </c>
      <c r="G2292" s="3">
        <v>0.9133</v>
      </c>
      <c r="I2292" s="3">
        <v>3.09E-2</v>
      </c>
      <c r="J2292" s="3">
        <v>5.3499999999999999E-2</v>
      </c>
    </row>
    <row r="2293" spans="1:10">
      <c r="A2293" t="s">
        <v>199</v>
      </c>
      <c r="B2293" t="s">
        <v>219</v>
      </c>
      <c r="C2293">
        <v>451</v>
      </c>
      <c r="D2293" t="s">
        <v>194</v>
      </c>
      <c r="E2293">
        <v>2677</v>
      </c>
      <c r="G2293" s="3">
        <v>0.91949999999999998</v>
      </c>
      <c r="I2293" s="3">
        <v>4.82E-2</v>
      </c>
      <c r="J2293" s="3">
        <v>3.2300000000000002E-2</v>
      </c>
    </row>
    <row r="2294" spans="1:10">
      <c r="A2294" t="s">
        <v>199</v>
      </c>
      <c r="B2294" t="s">
        <v>220</v>
      </c>
      <c r="C2294">
        <v>223</v>
      </c>
      <c r="D2294" t="s">
        <v>194</v>
      </c>
      <c r="E2294">
        <v>2677</v>
      </c>
      <c r="F2294" s="3">
        <v>4.5999999999999999E-2</v>
      </c>
      <c r="G2294" s="3">
        <v>0.87070000000000003</v>
      </c>
      <c r="I2294" s="3">
        <v>4.53E-2</v>
      </c>
      <c r="J2294" s="3">
        <v>3.7999999999999999E-2</v>
      </c>
    </row>
    <row r="2295" spans="1:10">
      <c r="A2295" t="s">
        <v>200</v>
      </c>
      <c r="B2295" t="s">
        <v>200</v>
      </c>
      <c r="C2295">
        <v>2677</v>
      </c>
      <c r="D2295" t="s">
        <v>200</v>
      </c>
      <c r="E2295">
        <v>2677</v>
      </c>
      <c r="F2295" s="3">
        <v>5.0000000000000001E-3</v>
      </c>
      <c r="G2295" s="3">
        <v>0.54020000000000001</v>
      </c>
      <c r="H2295" s="3">
        <v>1E-4</v>
      </c>
      <c r="I2295" s="3">
        <v>0.35320000000000001</v>
      </c>
      <c r="J2295" s="3">
        <v>0.1014</v>
      </c>
    </row>
    <row r="2297" spans="1:10" ht="45">
      <c r="A2297" s="22" t="s">
        <v>607</v>
      </c>
    </row>
    <row r="2298" spans="1:10">
      <c r="A2298" t="s">
        <v>185</v>
      </c>
      <c r="B2298" t="s">
        <v>186</v>
      </c>
      <c r="C2298" t="s">
        <v>192</v>
      </c>
      <c r="D2298" t="s">
        <v>184</v>
      </c>
      <c r="E2298" t="s">
        <v>193</v>
      </c>
      <c r="F2298" t="s">
        <v>257</v>
      </c>
      <c r="G2298" t="s">
        <v>226</v>
      </c>
      <c r="H2298" t="s">
        <v>247</v>
      </c>
      <c r="I2298" t="s">
        <v>227</v>
      </c>
    </row>
    <row r="2299" spans="1:10">
      <c r="A2299" t="s">
        <v>195</v>
      </c>
      <c r="B2299" t="s">
        <v>196</v>
      </c>
      <c r="C2299">
        <v>327</v>
      </c>
      <c r="D2299" t="s">
        <v>194</v>
      </c>
      <c r="E2299">
        <v>1790</v>
      </c>
      <c r="G2299" s="3">
        <v>9.0700000000000003E-2</v>
      </c>
      <c r="I2299" s="3">
        <v>0.9093</v>
      </c>
    </row>
    <row r="2300" spans="1:10">
      <c r="A2300" t="s">
        <v>195</v>
      </c>
      <c r="B2300" t="s">
        <v>198</v>
      </c>
      <c r="C2300">
        <v>463</v>
      </c>
      <c r="D2300" t="s">
        <v>194</v>
      </c>
      <c r="E2300">
        <v>1790</v>
      </c>
      <c r="F2300" s="3">
        <v>1.2999999999999999E-3</v>
      </c>
      <c r="G2300" s="3">
        <v>3.7999999999999999E-2</v>
      </c>
      <c r="H2300" s="3">
        <v>1.1999999999999999E-3</v>
      </c>
      <c r="I2300" s="3">
        <v>0.95950000000000002</v>
      </c>
    </row>
    <row r="2301" spans="1:10">
      <c r="A2301" t="s">
        <v>199</v>
      </c>
      <c r="B2301" t="s">
        <v>196</v>
      </c>
      <c r="C2301">
        <v>412</v>
      </c>
      <c r="D2301" t="s">
        <v>194</v>
      </c>
      <c r="E2301">
        <v>1790</v>
      </c>
      <c r="G2301" s="3">
        <v>3.1600000000000003E-2</v>
      </c>
      <c r="I2301" s="3">
        <v>0.96840000000000004</v>
      </c>
    </row>
    <row r="2302" spans="1:10">
      <c r="A2302" t="s">
        <v>199</v>
      </c>
      <c r="B2302" t="s">
        <v>198</v>
      </c>
      <c r="C2302">
        <v>559</v>
      </c>
      <c r="D2302" t="s">
        <v>194</v>
      </c>
      <c r="E2302">
        <v>1790</v>
      </c>
      <c r="G2302" s="3">
        <v>4.9500000000000002E-2</v>
      </c>
      <c r="I2302" s="3">
        <v>0.95050000000000001</v>
      </c>
    </row>
    <row r="2303" spans="1:10">
      <c r="A2303" t="s">
        <v>200</v>
      </c>
      <c r="B2303" t="s">
        <v>200</v>
      </c>
      <c r="C2303">
        <v>1790</v>
      </c>
      <c r="D2303" t="s">
        <v>200</v>
      </c>
      <c r="E2303">
        <v>1790</v>
      </c>
      <c r="F2303" s="3">
        <v>4.0000000000000002E-4</v>
      </c>
      <c r="G2303" s="3">
        <v>4.8399999999999999E-2</v>
      </c>
      <c r="H2303" s="3">
        <v>4.0000000000000002E-4</v>
      </c>
      <c r="I2303" s="3">
        <v>0.95069999999999999</v>
      </c>
    </row>
    <row r="2305" spans="1:9" ht="60">
      <c r="A2305" s="22" t="s">
        <v>608</v>
      </c>
    </row>
    <row r="2306" spans="1:9">
      <c r="A2306" t="s">
        <v>185</v>
      </c>
      <c r="B2306" t="s">
        <v>186</v>
      </c>
      <c r="C2306" t="s">
        <v>192</v>
      </c>
      <c r="D2306" t="s">
        <v>184</v>
      </c>
      <c r="E2306" t="s">
        <v>193</v>
      </c>
      <c r="F2306" t="s">
        <v>257</v>
      </c>
      <c r="G2306" t="s">
        <v>226</v>
      </c>
      <c r="H2306" t="s">
        <v>247</v>
      </c>
      <c r="I2306" t="s">
        <v>227</v>
      </c>
    </row>
    <row r="2307" spans="1:9">
      <c r="A2307" t="s">
        <v>195</v>
      </c>
      <c r="B2307" t="s">
        <v>202</v>
      </c>
      <c r="C2307">
        <v>328</v>
      </c>
      <c r="D2307" t="s">
        <v>194</v>
      </c>
      <c r="E2307">
        <v>1790</v>
      </c>
      <c r="G2307" s="3">
        <v>3.8800000000000001E-2</v>
      </c>
      <c r="H2307" s="3">
        <v>1.2999999999999999E-3</v>
      </c>
      <c r="I2307" s="3">
        <v>0.95979999999999999</v>
      </c>
    </row>
    <row r="2308" spans="1:9">
      <c r="A2308" t="s">
        <v>195</v>
      </c>
      <c r="B2308" t="s">
        <v>204</v>
      </c>
      <c r="C2308">
        <v>233</v>
      </c>
      <c r="D2308" t="s">
        <v>194</v>
      </c>
      <c r="E2308">
        <v>1790</v>
      </c>
      <c r="G2308" s="3">
        <v>3.56E-2</v>
      </c>
      <c r="I2308" s="3">
        <v>0.96440000000000003</v>
      </c>
    </row>
    <row r="2309" spans="1:9">
      <c r="A2309" t="s">
        <v>195</v>
      </c>
      <c r="B2309" t="s">
        <v>205</v>
      </c>
      <c r="C2309">
        <v>229</v>
      </c>
      <c r="D2309" t="s">
        <v>194</v>
      </c>
      <c r="E2309">
        <v>1790</v>
      </c>
      <c r="F2309" s="3">
        <v>6.1999999999999998E-3</v>
      </c>
      <c r="G2309" s="3">
        <v>0.1313</v>
      </c>
      <c r="I2309" s="3">
        <v>0.86250000000000004</v>
      </c>
    </row>
    <row r="2310" spans="1:9">
      <c r="A2310" t="s">
        <v>199</v>
      </c>
      <c r="B2310" t="s">
        <v>202</v>
      </c>
      <c r="C2310">
        <v>335</v>
      </c>
      <c r="D2310" t="s">
        <v>194</v>
      </c>
      <c r="E2310">
        <v>1790</v>
      </c>
      <c r="G2310" s="3">
        <v>2.9700000000000001E-2</v>
      </c>
      <c r="I2310" s="3">
        <v>0.97030000000000005</v>
      </c>
    </row>
    <row r="2311" spans="1:9">
      <c r="A2311" t="s">
        <v>199</v>
      </c>
      <c r="B2311" t="s">
        <v>204</v>
      </c>
      <c r="C2311">
        <v>278</v>
      </c>
      <c r="D2311" t="s">
        <v>194</v>
      </c>
      <c r="E2311">
        <v>1790</v>
      </c>
      <c r="G2311" s="3">
        <v>6.0299999999999999E-2</v>
      </c>
      <c r="I2311" s="3">
        <v>0.93969999999999998</v>
      </c>
    </row>
    <row r="2312" spans="1:9">
      <c r="A2312" t="s">
        <v>199</v>
      </c>
      <c r="B2312" t="s">
        <v>205</v>
      </c>
      <c r="C2312">
        <v>358</v>
      </c>
      <c r="D2312" t="s">
        <v>194</v>
      </c>
      <c r="E2312">
        <v>1790</v>
      </c>
      <c r="G2312" s="3">
        <v>8.2699999999999996E-2</v>
      </c>
      <c r="I2312" s="3">
        <v>0.9173</v>
      </c>
    </row>
    <row r="2313" spans="1:9">
      <c r="A2313" t="s">
        <v>200</v>
      </c>
      <c r="B2313" t="s">
        <v>200</v>
      </c>
      <c r="C2313">
        <v>1790</v>
      </c>
      <c r="D2313" t="s">
        <v>200</v>
      </c>
      <c r="E2313">
        <v>1790</v>
      </c>
      <c r="F2313" s="3">
        <v>4.0000000000000002E-4</v>
      </c>
      <c r="G2313" s="3">
        <v>4.8399999999999999E-2</v>
      </c>
      <c r="H2313" s="3">
        <v>4.0000000000000002E-4</v>
      </c>
      <c r="I2313" s="3">
        <v>0.95069999999999999</v>
      </c>
    </row>
    <row r="2315" spans="1:9" ht="60">
      <c r="A2315" s="22" t="s">
        <v>609</v>
      </c>
    </row>
    <row r="2316" spans="1:9">
      <c r="A2316" t="s">
        <v>185</v>
      </c>
      <c r="B2316" t="s">
        <v>186</v>
      </c>
      <c r="C2316" t="s">
        <v>192</v>
      </c>
      <c r="D2316" t="s">
        <v>184</v>
      </c>
      <c r="E2316" t="s">
        <v>193</v>
      </c>
      <c r="F2316" t="s">
        <v>257</v>
      </c>
      <c r="G2316" t="s">
        <v>226</v>
      </c>
      <c r="H2316" t="s">
        <v>247</v>
      </c>
      <c r="I2316" t="s">
        <v>227</v>
      </c>
    </row>
    <row r="2317" spans="1:9">
      <c r="A2317" t="s">
        <v>195</v>
      </c>
      <c r="B2317" t="s">
        <v>207</v>
      </c>
      <c r="C2317">
        <v>172</v>
      </c>
      <c r="D2317" t="s">
        <v>194</v>
      </c>
      <c r="E2317">
        <v>1790</v>
      </c>
      <c r="G2317" s="3">
        <v>2.4199999999999999E-2</v>
      </c>
      <c r="I2317" s="3">
        <v>0.9758</v>
      </c>
    </row>
    <row r="2318" spans="1:9">
      <c r="A2318" t="s">
        <v>195</v>
      </c>
      <c r="B2318" t="s">
        <v>209</v>
      </c>
      <c r="C2318">
        <v>635</v>
      </c>
      <c r="D2318" t="s">
        <v>194</v>
      </c>
      <c r="E2318">
        <v>1790</v>
      </c>
      <c r="F2318" s="3">
        <v>1.1999999999999999E-3</v>
      </c>
      <c r="G2318" s="3">
        <v>6.0299999999999999E-2</v>
      </c>
      <c r="H2318" s="3">
        <v>1.1000000000000001E-3</v>
      </c>
      <c r="I2318" s="3">
        <v>0.93740000000000001</v>
      </c>
    </row>
    <row r="2319" spans="1:9">
      <c r="A2319" t="s">
        <v>199</v>
      </c>
      <c r="B2319" t="s">
        <v>207</v>
      </c>
      <c r="C2319">
        <v>156</v>
      </c>
      <c r="D2319" t="s">
        <v>194</v>
      </c>
      <c r="E2319">
        <v>1790</v>
      </c>
      <c r="G2319" s="3">
        <v>2.7699999999999999E-2</v>
      </c>
      <c r="I2319" s="3">
        <v>0.97230000000000005</v>
      </c>
    </row>
    <row r="2320" spans="1:9">
      <c r="A2320" t="s">
        <v>199</v>
      </c>
      <c r="B2320" t="s">
        <v>209</v>
      </c>
      <c r="C2320">
        <v>827</v>
      </c>
      <c r="D2320" t="s">
        <v>194</v>
      </c>
      <c r="E2320">
        <v>1790</v>
      </c>
      <c r="G2320" s="3">
        <v>4.7699999999999999E-2</v>
      </c>
      <c r="I2320" s="3">
        <v>0.95230000000000004</v>
      </c>
    </row>
    <row r="2321" spans="1:9">
      <c r="A2321" t="s">
        <v>200</v>
      </c>
      <c r="B2321" t="s">
        <v>200</v>
      </c>
      <c r="C2321">
        <v>1790</v>
      </c>
      <c r="D2321" t="s">
        <v>200</v>
      </c>
      <c r="E2321">
        <v>1790</v>
      </c>
      <c r="F2321" s="3">
        <v>4.0000000000000002E-4</v>
      </c>
      <c r="G2321" s="3">
        <v>4.8399999999999999E-2</v>
      </c>
      <c r="H2321" s="3">
        <v>4.0000000000000002E-4</v>
      </c>
      <c r="I2321" s="3">
        <v>0.95069999999999999</v>
      </c>
    </row>
    <row r="2323" spans="1:9" ht="60">
      <c r="A2323" s="22" t="s">
        <v>610</v>
      </c>
    </row>
    <row r="2324" spans="1:9">
      <c r="A2324" t="s">
        <v>185</v>
      </c>
      <c r="B2324" t="s">
        <v>192</v>
      </c>
      <c r="C2324" t="s">
        <v>184</v>
      </c>
      <c r="D2324" t="s">
        <v>193</v>
      </c>
      <c r="E2324" t="s">
        <v>257</v>
      </c>
      <c r="F2324" t="s">
        <v>226</v>
      </c>
      <c r="G2324" t="s">
        <v>247</v>
      </c>
      <c r="H2324" t="s">
        <v>227</v>
      </c>
    </row>
    <row r="2325" spans="1:9">
      <c r="A2325" t="s">
        <v>195</v>
      </c>
      <c r="B2325">
        <v>807</v>
      </c>
      <c r="C2325" t="s">
        <v>194</v>
      </c>
      <c r="D2325">
        <v>1790</v>
      </c>
      <c r="E2325" s="3">
        <v>1E-3</v>
      </c>
      <c r="F2325" s="3">
        <v>5.2600000000000001E-2</v>
      </c>
      <c r="G2325" s="3">
        <v>8.0000000000000004E-4</v>
      </c>
      <c r="H2325" s="3">
        <v>0.9456</v>
      </c>
    </row>
    <row r="2326" spans="1:9">
      <c r="A2326" t="s">
        <v>199</v>
      </c>
      <c r="B2326">
        <v>983</v>
      </c>
      <c r="C2326" t="s">
        <v>194</v>
      </c>
      <c r="D2326">
        <v>1790</v>
      </c>
      <c r="F2326" s="3">
        <v>4.4999999999999998E-2</v>
      </c>
      <c r="H2326" s="3">
        <v>0.95499999999999996</v>
      </c>
    </row>
    <row r="2327" spans="1:9">
      <c r="A2327" t="s">
        <v>200</v>
      </c>
      <c r="B2327">
        <v>1790</v>
      </c>
      <c r="C2327" t="s">
        <v>200</v>
      </c>
      <c r="D2327">
        <v>1790</v>
      </c>
      <c r="E2327" s="3">
        <v>4.0000000000000002E-4</v>
      </c>
      <c r="F2327" s="3">
        <v>4.8399999999999999E-2</v>
      </c>
      <c r="G2327" s="3">
        <v>4.0000000000000002E-4</v>
      </c>
      <c r="H2327" s="3">
        <v>0.95069999999999999</v>
      </c>
    </row>
    <row r="2329" spans="1:9" ht="45">
      <c r="A2329" s="22" t="s">
        <v>611</v>
      </c>
    </row>
    <row r="2330" spans="1:9">
      <c r="A2330" t="s">
        <v>185</v>
      </c>
      <c r="B2330" t="s">
        <v>186</v>
      </c>
      <c r="C2330" t="s">
        <v>192</v>
      </c>
      <c r="D2330" t="s">
        <v>184</v>
      </c>
      <c r="E2330" t="s">
        <v>193</v>
      </c>
      <c r="F2330" t="s">
        <v>257</v>
      </c>
      <c r="G2330" t="s">
        <v>226</v>
      </c>
      <c r="H2330" t="s">
        <v>247</v>
      </c>
      <c r="I2330" t="s">
        <v>227</v>
      </c>
    </row>
    <row r="2331" spans="1:9">
      <c r="A2331" t="s">
        <v>195</v>
      </c>
      <c r="B2331" t="s">
        <v>212</v>
      </c>
      <c r="C2331">
        <v>557</v>
      </c>
      <c r="D2331" t="s">
        <v>194</v>
      </c>
      <c r="E2331">
        <v>1790</v>
      </c>
      <c r="F2331" s="3">
        <v>1.2999999999999999E-3</v>
      </c>
      <c r="G2331" s="3">
        <v>4.6899999999999997E-2</v>
      </c>
      <c r="I2331" s="3">
        <v>0.95179999999999998</v>
      </c>
    </row>
    <row r="2332" spans="1:9">
      <c r="A2332" t="s">
        <v>195</v>
      </c>
      <c r="B2332" t="s">
        <v>215</v>
      </c>
      <c r="C2332">
        <v>250</v>
      </c>
      <c r="D2332" t="s">
        <v>194</v>
      </c>
      <c r="E2332">
        <v>1790</v>
      </c>
      <c r="G2332" s="3">
        <v>6.8000000000000005E-2</v>
      </c>
      <c r="H2332" s="3">
        <v>3.0999999999999999E-3</v>
      </c>
      <c r="I2332" s="3">
        <v>0.92889999999999995</v>
      </c>
    </row>
    <row r="2333" spans="1:9">
      <c r="A2333" t="s">
        <v>199</v>
      </c>
      <c r="B2333" t="s">
        <v>212</v>
      </c>
      <c r="C2333">
        <v>659</v>
      </c>
      <c r="D2333" t="s">
        <v>194</v>
      </c>
      <c r="E2333">
        <v>1790</v>
      </c>
      <c r="G2333" s="3">
        <v>3.39E-2</v>
      </c>
      <c r="I2333" s="3">
        <v>0.96609999999999996</v>
      </c>
    </row>
    <row r="2334" spans="1:9">
      <c r="A2334" t="s">
        <v>199</v>
      </c>
      <c r="B2334" t="s">
        <v>215</v>
      </c>
      <c r="C2334">
        <v>324</v>
      </c>
      <c r="D2334" t="s">
        <v>194</v>
      </c>
      <c r="E2334">
        <v>1790</v>
      </c>
      <c r="G2334" s="3">
        <v>7.4499999999999997E-2</v>
      </c>
      <c r="I2334" s="3">
        <v>0.92549999999999999</v>
      </c>
    </row>
    <row r="2335" spans="1:9">
      <c r="A2335" t="s">
        <v>200</v>
      </c>
      <c r="B2335" t="s">
        <v>200</v>
      </c>
      <c r="C2335">
        <v>1790</v>
      </c>
      <c r="D2335" t="s">
        <v>200</v>
      </c>
      <c r="E2335">
        <v>1790</v>
      </c>
      <c r="F2335" s="3">
        <v>4.0000000000000002E-4</v>
      </c>
      <c r="G2335" s="3">
        <v>4.8399999999999999E-2</v>
      </c>
      <c r="H2335" s="3">
        <v>4.0000000000000002E-4</v>
      </c>
      <c r="I2335" s="3">
        <v>0.95069999999999999</v>
      </c>
    </row>
    <row r="2337" spans="1:10" ht="60">
      <c r="A2337" s="22" t="s">
        <v>612</v>
      </c>
    </row>
    <row r="2338" spans="1:10">
      <c r="A2338" t="s">
        <v>185</v>
      </c>
      <c r="B2338" t="s">
        <v>186</v>
      </c>
      <c r="C2338" t="s">
        <v>192</v>
      </c>
      <c r="D2338" t="s">
        <v>184</v>
      </c>
      <c r="E2338" t="s">
        <v>193</v>
      </c>
      <c r="F2338" t="s">
        <v>257</v>
      </c>
      <c r="G2338" t="s">
        <v>226</v>
      </c>
      <c r="H2338" t="s">
        <v>247</v>
      </c>
      <c r="I2338" t="s">
        <v>227</v>
      </c>
    </row>
    <row r="2339" spans="1:10">
      <c r="A2339" t="s">
        <v>195</v>
      </c>
      <c r="B2339" t="s">
        <v>613</v>
      </c>
      <c r="C2339">
        <v>288</v>
      </c>
      <c r="D2339" t="s">
        <v>194</v>
      </c>
      <c r="E2339">
        <v>1790</v>
      </c>
      <c r="G2339" s="3">
        <v>9.7000000000000003E-3</v>
      </c>
      <c r="I2339" s="3">
        <v>0.99029999999999996</v>
      </c>
    </row>
    <row r="2340" spans="1:10">
      <c r="A2340" t="s">
        <v>195</v>
      </c>
      <c r="B2340" t="s">
        <v>614</v>
      </c>
      <c r="C2340">
        <v>35</v>
      </c>
      <c r="D2340" t="s">
        <v>194</v>
      </c>
      <c r="E2340">
        <v>1790</v>
      </c>
      <c r="F2340" s="3">
        <v>2.4500000000000001E-2</v>
      </c>
      <c r="G2340" s="3">
        <v>8.1199999999999994E-2</v>
      </c>
      <c r="I2340" s="3">
        <v>0.89429999999999998</v>
      </c>
    </row>
    <row r="2341" spans="1:10">
      <c r="A2341" t="s">
        <v>195</v>
      </c>
      <c r="B2341" t="s">
        <v>615</v>
      </c>
      <c r="C2341">
        <v>89</v>
      </c>
      <c r="D2341" t="s">
        <v>194</v>
      </c>
      <c r="E2341">
        <v>1790</v>
      </c>
      <c r="G2341" s="3">
        <v>0.30590000000000001</v>
      </c>
      <c r="I2341" s="3">
        <v>0.69410000000000005</v>
      </c>
    </row>
    <row r="2342" spans="1:10">
      <c r="A2342" t="s">
        <v>195</v>
      </c>
      <c r="B2342" t="s">
        <v>616</v>
      </c>
      <c r="C2342">
        <v>395</v>
      </c>
      <c r="D2342" t="s">
        <v>194</v>
      </c>
      <c r="E2342">
        <v>1790</v>
      </c>
      <c r="G2342" s="3">
        <v>8.5000000000000006E-3</v>
      </c>
      <c r="H2342" s="3">
        <v>1.6999999999999999E-3</v>
      </c>
      <c r="I2342" s="3">
        <v>0.98980000000000001</v>
      </c>
    </row>
    <row r="2343" spans="1:10">
      <c r="A2343" t="s">
        <v>199</v>
      </c>
      <c r="B2343" t="s">
        <v>613</v>
      </c>
      <c r="C2343">
        <v>359</v>
      </c>
      <c r="D2343" t="s">
        <v>194</v>
      </c>
      <c r="E2343">
        <v>1790</v>
      </c>
      <c r="G2343" s="3">
        <v>1.09E-2</v>
      </c>
      <c r="I2343" s="3">
        <v>0.98909999999999998</v>
      </c>
    </row>
    <row r="2344" spans="1:10">
      <c r="A2344" t="s">
        <v>199</v>
      </c>
      <c r="B2344" t="s">
        <v>614</v>
      </c>
      <c r="C2344">
        <v>44</v>
      </c>
      <c r="D2344" t="s">
        <v>194</v>
      </c>
      <c r="E2344">
        <v>1790</v>
      </c>
      <c r="G2344" s="3">
        <v>1.38E-2</v>
      </c>
      <c r="I2344" s="3">
        <v>0.98619999999999997</v>
      </c>
    </row>
    <row r="2345" spans="1:10">
      <c r="A2345" t="s">
        <v>199</v>
      </c>
      <c r="B2345" t="s">
        <v>615</v>
      </c>
      <c r="C2345">
        <v>114</v>
      </c>
      <c r="D2345" t="s">
        <v>194</v>
      </c>
      <c r="E2345">
        <v>1790</v>
      </c>
      <c r="G2345" s="3">
        <v>0.26919999999999999</v>
      </c>
      <c r="I2345" s="3">
        <v>0.73080000000000001</v>
      </c>
    </row>
    <row r="2346" spans="1:10">
      <c r="A2346" t="s">
        <v>199</v>
      </c>
      <c r="B2346" t="s">
        <v>616</v>
      </c>
      <c r="C2346">
        <v>466</v>
      </c>
      <c r="D2346" t="s">
        <v>194</v>
      </c>
      <c r="E2346">
        <v>1790</v>
      </c>
      <c r="G2346" s="3">
        <v>1.72E-2</v>
      </c>
      <c r="I2346" s="3">
        <v>0.98280000000000001</v>
      </c>
    </row>
    <row r="2347" spans="1:10">
      <c r="A2347" t="s">
        <v>200</v>
      </c>
      <c r="B2347" t="s">
        <v>200</v>
      </c>
      <c r="C2347">
        <v>1790</v>
      </c>
      <c r="D2347" t="s">
        <v>200</v>
      </c>
      <c r="E2347">
        <v>1790</v>
      </c>
      <c r="F2347" s="3">
        <v>4.0000000000000002E-4</v>
      </c>
      <c r="G2347" s="3">
        <v>4.8399999999999999E-2</v>
      </c>
      <c r="H2347" s="3">
        <v>4.0000000000000002E-4</v>
      </c>
      <c r="I2347" s="3">
        <v>0.95069999999999999</v>
      </c>
    </row>
    <row r="2349" spans="1:10" ht="60">
      <c r="A2349" s="22" t="s">
        <v>617</v>
      </c>
    </row>
    <row r="2350" spans="1:10">
      <c r="A2350" t="s">
        <v>185</v>
      </c>
      <c r="B2350" t="s">
        <v>291</v>
      </c>
      <c r="C2350" t="s">
        <v>186</v>
      </c>
      <c r="D2350" t="s">
        <v>192</v>
      </c>
      <c r="E2350" t="s">
        <v>184</v>
      </c>
      <c r="F2350" t="s">
        <v>193</v>
      </c>
      <c r="G2350" t="s">
        <v>257</v>
      </c>
      <c r="H2350" t="s">
        <v>226</v>
      </c>
      <c r="I2350" t="s">
        <v>247</v>
      </c>
      <c r="J2350" t="s">
        <v>227</v>
      </c>
    </row>
    <row r="2351" spans="1:10">
      <c r="A2351" t="s">
        <v>195</v>
      </c>
      <c r="B2351" t="s">
        <v>613</v>
      </c>
      <c r="C2351" t="s">
        <v>292</v>
      </c>
      <c r="D2351">
        <v>149</v>
      </c>
      <c r="E2351" t="s">
        <v>194</v>
      </c>
      <c r="F2351">
        <v>1790</v>
      </c>
      <c r="H2351" s="3">
        <v>1.23E-2</v>
      </c>
      <c r="J2351" s="3">
        <v>0.98770000000000002</v>
      </c>
    </row>
    <row r="2352" spans="1:10">
      <c r="A2352" t="s">
        <v>199</v>
      </c>
      <c r="B2352" t="s">
        <v>616</v>
      </c>
      <c r="C2352" t="s">
        <v>292</v>
      </c>
      <c r="D2352">
        <v>228</v>
      </c>
      <c r="E2352" t="s">
        <v>194</v>
      </c>
      <c r="F2352">
        <v>1790</v>
      </c>
      <c r="H2352" s="3">
        <v>2.2599999999999999E-2</v>
      </c>
      <c r="J2352" s="3">
        <v>0.97740000000000005</v>
      </c>
    </row>
    <row r="2353" spans="1:10">
      <c r="A2353" t="s">
        <v>199</v>
      </c>
      <c r="B2353" t="s">
        <v>615</v>
      </c>
      <c r="C2353" t="s">
        <v>293</v>
      </c>
      <c r="D2353">
        <v>65</v>
      </c>
      <c r="E2353" t="s">
        <v>194</v>
      </c>
      <c r="F2353">
        <v>1790</v>
      </c>
      <c r="H2353" s="3">
        <v>0.21709999999999999</v>
      </c>
      <c r="J2353" s="3">
        <v>0.78290000000000004</v>
      </c>
    </row>
    <row r="2354" spans="1:10">
      <c r="A2354" t="s">
        <v>199</v>
      </c>
      <c r="B2354" t="s">
        <v>615</v>
      </c>
      <c r="C2354" t="s">
        <v>292</v>
      </c>
      <c r="D2354">
        <v>49</v>
      </c>
      <c r="E2354" t="s">
        <v>194</v>
      </c>
      <c r="F2354">
        <v>1790</v>
      </c>
      <c r="H2354" s="3">
        <v>0.33179999999999998</v>
      </c>
      <c r="J2354" s="3">
        <v>0.66820000000000002</v>
      </c>
    </row>
    <row r="2355" spans="1:10" s="25" customFormat="1">
      <c r="A2355" s="25" t="s">
        <v>199</v>
      </c>
      <c r="B2355" s="25" t="s">
        <v>614</v>
      </c>
      <c r="C2355" s="25" t="s">
        <v>293</v>
      </c>
      <c r="D2355" s="25">
        <v>29</v>
      </c>
      <c r="E2355" s="25" t="s">
        <v>194</v>
      </c>
      <c r="F2355" s="25">
        <v>1790</v>
      </c>
      <c r="H2355" s="26">
        <v>9.9000000000000008E-3</v>
      </c>
      <c r="J2355" s="26">
        <v>0.99009999999999998</v>
      </c>
    </row>
    <row r="2356" spans="1:10" s="25" customFormat="1">
      <c r="A2356" s="25" t="s">
        <v>199</v>
      </c>
      <c r="B2356" s="25" t="s">
        <v>614</v>
      </c>
      <c r="C2356" s="25" t="s">
        <v>292</v>
      </c>
      <c r="D2356" s="25">
        <v>15</v>
      </c>
      <c r="E2356" s="25" t="s">
        <v>194</v>
      </c>
      <c r="F2356" s="25">
        <v>1790</v>
      </c>
      <c r="H2356" s="26">
        <v>1.8200000000000001E-2</v>
      </c>
      <c r="J2356" s="26">
        <v>0.98180000000000001</v>
      </c>
    </row>
    <row r="2357" spans="1:10">
      <c r="A2357" t="s">
        <v>199</v>
      </c>
      <c r="B2357" t="s">
        <v>613</v>
      </c>
      <c r="C2357" t="s">
        <v>293</v>
      </c>
      <c r="D2357">
        <v>169</v>
      </c>
      <c r="E2357" t="s">
        <v>194</v>
      </c>
      <c r="F2357">
        <v>1790</v>
      </c>
      <c r="H2357" s="3">
        <v>1.6899999999999998E-2</v>
      </c>
      <c r="J2357" s="3">
        <v>0.98309999999999997</v>
      </c>
    </row>
    <row r="2358" spans="1:10">
      <c r="A2358" t="s">
        <v>199</v>
      </c>
      <c r="B2358" t="s">
        <v>616</v>
      </c>
      <c r="C2358" t="s">
        <v>293</v>
      </c>
      <c r="D2358">
        <v>238</v>
      </c>
      <c r="E2358" t="s">
        <v>194</v>
      </c>
      <c r="F2358">
        <v>1790</v>
      </c>
      <c r="H2358" s="3">
        <v>1.14E-2</v>
      </c>
      <c r="J2358" s="3">
        <v>0.98860000000000003</v>
      </c>
    </row>
    <row r="2359" spans="1:10">
      <c r="A2359" t="s">
        <v>199</v>
      </c>
      <c r="B2359" t="s">
        <v>613</v>
      </c>
      <c r="C2359" t="s">
        <v>292</v>
      </c>
      <c r="D2359">
        <v>190</v>
      </c>
      <c r="E2359" t="s">
        <v>194</v>
      </c>
      <c r="F2359">
        <v>1790</v>
      </c>
      <c r="H2359" s="3">
        <v>7.1000000000000004E-3</v>
      </c>
      <c r="J2359" s="3">
        <v>0.9929</v>
      </c>
    </row>
    <row r="2360" spans="1:10">
      <c r="A2360" t="s">
        <v>195</v>
      </c>
      <c r="B2360" t="s">
        <v>616</v>
      </c>
      <c r="C2360" t="s">
        <v>292</v>
      </c>
      <c r="D2360">
        <v>207</v>
      </c>
      <c r="E2360" t="s">
        <v>194</v>
      </c>
      <c r="F2360">
        <v>1790</v>
      </c>
      <c r="H2360" s="3">
        <v>1.0200000000000001E-2</v>
      </c>
      <c r="J2360" s="3">
        <v>0.98980000000000001</v>
      </c>
    </row>
    <row r="2361" spans="1:10">
      <c r="A2361" t="s">
        <v>195</v>
      </c>
      <c r="B2361" t="s">
        <v>615</v>
      </c>
      <c r="C2361" t="s">
        <v>293</v>
      </c>
      <c r="D2361">
        <v>35</v>
      </c>
      <c r="E2361" t="s">
        <v>194</v>
      </c>
      <c r="F2361">
        <v>1790</v>
      </c>
      <c r="H2361" s="3">
        <v>0.23599999999999999</v>
      </c>
      <c r="J2361" s="3">
        <v>0.76400000000000001</v>
      </c>
    </row>
    <row r="2362" spans="1:10">
      <c r="A2362" t="s">
        <v>195</v>
      </c>
      <c r="B2362" t="s">
        <v>615</v>
      </c>
      <c r="C2362" t="s">
        <v>292</v>
      </c>
      <c r="D2362">
        <v>54</v>
      </c>
      <c r="E2362" t="s">
        <v>194</v>
      </c>
      <c r="F2362">
        <v>1790</v>
      </c>
      <c r="H2362" s="3">
        <v>0.35420000000000001</v>
      </c>
      <c r="J2362" s="3">
        <v>0.64580000000000004</v>
      </c>
    </row>
    <row r="2363" spans="1:10" s="25" customFormat="1">
      <c r="A2363" s="25" t="s">
        <v>195</v>
      </c>
      <c r="B2363" s="25" t="s">
        <v>614</v>
      </c>
      <c r="C2363" s="25" t="s">
        <v>293</v>
      </c>
      <c r="D2363" s="25">
        <v>18</v>
      </c>
      <c r="E2363" s="25" t="s">
        <v>194</v>
      </c>
      <c r="F2363" s="25">
        <v>1790</v>
      </c>
      <c r="G2363" s="26">
        <v>4.3400000000000001E-2</v>
      </c>
      <c r="H2363" s="26">
        <v>0.12889999999999999</v>
      </c>
      <c r="J2363" s="26">
        <v>0.82769999999999999</v>
      </c>
    </row>
    <row r="2364" spans="1:10" s="25" customFormat="1">
      <c r="A2364" s="25" t="s">
        <v>195</v>
      </c>
      <c r="B2364" s="25" t="s">
        <v>614</v>
      </c>
      <c r="C2364" s="25" t="s">
        <v>292</v>
      </c>
      <c r="D2364" s="25">
        <v>17</v>
      </c>
      <c r="E2364" s="25" t="s">
        <v>194</v>
      </c>
      <c r="F2364" s="25">
        <v>1790</v>
      </c>
      <c r="H2364" s="26">
        <v>1.95E-2</v>
      </c>
      <c r="J2364" s="26">
        <v>0.98050000000000004</v>
      </c>
    </row>
    <row r="2365" spans="1:10">
      <c r="A2365" t="s">
        <v>195</v>
      </c>
      <c r="B2365" t="s">
        <v>613</v>
      </c>
      <c r="C2365" t="s">
        <v>293</v>
      </c>
      <c r="D2365">
        <v>139</v>
      </c>
      <c r="E2365" t="s">
        <v>194</v>
      </c>
      <c r="F2365">
        <v>1790</v>
      </c>
      <c r="H2365" s="3">
        <v>7.4000000000000003E-3</v>
      </c>
      <c r="J2365" s="3">
        <v>0.99260000000000004</v>
      </c>
    </row>
    <row r="2366" spans="1:10">
      <c r="A2366" t="s">
        <v>195</v>
      </c>
      <c r="B2366" t="s">
        <v>616</v>
      </c>
      <c r="C2366" t="s">
        <v>293</v>
      </c>
      <c r="D2366">
        <v>188</v>
      </c>
      <c r="E2366" t="s">
        <v>194</v>
      </c>
      <c r="F2366">
        <v>1790</v>
      </c>
      <c r="H2366" s="3">
        <v>6.7000000000000002E-3</v>
      </c>
      <c r="I2366" s="3">
        <v>3.3999999999999998E-3</v>
      </c>
      <c r="J2366" s="3">
        <v>0.9899</v>
      </c>
    </row>
    <row r="2367" spans="1:10">
      <c r="A2367" t="s">
        <v>200</v>
      </c>
      <c r="B2367" t="s">
        <v>200</v>
      </c>
      <c r="C2367" t="s">
        <v>200</v>
      </c>
      <c r="D2367">
        <v>1790</v>
      </c>
      <c r="E2367" t="s">
        <v>200</v>
      </c>
      <c r="F2367">
        <v>1790</v>
      </c>
      <c r="G2367" s="3">
        <v>4.0000000000000002E-4</v>
      </c>
      <c r="H2367" s="3">
        <v>4.8399999999999999E-2</v>
      </c>
      <c r="I2367" s="3">
        <v>4.0000000000000002E-4</v>
      </c>
      <c r="J2367" s="3">
        <v>0.95069999999999999</v>
      </c>
    </row>
    <row r="2369" spans="1:9" ht="45">
      <c r="A2369" s="22" t="s">
        <v>618</v>
      </c>
    </row>
    <row r="2370" spans="1:9">
      <c r="A2370" t="s">
        <v>185</v>
      </c>
      <c r="B2370" t="s">
        <v>186</v>
      </c>
      <c r="C2370" t="s">
        <v>192</v>
      </c>
      <c r="D2370" t="s">
        <v>184</v>
      </c>
      <c r="E2370" t="s">
        <v>193</v>
      </c>
      <c r="F2370" t="s">
        <v>257</v>
      </c>
      <c r="G2370" t="s">
        <v>226</v>
      </c>
      <c r="H2370" t="s">
        <v>247</v>
      </c>
      <c r="I2370" t="s">
        <v>227</v>
      </c>
    </row>
    <row r="2371" spans="1:9">
      <c r="A2371" t="s">
        <v>195</v>
      </c>
      <c r="B2371" t="s">
        <v>304</v>
      </c>
      <c r="C2371">
        <v>214</v>
      </c>
      <c r="D2371" t="s">
        <v>194</v>
      </c>
      <c r="E2371">
        <v>1790</v>
      </c>
      <c r="G2371" s="3">
        <v>5.0599999999999999E-2</v>
      </c>
      <c r="I2371" s="3">
        <v>0.94940000000000002</v>
      </c>
    </row>
    <row r="2372" spans="1:9">
      <c r="A2372" t="s">
        <v>195</v>
      </c>
      <c r="B2372" t="s">
        <v>305</v>
      </c>
      <c r="C2372">
        <v>573</v>
      </c>
      <c r="D2372" t="s">
        <v>194</v>
      </c>
      <c r="E2372">
        <v>1790</v>
      </c>
      <c r="G2372" s="3">
        <v>4.9200000000000001E-2</v>
      </c>
      <c r="H2372" s="3">
        <v>1.1000000000000001E-3</v>
      </c>
      <c r="I2372" s="3">
        <v>0.94969999999999999</v>
      </c>
    </row>
    <row r="2373" spans="1:9" s="25" customFormat="1">
      <c r="A2373" s="25" t="s">
        <v>195</v>
      </c>
      <c r="B2373" s="25" t="s">
        <v>306</v>
      </c>
      <c r="C2373" s="25">
        <v>9</v>
      </c>
      <c r="D2373" s="25" t="s">
        <v>194</v>
      </c>
      <c r="E2373" s="25">
        <v>1790</v>
      </c>
      <c r="G2373" s="26">
        <v>0.57389999999999997</v>
      </c>
      <c r="I2373" s="26">
        <v>0.42609999999999998</v>
      </c>
    </row>
    <row r="2374" spans="1:9" s="25" customFormat="1">
      <c r="A2374" s="25" t="s">
        <v>195</v>
      </c>
      <c r="B2374" s="25" t="s">
        <v>307</v>
      </c>
      <c r="C2374" s="25">
        <v>11</v>
      </c>
      <c r="D2374" s="25" t="s">
        <v>194</v>
      </c>
      <c r="E2374" s="25">
        <v>1790</v>
      </c>
      <c r="F2374" s="26">
        <v>4.9799999999999997E-2</v>
      </c>
      <c r="I2374" s="26">
        <v>0.95020000000000004</v>
      </c>
    </row>
    <row r="2375" spans="1:9">
      <c r="A2375" t="s">
        <v>199</v>
      </c>
      <c r="B2375" t="s">
        <v>304</v>
      </c>
      <c r="C2375">
        <v>123</v>
      </c>
      <c r="D2375" t="s">
        <v>194</v>
      </c>
      <c r="E2375">
        <v>1790</v>
      </c>
      <c r="G2375" s="3">
        <v>8.7599999999999997E-2</v>
      </c>
      <c r="I2375" s="3">
        <v>0.91239999999999999</v>
      </c>
    </row>
    <row r="2376" spans="1:9">
      <c r="A2376" t="s">
        <v>199</v>
      </c>
      <c r="B2376" t="s">
        <v>305</v>
      </c>
      <c r="C2376">
        <v>836</v>
      </c>
      <c r="D2376" t="s">
        <v>194</v>
      </c>
      <c r="E2376">
        <v>1790</v>
      </c>
      <c r="G2376" s="3">
        <v>3.9899999999999998E-2</v>
      </c>
      <c r="I2376" s="3">
        <v>0.96009999999999995</v>
      </c>
    </row>
    <row r="2377" spans="1:9" s="25" customFormat="1">
      <c r="A2377" s="25" t="s">
        <v>199</v>
      </c>
      <c r="B2377" s="25" t="s">
        <v>306</v>
      </c>
      <c r="C2377" s="25">
        <v>7</v>
      </c>
      <c r="D2377" s="25" t="s">
        <v>194</v>
      </c>
      <c r="E2377" s="25">
        <v>1790</v>
      </c>
      <c r="G2377" s="26">
        <v>0.5635</v>
      </c>
      <c r="I2377" s="26">
        <v>0.4365</v>
      </c>
    </row>
    <row r="2378" spans="1:9" s="25" customFormat="1">
      <c r="A2378" s="25" t="s">
        <v>199</v>
      </c>
      <c r="B2378" s="25" t="s">
        <v>307</v>
      </c>
      <c r="C2378" s="25">
        <v>17</v>
      </c>
      <c r="D2378" s="25" t="s">
        <v>194</v>
      </c>
      <c r="E2378" s="25">
        <v>1790</v>
      </c>
      <c r="I2378" s="26">
        <v>1</v>
      </c>
    </row>
    <row r="2379" spans="1:9">
      <c r="A2379" t="s">
        <v>200</v>
      </c>
      <c r="B2379" t="s">
        <v>200</v>
      </c>
      <c r="C2379">
        <v>1790</v>
      </c>
      <c r="D2379" t="s">
        <v>200</v>
      </c>
      <c r="E2379">
        <v>1790</v>
      </c>
      <c r="F2379" s="3">
        <v>4.0000000000000002E-4</v>
      </c>
      <c r="G2379" s="3">
        <v>4.8399999999999999E-2</v>
      </c>
      <c r="H2379" s="3">
        <v>4.0000000000000002E-4</v>
      </c>
      <c r="I2379" s="3">
        <v>0.95069999999999999</v>
      </c>
    </row>
    <row r="2381" spans="1:9" ht="60">
      <c r="A2381" s="22" t="s">
        <v>619</v>
      </c>
    </row>
    <row r="2382" spans="1:9">
      <c r="A2382" t="s">
        <v>185</v>
      </c>
      <c r="B2382" t="s">
        <v>186</v>
      </c>
      <c r="C2382" t="s">
        <v>192</v>
      </c>
      <c r="D2382" t="s">
        <v>184</v>
      </c>
      <c r="E2382" t="s">
        <v>193</v>
      </c>
      <c r="F2382" t="s">
        <v>257</v>
      </c>
      <c r="G2382" t="s">
        <v>226</v>
      </c>
      <c r="H2382" t="s">
        <v>247</v>
      </c>
      <c r="I2382" t="s">
        <v>227</v>
      </c>
    </row>
    <row r="2383" spans="1:9">
      <c r="A2383" t="s">
        <v>195</v>
      </c>
      <c r="B2383" t="s">
        <v>351</v>
      </c>
      <c r="C2383">
        <v>256</v>
      </c>
      <c r="D2383" t="s">
        <v>194</v>
      </c>
      <c r="E2383">
        <v>1790</v>
      </c>
      <c r="G2383" s="3">
        <v>3.2800000000000003E-2</v>
      </c>
      <c r="I2383" s="3">
        <v>0.96719999999999995</v>
      </c>
    </row>
    <row r="2384" spans="1:9">
      <c r="A2384" t="s">
        <v>195</v>
      </c>
      <c r="B2384" t="s">
        <v>352</v>
      </c>
      <c r="C2384">
        <v>218</v>
      </c>
      <c r="D2384" t="s">
        <v>194</v>
      </c>
      <c r="E2384">
        <v>1790</v>
      </c>
      <c r="G2384" s="3">
        <v>8.1799999999999998E-2</v>
      </c>
      <c r="I2384" s="3">
        <v>0.91820000000000002</v>
      </c>
    </row>
    <row r="2385" spans="1:9">
      <c r="A2385" t="s">
        <v>195</v>
      </c>
      <c r="B2385" t="s">
        <v>353</v>
      </c>
      <c r="C2385">
        <v>151</v>
      </c>
      <c r="D2385" t="s">
        <v>194</v>
      </c>
      <c r="E2385">
        <v>1790</v>
      </c>
      <c r="G2385" s="3">
        <v>2.9399999999999999E-2</v>
      </c>
      <c r="I2385" s="3">
        <v>0.97060000000000002</v>
      </c>
    </row>
    <row r="2386" spans="1:9">
      <c r="A2386" t="s">
        <v>195</v>
      </c>
      <c r="B2386" t="s">
        <v>354</v>
      </c>
      <c r="C2386">
        <v>109</v>
      </c>
      <c r="D2386" t="s">
        <v>194</v>
      </c>
      <c r="E2386">
        <v>1790</v>
      </c>
      <c r="G2386" s="3">
        <v>5.4600000000000003E-2</v>
      </c>
      <c r="I2386" s="3">
        <v>0.94540000000000002</v>
      </c>
    </row>
    <row r="2387" spans="1:9">
      <c r="A2387" t="s">
        <v>199</v>
      </c>
      <c r="B2387" t="s">
        <v>351</v>
      </c>
      <c r="C2387">
        <v>270</v>
      </c>
      <c r="D2387" t="s">
        <v>194</v>
      </c>
      <c r="E2387">
        <v>1790</v>
      </c>
      <c r="G2387" s="3">
        <v>6.8099999999999994E-2</v>
      </c>
      <c r="I2387" s="3">
        <v>0.93189999999999995</v>
      </c>
    </row>
    <row r="2388" spans="1:9">
      <c r="A2388" t="s">
        <v>199</v>
      </c>
      <c r="B2388" t="s">
        <v>352</v>
      </c>
      <c r="C2388">
        <v>181</v>
      </c>
      <c r="D2388" t="s">
        <v>194</v>
      </c>
      <c r="E2388">
        <v>1790</v>
      </c>
      <c r="G2388" s="3">
        <v>0.1052</v>
      </c>
      <c r="I2388" s="3">
        <v>0.89480000000000004</v>
      </c>
    </row>
    <row r="2389" spans="1:9">
      <c r="A2389" t="s">
        <v>199</v>
      </c>
      <c r="B2389" t="s">
        <v>353</v>
      </c>
      <c r="C2389">
        <v>207</v>
      </c>
      <c r="D2389" t="s">
        <v>194</v>
      </c>
      <c r="E2389">
        <v>1790</v>
      </c>
      <c r="G2389" s="3">
        <v>3.2399999999999998E-2</v>
      </c>
      <c r="I2389" s="3">
        <v>0.96760000000000002</v>
      </c>
    </row>
    <row r="2390" spans="1:9">
      <c r="A2390" t="s">
        <v>199</v>
      </c>
      <c r="B2390" t="s">
        <v>354</v>
      </c>
      <c r="C2390">
        <v>195</v>
      </c>
      <c r="D2390" t="s">
        <v>194</v>
      </c>
      <c r="E2390">
        <v>1790</v>
      </c>
      <c r="G2390" s="3">
        <v>2.3400000000000001E-2</v>
      </c>
      <c r="I2390" s="3">
        <v>0.97660000000000002</v>
      </c>
    </row>
    <row r="2391" spans="1:9">
      <c r="A2391" t="s">
        <v>200</v>
      </c>
      <c r="B2391" t="s">
        <v>200</v>
      </c>
      <c r="C2391">
        <v>1790</v>
      </c>
      <c r="D2391" t="s">
        <v>200</v>
      </c>
      <c r="E2391">
        <v>1790</v>
      </c>
      <c r="F2391" s="3">
        <v>4.0000000000000002E-4</v>
      </c>
      <c r="G2391" s="3">
        <v>4.8399999999999999E-2</v>
      </c>
      <c r="H2391" s="3">
        <v>4.0000000000000002E-4</v>
      </c>
      <c r="I2391" s="3">
        <v>0.95069999999999999</v>
      </c>
    </row>
    <row r="2393" spans="1:9" ht="45">
      <c r="A2393" s="22" t="s">
        <v>620</v>
      </c>
    </row>
    <row r="2394" spans="1:9">
      <c r="A2394" t="s">
        <v>185</v>
      </c>
      <c r="B2394" t="s">
        <v>186</v>
      </c>
      <c r="C2394" t="s">
        <v>192</v>
      </c>
      <c r="D2394" t="s">
        <v>184</v>
      </c>
      <c r="E2394" t="s">
        <v>193</v>
      </c>
      <c r="F2394" t="s">
        <v>257</v>
      </c>
      <c r="G2394" t="s">
        <v>226</v>
      </c>
      <c r="H2394" t="s">
        <v>247</v>
      </c>
      <c r="I2394" t="s">
        <v>227</v>
      </c>
    </row>
    <row r="2395" spans="1:9">
      <c r="A2395" t="s">
        <v>195</v>
      </c>
      <c r="B2395" t="s">
        <v>217</v>
      </c>
      <c r="C2395">
        <v>370</v>
      </c>
      <c r="D2395" t="s">
        <v>194</v>
      </c>
      <c r="E2395">
        <v>1790</v>
      </c>
      <c r="G2395" s="3">
        <v>5.96E-2</v>
      </c>
      <c r="I2395" s="3">
        <v>0.94040000000000001</v>
      </c>
    </row>
    <row r="2396" spans="1:9">
      <c r="A2396" t="s">
        <v>195</v>
      </c>
      <c r="B2396" t="s">
        <v>219</v>
      </c>
      <c r="C2396">
        <v>352</v>
      </c>
      <c r="D2396" t="s">
        <v>194</v>
      </c>
      <c r="E2396">
        <v>1790</v>
      </c>
      <c r="G2396" s="3">
        <v>3.6499999999999998E-2</v>
      </c>
      <c r="H2396" s="3">
        <v>2E-3</v>
      </c>
      <c r="I2396" s="3">
        <v>0.96150000000000002</v>
      </c>
    </row>
    <row r="2397" spans="1:9">
      <c r="A2397" t="s">
        <v>195</v>
      </c>
      <c r="B2397" t="s">
        <v>220</v>
      </c>
      <c r="C2397">
        <v>81</v>
      </c>
      <c r="D2397" t="s">
        <v>194</v>
      </c>
      <c r="E2397">
        <v>1790</v>
      </c>
      <c r="F2397" s="3">
        <v>8.6E-3</v>
      </c>
      <c r="G2397" s="3">
        <v>8.1600000000000006E-2</v>
      </c>
      <c r="I2397" s="3">
        <v>0.90969999999999995</v>
      </c>
    </row>
    <row r="2398" spans="1:9">
      <c r="A2398" t="s">
        <v>199</v>
      </c>
      <c r="B2398" t="s">
        <v>217</v>
      </c>
      <c r="C2398">
        <v>589</v>
      </c>
      <c r="D2398" t="s">
        <v>194</v>
      </c>
      <c r="E2398">
        <v>1790</v>
      </c>
      <c r="G2398" s="3">
        <v>4.5100000000000001E-2</v>
      </c>
      <c r="I2398" s="3">
        <v>0.95489999999999997</v>
      </c>
    </row>
    <row r="2399" spans="1:9">
      <c r="A2399" t="s">
        <v>199</v>
      </c>
      <c r="B2399" t="s">
        <v>219</v>
      </c>
      <c r="C2399">
        <v>282</v>
      </c>
      <c r="D2399" t="s">
        <v>194</v>
      </c>
      <c r="E2399">
        <v>1790</v>
      </c>
      <c r="G2399" s="3">
        <v>5.5199999999999999E-2</v>
      </c>
      <c r="I2399" s="3">
        <v>0.94479999999999997</v>
      </c>
    </row>
    <row r="2400" spans="1:9">
      <c r="A2400" t="s">
        <v>199</v>
      </c>
      <c r="B2400" t="s">
        <v>220</v>
      </c>
      <c r="C2400">
        <v>112</v>
      </c>
      <c r="D2400" t="s">
        <v>194</v>
      </c>
      <c r="E2400">
        <v>1790</v>
      </c>
      <c r="G2400" s="3">
        <v>2.9000000000000001E-2</v>
      </c>
      <c r="I2400" s="3">
        <v>0.97099999999999997</v>
      </c>
    </row>
    <row r="2401" spans="1:9">
      <c r="A2401" t="s">
        <v>200</v>
      </c>
      <c r="B2401" t="s">
        <v>200</v>
      </c>
      <c r="C2401">
        <v>1790</v>
      </c>
      <c r="D2401" t="s">
        <v>200</v>
      </c>
      <c r="E2401">
        <v>1790</v>
      </c>
      <c r="F2401" s="3">
        <v>4.0000000000000002E-4</v>
      </c>
      <c r="G2401" s="3">
        <v>4.8399999999999999E-2</v>
      </c>
      <c r="H2401" s="3">
        <v>4.0000000000000002E-4</v>
      </c>
      <c r="I2401" s="3">
        <v>0.95069999999999999</v>
      </c>
    </row>
    <row r="2403" spans="1:9" ht="45">
      <c r="A2403" s="22" t="s">
        <v>621</v>
      </c>
    </row>
    <row r="2404" spans="1:9">
      <c r="A2404" t="s">
        <v>185</v>
      </c>
      <c r="B2404" t="s">
        <v>186</v>
      </c>
      <c r="C2404" t="s">
        <v>192</v>
      </c>
      <c r="D2404" t="s">
        <v>184</v>
      </c>
      <c r="E2404" t="s">
        <v>193</v>
      </c>
      <c r="F2404" t="s">
        <v>622</v>
      </c>
      <c r="G2404" t="s">
        <v>623</v>
      </c>
      <c r="H2404" t="s">
        <v>624</v>
      </c>
    </row>
    <row r="2405" spans="1:9">
      <c r="A2405" t="s">
        <v>195</v>
      </c>
      <c r="B2405" t="s">
        <v>196</v>
      </c>
      <c r="C2405">
        <v>296</v>
      </c>
      <c r="D2405" t="s">
        <v>194</v>
      </c>
      <c r="E2405">
        <v>1671</v>
      </c>
      <c r="F2405" s="3">
        <v>0.20699999999999999</v>
      </c>
      <c r="G2405" s="3">
        <v>0.28649999999999998</v>
      </c>
      <c r="H2405" s="3">
        <v>0.50649999999999995</v>
      </c>
    </row>
    <row r="2406" spans="1:9">
      <c r="A2406" t="s">
        <v>195</v>
      </c>
      <c r="B2406" t="s">
        <v>198</v>
      </c>
      <c r="C2406">
        <v>441</v>
      </c>
      <c r="D2406" t="s">
        <v>194</v>
      </c>
      <c r="E2406">
        <v>1671</v>
      </c>
      <c r="F2406" s="3">
        <v>0.25290000000000001</v>
      </c>
      <c r="G2406" s="3">
        <v>0.372</v>
      </c>
      <c r="H2406" s="3">
        <v>0.37509999999999999</v>
      </c>
    </row>
    <row r="2407" spans="1:9">
      <c r="A2407" t="s">
        <v>199</v>
      </c>
      <c r="B2407" t="s">
        <v>196</v>
      </c>
      <c r="C2407">
        <v>389</v>
      </c>
      <c r="D2407" t="s">
        <v>194</v>
      </c>
      <c r="E2407">
        <v>1671</v>
      </c>
      <c r="F2407" s="3">
        <v>0.27810000000000001</v>
      </c>
      <c r="G2407" s="3">
        <v>0.52400000000000002</v>
      </c>
      <c r="H2407" s="3">
        <v>0.19789999999999999</v>
      </c>
    </row>
    <row r="2408" spans="1:9">
      <c r="A2408" t="s">
        <v>199</v>
      </c>
      <c r="B2408" t="s">
        <v>198</v>
      </c>
      <c r="C2408">
        <v>518</v>
      </c>
      <c r="D2408" t="s">
        <v>194</v>
      </c>
      <c r="E2408">
        <v>1671</v>
      </c>
      <c r="F2408" s="3">
        <v>0.32200000000000001</v>
      </c>
      <c r="G2408" s="3">
        <v>0.39100000000000001</v>
      </c>
      <c r="H2408" s="3">
        <v>0.28699999999999998</v>
      </c>
    </row>
    <row r="2409" spans="1:9">
      <c r="A2409" t="s">
        <v>200</v>
      </c>
      <c r="B2409" t="s">
        <v>200</v>
      </c>
      <c r="C2409">
        <v>1671</v>
      </c>
      <c r="D2409" t="s">
        <v>200</v>
      </c>
      <c r="E2409">
        <v>1671</v>
      </c>
      <c r="F2409" s="3">
        <v>0.27879999999999999</v>
      </c>
      <c r="G2409" s="3">
        <v>0.38950000000000001</v>
      </c>
      <c r="H2409" s="3">
        <v>0.33179999999999998</v>
      </c>
    </row>
    <row r="2411" spans="1:9" ht="45">
      <c r="A2411" s="22" t="s">
        <v>625</v>
      </c>
    </row>
    <row r="2412" spans="1:9">
      <c r="A2412" t="s">
        <v>185</v>
      </c>
      <c r="B2412" t="s">
        <v>186</v>
      </c>
      <c r="C2412" t="s">
        <v>192</v>
      </c>
      <c r="D2412" t="s">
        <v>184</v>
      </c>
      <c r="E2412" t="s">
        <v>193</v>
      </c>
      <c r="F2412" t="s">
        <v>622</v>
      </c>
      <c r="G2412" t="s">
        <v>623</v>
      </c>
      <c r="H2412" t="s">
        <v>624</v>
      </c>
    </row>
    <row r="2413" spans="1:9">
      <c r="A2413" t="s">
        <v>195</v>
      </c>
      <c r="B2413" t="s">
        <v>202</v>
      </c>
      <c r="C2413">
        <v>309</v>
      </c>
      <c r="D2413" t="s">
        <v>194</v>
      </c>
      <c r="E2413">
        <v>1671</v>
      </c>
      <c r="F2413" s="3">
        <v>0.26090000000000002</v>
      </c>
      <c r="G2413" s="3">
        <v>0.47120000000000001</v>
      </c>
      <c r="H2413" s="3">
        <v>0.26790000000000003</v>
      </c>
    </row>
    <row r="2414" spans="1:9">
      <c r="A2414" t="s">
        <v>195</v>
      </c>
      <c r="B2414" t="s">
        <v>204</v>
      </c>
      <c r="C2414">
        <v>221</v>
      </c>
      <c r="D2414" t="s">
        <v>194</v>
      </c>
      <c r="E2414">
        <v>1671</v>
      </c>
      <c r="F2414" s="3">
        <v>0.28289999999999998</v>
      </c>
      <c r="G2414" s="3">
        <v>0.19209999999999999</v>
      </c>
      <c r="H2414" s="3">
        <v>0.52500000000000002</v>
      </c>
    </row>
    <row r="2415" spans="1:9">
      <c r="A2415" t="s">
        <v>195</v>
      </c>
      <c r="B2415" t="s">
        <v>205</v>
      </c>
      <c r="C2415">
        <v>207</v>
      </c>
      <c r="D2415" t="s">
        <v>194</v>
      </c>
      <c r="E2415">
        <v>1671</v>
      </c>
      <c r="F2415" s="3">
        <v>8.4199999999999997E-2</v>
      </c>
      <c r="G2415" s="3">
        <v>5.9200000000000003E-2</v>
      </c>
      <c r="H2415" s="3">
        <v>0.85660000000000003</v>
      </c>
    </row>
    <row r="2416" spans="1:9">
      <c r="A2416" t="s">
        <v>199</v>
      </c>
      <c r="B2416" t="s">
        <v>202</v>
      </c>
      <c r="C2416">
        <v>318</v>
      </c>
      <c r="D2416" t="s">
        <v>194</v>
      </c>
      <c r="E2416">
        <v>1671</v>
      </c>
      <c r="F2416" s="3">
        <v>0.34699999999999998</v>
      </c>
      <c r="G2416" s="3">
        <v>0.59089999999999998</v>
      </c>
      <c r="H2416" s="3">
        <v>6.2199999999999998E-2</v>
      </c>
    </row>
    <row r="2417" spans="1:8">
      <c r="A2417" t="s">
        <v>199</v>
      </c>
      <c r="B2417" t="s">
        <v>204</v>
      </c>
      <c r="C2417">
        <v>255</v>
      </c>
      <c r="D2417" t="s">
        <v>194</v>
      </c>
      <c r="E2417">
        <v>1671</v>
      </c>
      <c r="F2417" s="3">
        <v>0.3352</v>
      </c>
      <c r="G2417" s="3">
        <v>0.1706</v>
      </c>
      <c r="H2417" s="3">
        <v>0.49419999999999997</v>
      </c>
    </row>
    <row r="2418" spans="1:8">
      <c r="A2418" t="s">
        <v>199</v>
      </c>
      <c r="B2418" t="s">
        <v>205</v>
      </c>
      <c r="C2418">
        <v>334</v>
      </c>
      <c r="D2418" t="s">
        <v>194</v>
      </c>
      <c r="E2418">
        <v>1671</v>
      </c>
      <c r="F2418" s="3">
        <v>0.1492</v>
      </c>
      <c r="G2418" s="3">
        <v>8.3699999999999997E-2</v>
      </c>
      <c r="H2418" s="3">
        <v>0.76700000000000002</v>
      </c>
    </row>
    <row r="2419" spans="1:8">
      <c r="A2419" t="s">
        <v>200</v>
      </c>
      <c r="B2419" t="s">
        <v>200</v>
      </c>
      <c r="C2419">
        <v>1671</v>
      </c>
      <c r="D2419" t="s">
        <v>200</v>
      </c>
      <c r="E2419">
        <v>1671</v>
      </c>
      <c r="F2419" s="3">
        <v>0.27879999999999999</v>
      </c>
      <c r="G2419" s="3">
        <v>0.38950000000000001</v>
      </c>
      <c r="H2419" s="3">
        <v>0.33179999999999998</v>
      </c>
    </row>
    <row r="2421" spans="1:8" ht="45">
      <c r="A2421" s="22" t="s">
        <v>626</v>
      </c>
    </row>
    <row r="2422" spans="1:8">
      <c r="A2422" t="s">
        <v>185</v>
      </c>
      <c r="B2422" t="s">
        <v>186</v>
      </c>
      <c r="C2422" t="s">
        <v>192</v>
      </c>
      <c r="D2422" t="s">
        <v>184</v>
      </c>
      <c r="E2422" t="s">
        <v>193</v>
      </c>
      <c r="F2422" t="s">
        <v>622</v>
      </c>
      <c r="G2422" t="s">
        <v>623</v>
      </c>
      <c r="H2422" t="s">
        <v>624</v>
      </c>
    </row>
    <row r="2423" spans="1:8">
      <c r="A2423" t="s">
        <v>195</v>
      </c>
      <c r="B2423" t="s">
        <v>207</v>
      </c>
      <c r="C2423">
        <v>165</v>
      </c>
      <c r="D2423" t="s">
        <v>194</v>
      </c>
      <c r="E2423">
        <v>1671</v>
      </c>
      <c r="F2423" s="3">
        <v>0.1613</v>
      </c>
      <c r="G2423" s="3">
        <v>0.4859</v>
      </c>
      <c r="H2423" s="3">
        <v>0.3528</v>
      </c>
    </row>
    <row r="2424" spans="1:8">
      <c r="A2424" t="s">
        <v>195</v>
      </c>
      <c r="B2424" t="s">
        <v>209</v>
      </c>
      <c r="C2424">
        <v>587</v>
      </c>
      <c r="D2424" t="s">
        <v>194</v>
      </c>
      <c r="E2424">
        <v>1671</v>
      </c>
      <c r="F2424" s="3">
        <v>0.26340000000000002</v>
      </c>
      <c r="G2424" s="3">
        <v>0.30919999999999997</v>
      </c>
      <c r="H2424" s="3">
        <v>0.42749999999999999</v>
      </c>
    </row>
    <row r="2425" spans="1:8">
      <c r="A2425" t="s">
        <v>199</v>
      </c>
      <c r="B2425" t="s">
        <v>207</v>
      </c>
      <c r="C2425">
        <v>148</v>
      </c>
      <c r="D2425" t="s">
        <v>194</v>
      </c>
      <c r="E2425">
        <v>1671</v>
      </c>
      <c r="F2425" s="3">
        <v>0.40749999999999997</v>
      </c>
      <c r="G2425" s="3">
        <v>0.2397</v>
      </c>
      <c r="H2425" s="3">
        <v>0.3528</v>
      </c>
    </row>
    <row r="2426" spans="1:8">
      <c r="A2426" t="s">
        <v>199</v>
      </c>
      <c r="B2426" t="s">
        <v>209</v>
      </c>
      <c r="C2426">
        <v>771</v>
      </c>
      <c r="D2426" t="s">
        <v>194</v>
      </c>
      <c r="E2426">
        <v>1671</v>
      </c>
      <c r="F2426" s="3">
        <v>0.29470000000000002</v>
      </c>
      <c r="G2426" s="3">
        <v>0.45379999999999998</v>
      </c>
      <c r="H2426" s="3">
        <v>0.2515</v>
      </c>
    </row>
    <row r="2427" spans="1:8">
      <c r="A2427" t="s">
        <v>200</v>
      </c>
      <c r="B2427" t="s">
        <v>200</v>
      </c>
      <c r="C2427">
        <v>1671</v>
      </c>
      <c r="D2427" t="s">
        <v>200</v>
      </c>
      <c r="E2427">
        <v>1671</v>
      </c>
      <c r="F2427" s="3">
        <v>0.27879999999999999</v>
      </c>
      <c r="G2427" s="3">
        <v>0.38950000000000001</v>
      </c>
      <c r="H2427" s="3">
        <v>0.33179999999999998</v>
      </c>
    </row>
    <row r="2429" spans="1:8" ht="45">
      <c r="A2429" s="22" t="s">
        <v>627</v>
      </c>
    </row>
    <row r="2430" spans="1:8">
      <c r="A2430" t="s">
        <v>185</v>
      </c>
      <c r="B2430" t="s">
        <v>192</v>
      </c>
      <c r="C2430" t="s">
        <v>184</v>
      </c>
      <c r="D2430" t="s">
        <v>193</v>
      </c>
      <c r="E2430" t="s">
        <v>622</v>
      </c>
      <c r="F2430" t="s">
        <v>623</v>
      </c>
      <c r="G2430" t="s">
        <v>624</v>
      </c>
    </row>
    <row r="2431" spans="1:8">
      <c r="A2431" t="s">
        <v>195</v>
      </c>
      <c r="B2431">
        <v>752</v>
      </c>
      <c r="C2431" t="s">
        <v>194</v>
      </c>
      <c r="D2431">
        <v>1671</v>
      </c>
      <c r="E2431" s="3">
        <v>0.24079999999999999</v>
      </c>
      <c r="F2431" s="3">
        <v>0.34820000000000001</v>
      </c>
      <c r="G2431" s="3">
        <v>0.41099999999999998</v>
      </c>
    </row>
    <row r="2432" spans="1:8">
      <c r="A2432" t="s">
        <v>199</v>
      </c>
      <c r="B2432">
        <v>919</v>
      </c>
      <c r="C2432" t="s">
        <v>194</v>
      </c>
      <c r="D2432">
        <v>1671</v>
      </c>
      <c r="E2432" s="3">
        <v>0.31040000000000001</v>
      </c>
      <c r="F2432" s="3">
        <v>0.4239</v>
      </c>
      <c r="G2432" s="3">
        <v>0.2656</v>
      </c>
    </row>
    <row r="2433" spans="1:8">
      <c r="A2433" t="s">
        <v>200</v>
      </c>
      <c r="B2433">
        <v>1671</v>
      </c>
      <c r="C2433" t="s">
        <v>200</v>
      </c>
      <c r="D2433">
        <v>1671</v>
      </c>
      <c r="E2433" s="3">
        <v>0.27879999999999999</v>
      </c>
      <c r="F2433" s="3">
        <v>0.38950000000000001</v>
      </c>
      <c r="G2433" s="3">
        <v>0.33179999999999998</v>
      </c>
    </row>
    <row r="2435" spans="1:8" ht="45">
      <c r="A2435" s="22" t="s">
        <v>628</v>
      </c>
    </row>
    <row r="2436" spans="1:8">
      <c r="A2436" t="s">
        <v>185</v>
      </c>
      <c r="B2436" t="s">
        <v>186</v>
      </c>
      <c r="C2436" t="s">
        <v>192</v>
      </c>
      <c r="D2436" t="s">
        <v>184</v>
      </c>
      <c r="E2436" t="s">
        <v>193</v>
      </c>
      <c r="F2436" t="s">
        <v>622</v>
      </c>
      <c r="G2436" t="s">
        <v>623</v>
      </c>
      <c r="H2436" t="s">
        <v>624</v>
      </c>
    </row>
    <row r="2437" spans="1:8">
      <c r="A2437" t="s">
        <v>195</v>
      </c>
      <c r="B2437" t="s">
        <v>212</v>
      </c>
      <c r="C2437">
        <v>527</v>
      </c>
      <c r="D2437" t="s">
        <v>194</v>
      </c>
      <c r="E2437">
        <v>1671</v>
      </c>
      <c r="F2437" s="3">
        <v>0.26200000000000001</v>
      </c>
      <c r="G2437" s="3">
        <v>0.37430000000000002</v>
      </c>
      <c r="H2437" s="3">
        <v>0.36370000000000002</v>
      </c>
    </row>
    <row r="2438" spans="1:8">
      <c r="A2438" t="s">
        <v>195</v>
      </c>
      <c r="B2438" t="s">
        <v>215</v>
      </c>
      <c r="C2438">
        <v>225</v>
      </c>
      <c r="D2438" t="s">
        <v>194</v>
      </c>
      <c r="E2438">
        <v>1671</v>
      </c>
      <c r="F2438" s="3">
        <v>0.18160000000000001</v>
      </c>
      <c r="G2438" s="3">
        <v>0.27510000000000001</v>
      </c>
      <c r="H2438" s="3">
        <v>0.54339999999999999</v>
      </c>
    </row>
    <row r="2439" spans="1:8">
      <c r="A2439" t="s">
        <v>199</v>
      </c>
      <c r="B2439" t="s">
        <v>212</v>
      </c>
      <c r="C2439">
        <v>618</v>
      </c>
      <c r="D2439" t="s">
        <v>194</v>
      </c>
      <c r="E2439">
        <v>1671</v>
      </c>
      <c r="F2439" s="3">
        <v>0.34610000000000002</v>
      </c>
      <c r="G2439" s="3">
        <v>0.41439999999999999</v>
      </c>
      <c r="H2439" s="3">
        <v>0.23949999999999999</v>
      </c>
    </row>
    <row r="2440" spans="1:8">
      <c r="A2440" t="s">
        <v>199</v>
      </c>
      <c r="B2440" t="s">
        <v>215</v>
      </c>
      <c r="C2440">
        <v>301</v>
      </c>
      <c r="D2440" t="s">
        <v>194</v>
      </c>
      <c r="E2440">
        <v>1671</v>
      </c>
      <c r="F2440" s="3">
        <v>0.2107</v>
      </c>
      <c r="G2440" s="3">
        <v>0.4506</v>
      </c>
      <c r="H2440" s="3">
        <v>0.33860000000000001</v>
      </c>
    </row>
    <row r="2441" spans="1:8">
      <c r="A2441" t="s">
        <v>200</v>
      </c>
      <c r="B2441" t="s">
        <v>200</v>
      </c>
      <c r="C2441">
        <v>1671</v>
      </c>
      <c r="D2441" t="s">
        <v>200</v>
      </c>
      <c r="E2441">
        <v>1671</v>
      </c>
      <c r="F2441" s="3">
        <v>0.27879999999999999</v>
      </c>
      <c r="G2441" s="3">
        <v>0.38950000000000001</v>
      </c>
      <c r="H2441" s="3">
        <v>0.33179999999999998</v>
      </c>
    </row>
    <row r="2443" spans="1:8" ht="45">
      <c r="A2443" s="22" t="s">
        <v>629</v>
      </c>
    </row>
    <row r="2444" spans="1:8">
      <c r="A2444" t="s">
        <v>185</v>
      </c>
      <c r="B2444" t="s">
        <v>186</v>
      </c>
      <c r="C2444" t="s">
        <v>192</v>
      </c>
      <c r="D2444" t="s">
        <v>184</v>
      </c>
      <c r="E2444" t="s">
        <v>193</v>
      </c>
      <c r="F2444" t="s">
        <v>622</v>
      </c>
      <c r="G2444" t="s">
        <v>623</v>
      </c>
      <c r="H2444" t="s">
        <v>624</v>
      </c>
    </row>
    <row r="2445" spans="1:8">
      <c r="A2445" t="s">
        <v>195</v>
      </c>
      <c r="B2445" t="s">
        <v>613</v>
      </c>
      <c r="C2445">
        <v>282</v>
      </c>
      <c r="D2445" t="s">
        <v>194</v>
      </c>
      <c r="E2445">
        <v>1671</v>
      </c>
      <c r="F2445" s="3">
        <v>0.25900000000000001</v>
      </c>
      <c r="G2445" s="3">
        <v>0.26690000000000003</v>
      </c>
      <c r="H2445" s="3">
        <v>0.47399999999999998</v>
      </c>
    </row>
    <row r="2446" spans="1:8">
      <c r="A2446" t="s">
        <v>195</v>
      </c>
      <c r="B2446" t="s">
        <v>614</v>
      </c>
      <c r="C2446">
        <v>31</v>
      </c>
      <c r="D2446" t="s">
        <v>194</v>
      </c>
      <c r="E2446">
        <v>1671</v>
      </c>
      <c r="F2446" s="3">
        <v>0.31590000000000001</v>
      </c>
      <c r="G2446" s="3">
        <v>7.85E-2</v>
      </c>
      <c r="H2446" s="3">
        <v>0.60570000000000002</v>
      </c>
    </row>
    <row r="2447" spans="1:8">
      <c r="A2447" t="s">
        <v>195</v>
      </c>
      <c r="B2447" t="s">
        <v>615</v>
      </c>
      <c r="C2447">
        <v>53</v>
      </c>
      <c r="D2447" t="s">
        <v>194</v>
      </c>
      <c r="E2447">
        <v>1671</v>
      </c>
      <c r="F2447" s="3">
        <v>0.17580000000000001</v>
      </c>
      <c r="G2447" s="3">
        <v>0.59160000000000001</v>
      </c>
      <c r="H2447" s="3">
        <v>0.2326</v>
      </c>
    </row>
    <row r="2448" spans="1:8">
      <c r="A2448" t="s">
        <v>195</v>
      </c>
      <c r="B2448" t="s">
        <v>616</v>
      </c>
      <c r="C2448">
        <v>386</v>
      </c>
      <c r="D2448" t="s">
        <v>194</v>
      </c>
      <c r="E2448">
        <v>1671</v>
      </c>
      <c r="F2448" s="3">
        <v>0.23599999999999999</v>
      </c>
      <c r="G2448" s="3">
        <v>0.37430000000000002</v>
      </c>
      <c r="H2448" s="3">
        <v>0.38969999999999999</v>
      </c>
    </row>
    <row r="2449" spans="1:9">
      <c r="A2449" t="s">
        <v>199</v>
      </c>
      <c r="B2449" t="s">
        <v>613</v>
      </c>
      <c r="C2449">
        <v>347</v>
      </c>
      <c r="D2449" t="s">
        <v>194</v>
      </c>
      <c r="E2449">
        <v>1671</v>
      </c>
      <c r="F2449" s="3">
        <v>0.33179999999999998</v>
      </c>
      <c r="G2449" s="3">
        <v>0.29870000000000002</v>
      </c>
      <c r="H2449" s="3">
        <v>0.36940000000000001</v>
      </c>
    </row>
    <row r="2450" spans="1:9">
      <c r="A2450" t="s">
        <v>199</v>
      </c>
      <c r="B2450" t="s">
        <v>614</v>
      </c>
      <c r="C2450">
        <v>42</v>
      </c>
      <c r="D2450" t="s">
        <v>194</v>
      </c>
      <c r="E2450">
        <v>1671</v>
      </c>
      <c r="F2450" s="3">
        <v>8.6900000000000005E-2</v>
      </c>
      <c r="G2450" s="3">
        <v>0.2482</v>
      </c>
      <c r="H2450" s="3">
        <v>0.66490000000000005</v>
      </c>
    </row>
    <row r="2451" spans="1:9">
      <c r="A2451" t="s">
        <v>199</v>
      </c>
      <c r="B2451" t="s">
        <v>615</v>
      </c>
      <c r="C2451">
        <v>80</v>
      </c>
      <c r="D2451" t="s">
        <v>194</v>
      </c>
      <c r="E2451">
        <v>1671</v>
      </c>
      <c r="F2451" s="3">
        <v>6.7299999999999999E-2</v>
      </c>
      <c r="G2451" s="3">
        <v>0.77280000000000004</v>
      </c>
      <c r="H2451" s="3">
        <v>0.16</v>
      </c>
    </row>
    <row r="2452" spans="1:9">
      <c r="A2452" t="s">
        <v>199</v>
      </c>
      <c r="B2452" t="s">
        <v>616</v>
      </c>
      <c r="C2452">
        <v>450</v>
      </c>
      <c r="D2452" t="s">
        <v>194</v>
      </c>
      <c r="E2452">
        <v>1671</v>
      </c>
      <c r="F2452" s="3">
        <v>0.35560000000000003</v>
      </c>
      <c r="G2452" s="3">
        <v>0.45950000000000002</v>
      </c>
      <c r="H2452" s="3">
        <v>0.18490000000000001</v>
      </c>
    </row>
    <row r="2453" spans="1:9">
      <c r="A2453" t="s">
        <v>200</v>
      </c>
      <c r="B2453" t="s">
        <v>200</v>
      </c>
      <c r="C2453">
        <v>1671</v>
      </c>
      <c r="D2453" t="s">
        <v>200</v>
      </c>
      <c r="E2453">
        <v>1671</v>
      </c>
      <c r="F2453" s="3">
        <v>0.27879999999999999</v>
      </c>
      <c r="G2453" s="3">
        <v>0.38950000000000001</v>
      </c>
      <c r="H2453" s="3">
        <v>0.33179999999999998</v>
      </c>
    </row>
    <row r="2455" spans="1:9" ht="45">
      <c r="A2455" s="22" t="s">
        <v>630</v>
      </c>
    </row>
    <row r="2456" spans="1:9">
      <c r="A2456" t="s">
        <v>185</v>
      </c>
      <c r="B2456" t="s">
        <v>291</v>
      </c>
      <c r="C2456" t="s">
        <v>186</v>
      </c>
      <c r="D2456" t="s">
        <v>192</v>
      </c>
      <c r="E2456" t="s">
        <v>184</v>
      </c>
      <c r="F2456" t="s">
        <v>193</v>
      </c>
      <c r="G2456" t="s">
        <v>622</v>
      </c>
      <c r="H2456" t="s">
        <v>623</v>
      </c>
      <c r="I2456" t="s">
        <v>624</v>
      </c>
    </row>
    <row r="2457" spans="1:9">
      <c r="A2457" t="s">
        <v>195</v>
      </c>
      <c r="B2457" t="s">
        <v>613</v>
      </c>
      <c r="C2457" t="s">
        <v>292</v>
      </c>
      <c r="D2457">
        <v>145</v>
      </c>
      <c r="E2457" t="s">
        <v>194</v>
      </c>
      <c r="F2457">
        <v>1671</v>
      </c>
      <c r="G2457" s="3">
        <v>0.16600000000000001</v>
      </c>
      <c r="H2457" s="3">
        <v>0.25559999999999999</v>
      </c>
      <c r="I2457" s="3">
        <v>0.57840000000000003</v>
      </c>
    </row>
    <row r="2458" spans="1:9">
      <c r="A2458" t="s">
        <v>199</v>
      </c>
      <c r="B2458" t="s">
        <v>616</v>
      </c>
      <c r="C2458" t="s">
        <v>292</v>
      </c>
      <c r="D2458">
        <v>219</v>
      </c>
      <c r="E2458" t="s">
        <v>194</v>
      </c>
      <c r="F2458">
        <v>1671</v>
      </c>
      <c r="G2458" s="3">
        <v>0.30909999999999999</v>
      </c>
      <c r="H2458" s="3">
        <v>0.50760000000000005</v>
      </c>
      <c r="I2458" s="3">
        <v>0.18329999999999999</v>
      </c>
    </row>
    <row r="2459" spans="1:9">
      <c r="A2459" t="s">
        <v>199</v>
      </c>
      <c r="B2459" t="s">
        <v>615</v>
      </c>
      <c r="C2459" t="s">
        <v>293</v>
      </c>
      <c r="D2459">
        <v>48</v>
      </c>
      <c r="E2459" t="s">
        <v>194</v>
      </c>
      <c r="F2459">
        <v>1671</v>
      </c>
      <c r="G2459" s="3">
        <v>4.4999999999999998E-2</v>
      </c>
      <c r="H2459" s="3">
        <v>0.80940000000000001</v>
      </c>
      <c r="I2459" s="3">
        <v>0.14560000000000001</v>
      </c>
    </row>
    <row r="2460" spans="1:9">
      <c r="A2460" t="s">
        <v>199</v>
      </c>
      <c r="B2460" t="s">
        <v>615</v>
      </c>
      <c r="C2460" t="s">
        <v>292</v>
      </c>
      <c r="D2460">
        <v>32</v>
      </c>
      <c r="E2460" t="s">
        <v>194</v>
      </c>
      <c r="F2460">
        <v>1671</v>
      </c>
      <c r="G2460" s="3">
        <v>9.8599999999999993E-2</v>
      </c>
      <c r="H2460" s="3">
        <v>0.72119999999999995</v>
      </c>
      <c r="I2460" s="3">
        <v>0.1802</v>
      </c>
    </row>
    <row r="2461" spans="1:9" s="25" customFormat="1">
      <c r="A2461" s="25" t="s">
        <v>199</v>
      </c>
      <c r="B2461" s="25" t="s">
        <v>614</v>
      </c>
      <c r="C2461" s="25" t="s">
        <v>293</v>
      </c>
      <c r="D2461" s="25">
        <v>28</v>
      </c>
      <c r="E2461" s="25" t="s">
        <v>194</v>
      </c>
      <c r="F2461" s="25">
        <v>1671</v>
      </c>
      <c r="G2461" s="26">
        <v>8.3400000000000002E-2</v>
      </c>
      <c r="H2461" s="26">
        <v>0.33689999999999998</v>
      </c>
      <c r="I2461" s="26">
        <v>0.57979999999999998</v>
      </c>
    </row>
    <row r="2462" spans="1:9" s="25" customFormat="1">
      <c r="A2462" s="25" t="s">
        <v>199</v>
      </c>
      <c r="B2462" s="25" t="s">
        <v>614</v>
      </c>
      <c r="C2462" s="25" t="s">
        <v>292</v>
      </c>
      <c r="D2462" s="25">
        <v>14</v>
      </c>
      <c r="E2462" s="25" t="s">
        <v>194</v>
      </c>
      <c r="F2462" s="25">
        <v>1671</v>
      </c>
      <c r="G2462" s="26">
        <v>9.0899999999999995E-2</v>
      </c>
      <c r="H2462" s="26">
        <v>0.14660000000000001</v>
      </c>
      <c r="I2462" s="26">
        <v>0.76249999999999996</v>
      </c>
    </row>
    <row r="2463" spans="1:9">
      <c r="A2463" t="s">
        <v>199</v>
      </c>
      <c r="B2463" t="s">
        <v>613</v>
      </c>
      <c r="C2463" t="s">
        <v>293</v>
      </c>
      <c r="D2463">
        <v>163</v>
      </c>
      <c r="E2463" t="s">
        <v>194</v>
      </c>
      <c r="F2463">
        <v>1671</v>
      </c>
      <c r="G2463" s="3">
        <v>0.2044</v>
      </c>
      <c r="H2463" s="3">
        <v>0.36280000000000001</v>
      </c>
      <c r="I2463" s="3">
        <v>0.43280000000000002</v>
      </c>
    </row>
    <row r="2464" spans="1:9">
      <c r="A2464" t="s">
        <v>199</v>
      </c>
      <c r="B2464" t="s">
        <v>616</v>
      </c>
      <c r="C2464" t="s">
        <v>293</v>
      </c>
      <c r="D2464">
        <v>231</v>
      </c>
      <c r="E2464" t="s">
        <v>194</v>
      </c>
      <c r="F2464">
        <v>1671</v>
      </c>
      <c r="G2464" s="3">
        <v>0.40489999999999998</v>
      </c>
      <c r="H2464" s="3">
        <v>0.40860000000000002</v>
      </c>
      <c r="I2464" s="3">
        <v>0.1865</v>
      </c>
    </row>
    <row r="2465" spans="1:9">
      <c r="A2465" t="s">
        <v>199</v>
      </c>
      <c r="B2465" t="s">
        <v>613</v>
      </c>
      <c r="C2465" t="s">
        <v>292</v>
      </c>
      <c r="D2465">
        <v>184</v>
      </c>
      <c r="E2465" t="s">
        <v>194</v>
      </c>
      <c r="F2465">
        <v>1671</v>
      </c>
      <c r="G2465" s="3">
        <v>0.41160000000000002</v>
      </c>
      <c r="H2465" s="3">
        <v>0.2586</v>
      </c>
      <c r="I2465" s="3">
        <v>0.32979999999999998</v>
      </c>
    </row>
    <row r="2466" spans="1:9">
      <c r="A2466" t="s">
        <v>195</v>
      </c>
      <c r="B2466" t="s">
        <v>616</v>
      </c>
      <c r="C2466" t="s">
        <v>292</v>
      </c>
      <c r="D2466">
        <v>202</v>
      </c>
      <c r="E2466" t="s">
        <v>194</v>
      </c>
      <c r="F2466">
        <v>1671</v>
      </c>
      <c r="G2466" s="3">
        <v>0.2213</v>
      </c>
      <c r="H2466" s="3">
        <v>0.40129999999999999</v>
      </c>
      <c r="I2466" s="3">
        <v>0.37740000000000001</v>
      </c>
    </row>
    <row r="2467" spans="1:9" s="25" customFormat="1">
      <c r="A2467" s="25" t="s">
        <v>195</v>
      </c>
      <c r="B2467" s="25" t="s">
        <v>615</v>
      </c>
      <c r="C2467" s="25" t="s">
        <v>293</v>
      </c>
      <c r="D2467" s="25">
        <v>22</v>
      </c>
      <c r="E2467" s="25" t="s">
        <v>194</v>
      </c>
      <c r="F2467" s="25">
        <v>1671</v>
      </c>
      <c r="G2467" s="26">
        <v>0.2011</v>
      </c>
      <c r="H2467" s="26">
        <v>0.61839999999999995</v>
      </c>
      <c r="I2467" s="26">
        <v>0.18049999999999999</v>
      </c>
    </row>
    <row r="2468" spans="1:9">
      <c r="A2468" t="s">
        <v>195</v>
      </c>
      <c r="B2468" t="s">
        <v>615</v>
      </c>
      <c r="C2468" t="s">
        <v>292</v>
      </c>
      <c r="D2468">
        <v>31</v>
      </c>
      <c r="E2468" t="s">
        <v>194</v>
      </c>
      <c r="F2468">
        <v>1671</v>
      </c>
      <c r="G2468" s="3">
        <v>0.15509999999999999</v>
      </c>
      <c r="H2468" s="3">
        <v>0.56969999999999998</v>
      </c>
      <c r="I2468" s="3">
        <v>0.2752</v>
      </c>
    </row>
    <row r="2469" spans="1:9" s="25" customFormat="1">
      <c r="A2469" s="25" t="s">
        <v>195</v>
      </c>
      <c r="B2469" s="25" t="s">
        <v>614</v>
      </c>
      <c r="C2469" s="25" t="s">
        <v>293</v>
      </c>
      <c r="D2469" s="25">
        <v>15</v>
      </c>
      <c r="E2469" s="25" t="s">
        <v>194</v>
      </c>
      <c r="F2469" s="25">
        <v>1671</v>
      </c>
      <c r="G2469" s="26">
        <v>0.39889999999999998</v>
      </c>
      <c r="H2469" s="26">
        <v>9.0899999999999995E-2</v>
      </c>
      <c r="I2469" s="26">
        <v>0.51019999999999999</v>
      </c>
    </row>
    <row r="2470" spans="1:9" s="25" customFormat="1">
      <c r="A2470" s="25" t="s">
        <v>195</v>
      </c>
      <c r="B2470" s="25" t="s">
        <v>614</v>
      </c>
      <c r="C2470" s="25" t="s">
        <v>292</v>
      </c>
      <c r="D2470" s="25">
        <v>16</v>
      </c>
      <c r="E2470" s="25" t="s">
        <v>194</v>
      </c>
      <c r="F2470" s="25">
        <v>1671</v>
      </c>
      <c r="G2470" s="26">
        <v>0.22509999999999999</v>
      </c>
      <c r="H2470" s="26">
        <v>6.4899999999999999E-2</v>
      </c>
      <c r="I2470" s="26">
        <v>0.71</v>
      </c>
    </row>
    <row r="2471" spans="1:9">
      <c r="A2471" t="s">
        <v>195</v>
      </c>
      <c r="B2471" t="s">
        <v>613</v>
      </c>
      <c r="C2471" t="s">
        <v>293</v>
      </c>
      <c r="D2471">
        <v>137</v>
      </c>
      <c r="E2471" t="s">
        <v>194</v>
      </c>
      <c r="F2471">
        <v>1671</v>
      </c>
      <c r="G2471" s="3">
        <v>0.3402</v>
      </c>
      <c r="H2471" s="3">
        <v>0.27679999999999999</v>
      </c>
      <c r="I2471" s="3">
        <v>0.38290000000000002</v>
      </c>
    </row>
    <row r="2472" spans="1:9">
      <c r="A2472" t="s">
        <v>195</v>
      </c>
      <c r="B2472" t="s">
        <v>616</v>
      </c>
      <c r="C2472" t="s">
        <v>293</v>
      </c>
      <c r="D2472">
        <v>184</v>
      </c>
      <c r="E2472" t="s">
        <v>194</v>
      </c>
      <c r="F2472">
        <v>1671</v>
      </c>
      <c r="G2472" s="3">
        <v>0.25140000000000001</v>
      </c>
      <c r="H2472" s="3">
        <v>0.3458</v>
      </c>
      <c r="I2472" s="3">
        <v>0.4027</v>
      </c>
    </row>
    <row r="2473" spans="1:9">
      <c r="A2473" t="s">
        <v>200</v>
      </c>
      <c r="B2473" t="s">
        <v>200</v>
      </c>
      <c r="C2473" t="s">
        <v>200</v>
      </c>
      <c r="D2473">
        <v>1671</v>
      </c>
      <c r="E2473" t="s">
        <v>200</v>
      </c>
      <c r="F2473">
        <v>1671</v>
      </c>
      <c r="G2473" s="3">
        <v>0.27879999999999999</v>
      </c>
      <c r="H2473" s="3">
        <v>0.38950000000000001</v>
      </c>
      <c r="I2473" s="3">
        <v>0.33179999999999998</v>
      </c>
    </row>
    <row r="2475" spans="1:9" ht="45">
      <c r="A2475" s="22" t="s">
        <v>631</v>
      </c>
    </row>
    <row r="2476" spans="1:9">
      <c r="A2476" t="s">
        <v>185</v>
      </c>
      <c r="B2476" t="s">
        <v>186</v>
      </c>
      <c r="C2476" t="s">
        <v>192</v>
      </c>
      <c r="D2476" t="s">
        <v>184</v>
      </c>
      <c r="E2476" t="s">
        <v>193</v>
      </c>
      <c r="F2476" t="s">
        <v>622</v>
      </c>
      <c r="G2476" t="s">
        <v>623</v>
      </c>
      <c r="H2476" t="s">
        <v>624</v>
      </c>
    </row>
    <row r="2477" spans="1:9">
      <c r="A2477" t="s">
        <v>195</v>
      </c>
      <c r="B2477" t="s">
        <v>304</v>
      </c>
      <c r="C2477">
        <v>201</v>
      </c>
      <c r="D2477" t="s">
        <v>194</v>
      </c>
      <c r="E2477">
        <v>1671</v>
      </c>
      <c r="F2477" s="3">
        <v>0.21129999999999999</v>
      </c>
      <c r="G2477" s="3">
        <v>0.34420000000000001</v>
      </c>
      <c r="H2477" s="3">
        <v>0.44450000000000001</v>
      </c>
    </row>
    <row r="2478" spans="1:9">
      <c r="A2478" t="s">
        <v>195</v>
      </c>
      <c r="B2478" t="s">
        <v>305</v>
      </c>
      <c r="C2478">
        <v>536</v>
      </c>
      <c r="D2478" t="s">
        <v>194</v>
      </c>
      <c r="E2478">
        <v>1671</v>
      </c>
      <c r="F2478" s="3">
        <v>0.2424</v>
      </c>
      <c r="G2478" s="3">
        <v>0.35899999999999999</v>
      </c>
      <c r="H2478" s="3">
        <v>0.39860000000000001</v>
      </c>
    </row>
    <row r="2479" spans="1:9" s="25" customFormat="1">
      <c r="A2479" s="25" t="s">
        <v>195</v>
      </c>
      <c r="B2479" s="25" t="s">
        <v>306</v>
      </c>
      <c r="C2479" s="25">
        <v>5</v>
      </c>
      <c r="D2479" s="25" t="s">
        <v>194</v>
      </c>
      <c r="E2479" s="25">
        <v>1671</v>
      </c>
      <c r="F2479" s="26">
        <v>0.68799999999999994</v>
      </c>
      <c r="G2479" s="26">
        <v>0.29730000000000001</v>
      </c>
      <c r="H2479" s="26">
        <v>1.46E-2</v>
      </c>
    </row>
    <row r="2480" spans="1:9" s="25" customFormat="1">
      <c r="A2480" s="25" t="s">
        <v>195</v>
      </c>
      <c r="B2480" s="25" t="s">
        <v>307</v>
      </c>
      <c r="C2480" s="25">
        <v>10</v>
      </c>
      <c r="D2480" s="25" t="s">
        <v>194</v>
      </c>
      <c r="E2480" s="25">
        <v>1671</v>
      </c>
      <c r="F2480" s="26">
        <v>0.47589999999999999</v>
      </c>
      <c r="H2480" s="26">
        <v>0.52410000000000001</v>
      </c>
    </row>
    <row r="2481" spans="1:8">
      <c r="A2481" t="s">
        <v>199</v>
      </c>
      <c r="B2481" t="s">
        <v>304</v>
      </c>
      <c r="C2481">
        <v>113</v>
      </c>
      <c r="D2481" t="s">
        <v>194</v>
      </c>
      <c r="E2481">
        <v>1671</v>
      </c>
      <c r="F2481" s="3">
        <v>0.2339</v>
      </c>
      <c r="G2481" s="3">
        <v>0.4214</v>
      </c>
      <c r="H2481" s="3">
        <v>0.3448</v>
      </c>
    </row>
    <row r="2482" spans="1:8">
      <c r="A2482" t="s">
        <v>199</v>
      </c>
      <c r="B2482" t="s">
        <v>305</v>
      </c>
      <c r="C2482">
        <v>785</v>
      </c>
      <c r="D2482" t="s">
        <v>194</v>
      </c>
      <c r="E2482">
        <v>1671</v>
      </c>
      <c r="F2482" s="3">
        <v>0.3226</v>
      </c>
      <c r="G2482" s="3">
        <v>0.42630000000000001</v>
      </c>
      <c r="H2482" s="3">
        <v>0.25109999999999999</v>
      </c>
    </row>
    <row r="2483" spans="1:8" s="25" customFormat="1">
      <c r="A2483" s="25" t="s">
        <v>199</v>
      </c>
      <c r="B2483" s="25" t="s">
        <v>306</v>
      </c>
      <c r="C2483" s="25">
        <v>4</v>
      </c>
      <c r="D2483" s="25" t="s">
        <v>194</v>
      </c>
      <c r="E2483" s="25">
        <v>1671</v>
      </c>
      <c r="F2483" s="26">
        <v>0.33110000000000001</v>
      </c>
      <c r="G2483" s="26">
        <v>0.44140000000000001</v>
      </c>
      <c r="H2483" s="26">
        <v>0.22750000000000001</v>
      </c>
    </row>
    <row r="2484" spans="1:8" s="25" customFormat="1">
      <c r="A2484" s="25" t="s">
        <v>199</v>
      </c>
      <c r="B2484" s="25" t="s">
        <v>307</v>
      </c>
      <c r="C2484" s="25">
        <v>17</v>
      </c>
      <c r="D2484" s="25" t="s">
        <v>194</v>
      </c>
      <c r="E2484" s="25">
        <v>1671</v>
      </c>
      <c r="F2484" s="26">
        <v>2.6499999999999999E-2</v>
      </c>
      <c r="G2484" s="26">
        <v>0.30840000000000001</v>
      </c>
      <c r="H2484" s="26">
        <v>0.66510000000000002</v>
      </c>
    </row>
    <row r="2485" spans="1:8">
      <c r="A2485" t="s">
        <v>200</v>
      </c>
      <c r="B2485" t="s">
        <v>200</v>
      </c>
      <c r="C2485">
        <v>1671</v>
      </c>
      <c r="D2485" t="s">
        <v>200</v>
      </c>
      <c r="E2485">
        <v>1671</v>
      </c>
      <c r="F2485" s="3">
        <v>0.27879999999999999</v>
      </c>
      <c r="G2485" s="3">
        <v>0.38950000000000001</v>
      </c>
      <c r="H2485" s="3">
        <v>0.33179999999999998</v>
      </c>
    </row>
    <row r="2487" spans="1:8" ht="45">
      <c r="A2487" s="22" t="s">
        <v>632</v>
      </c>
    </row>
    <row r="2488" spans="1:8">
      <c r="A2488" t="s">
        <v>185</v>
      </c>
      <c r="B2488" t="s">
        <v>186</v>
      </c>
      <c r="C2488" t="s">
        <v>192</v>
      </c>
      <c r="D2488" t="s">
        <v>184</v>
      </c>
      <c r="E2488" t="s">
        <v>193</v>
      </c>
      <c r="F2488" t="s">
        <v>622</v>
      </c>
      <c r="G2488" t="s">
        <v>623</v>
      </c>
      <c r="H2488" t="s">
        <v>624</v>
      </c>
    </row>
    <row r="2489" spans="1:8">
      <c r="A2489" t="s">
        <v>195</v>
      </c>
      <c r="B2489" t="s">
        <v>351</v>
      </c>
      <c r="C2489">
        <v>240</v>
      </c>
      <c r="D2489" t="s">
        <v>194</v>
      </c>
      <c r="E2489">
        <v>1671</v>
      </c>
      <c r="F2489" s="3">
        <v>0.22850000000000001</v>
      </c>
      <c r="G2489" s="3">
        <v>0.33679999999999999</v>
      </c>
      <c r="H2489" s="3">
        <v>0.43469999999999998</v>
      </c>
    </row>
    <row r="2490" spans="1:8">
      <c r="A2490" t="s">
        <v>195</v>
      </c>
      <c r="B2490" t="s">
        <v>352</v>
      </c>
      <c r="C2490">
        <v>197</v>
      </c>
      <c r="D2490" t="s">
        <v>194</v>
      </c>
      <c r="E2490">
        <v>1671</v>
      </c>
      <c r="F2490" s="3">
        <v>0.1326</v>
      </c>
      <c r="G2490" s="3">
        <v>0.34570000000000001</v>
      </c>
      <c r="H2490" s="3">
        <v>0.52170000000000005</v>
      </c>
    </row>
    <row r="2491" spans="1:8">
      <c r="A2491" t="s">
        <v>195</v>
      </c>
      <c r="B2491" t="s">
        <v>353</v>
      </c>
      <c r="C2491">
        <v>144</v>
      </c>
      <c r="D2491" t="s">
        <v>194</v>
      </c>
      <c r="E2491">
        <v>1671</v>
      </c>
      <c r="F2491" s="3">
        <v>0.33189999999999997</v>
      </c>
      <c r="G2491" s="3">
        <v>0.27800000000000002</v>
      </c>
      <c r="H2491" s="3">
        <v>0.39</v>
      </c>
    </row>
    <row r="2492" spans="1:8">
      <c r="A2492" t="s">
        <v>195</v>
      </c>
      <c r="B2492" t="s">
        <v>354</v>
      </c>
      <c r="C2492">
        <v>105</v>
      </c>
      <c r="D2492" t="s">
        <v>194</v>
      </c>
      <c r="E2492">
        <v>1671</v>
      </c>
      <c r="F2492" s="3">
        <v>0.29110000000000003</v>
      </c>
      <c r="G2492" s="3">
        <v>0.48220000000000002</v>
      </c>
      <c r="H2492" s="3">
        <v>0.2268</v>
      </c>
    </row>
    <row r="2493" spans="1:8">
      <c r="A2493" t="s">
        <v>199</v>
      </c>
      <c r="B2493" t="s">
        <v>351</v>
      </c>
      <c r="C2493">
        <v>250</v>
      </c>
      <c r="D2493" t="s">
        <v>194</v>
      </c>
      <c r="E2493">
        <v>1671</v>
      </c>
      <c r="F2493" s="3">
        <v>0.1651</v>
      </c>
      <c r="G2493" s="3">
        <v>0.4345</v>
      </c>
      <c r="H2493" s="3">
        <v>0.40039999999999998</v>
      </c>
    </row>
    <row r="2494" spans="1:8">
      <c r="A2494" t="s">
        <v>199</v>
      </c>
      <c r="B2494" t="s">
        <v>352</v>
      </c>
      <c r="C2494">
        <v>169</v>
      </c>
      <c r="D2494" t="s">
        <v>194</v>
      </c>
      <c r="E2494">
        <v>1671</v>
      </c>
      <c r="F2494" s="3">
        <v>0.2681</v>
      </c>
      <c r="G2494" s="3">
        <v>0.39169999999999999</v>
      </c>
      <c r="H2494" s="3">
        <v>0.3402</v>
      </c>
    </row>
    <row r="2495" spans="1:8">
      <c r="A2495" t="s">
        <v>199</v>
      </c>
      <c r="B2495" t="s">
        <v>353</v>
      </c>
      <c r="C2495">
        <v>197</v>
      </c>
      <c r="D2495" t="s">
        <v>194</v>
      </c>
      <c r="E2495">
        <v>1671</v>
      </c>
      <c r="F2495" s="3">
        <v>0.34839999999999999</v>
      </c>
      <c r="G2495" s="3">
        <v>0.3997</v>
      </c>
      <c r="H2495" s="3">
        <v>0.25180000000000002</v>
      </c>
    </row>
    <row r="2496" spans="1:8">
      <c r="A2496" t="s">
        <v>199</v>
      </c>
      <c r="B2496" t="s">
        <v>354</v>
      </c>
      <c r="C2496">
        <v>181</v>
      </c>
      <c r="D2496" t="s">
        <v>194</v>
      </c>
      <c r="E2496">
        <v>1671</v>
      </c>
      <c r="F2496" s="3">
        <v>0.3896</v>
      </c>
      <c r="G2496" s="3">
        <v>0.46400000000000002</v>
      </c>
      <c r="H2496" s="3">
        <v>0.1464</v>
      </c>
    </row>
    <row r="2497" spans="1:19">
      <c r="A2497" t="s">
        <v>200</v>
      </c>
      <c r="B2497" t="s">
        <v>200</v>
      </c>
      <c r="C2497">
        <v>1671</v>
      </c>
      <c r="D2497" t="s">
        <v>200</v>
      </c>
      <c r="E2497">
        <v>1671</v>
      </c>
      <c r="F2497" s="3">
        <v>0.27879999999999999</v>
      </c>
      <c r="G2497" s="3">
        <v>0.38950000000000001</v>
      </c>
      <c r="H2497" s="3">
        <v>0.33179999999999998</v>
      </c>
    </row>
    <row r="2499" spans="1:19" ht="45">
      <c r="A2499" s="22" t="s">
        <v>633</v>
      </c>
    </row>
    <row r="2500" spans="1:19">
      <c r="A2500" t="s">
        <v>185</v>
      </c>
      <c r="B2500" t="s">
        <v>186</v>
      </c>
      <c r="C2500" t="s">
        <v>192</v>
      </c>
      <c r="D2500" t="s">
        <v>184</v>
      </c>
      <c r="E2500" t="s">
        <v>193</v>
      </c>
      <c r="F2500" t="s">
        <v>622</v>
      </c>
      <c r="G2500" t="s">
        <v>623</v>
      </c>
      <c r="H2500" t="s">
        <v>624</v>
      </c>
    </row>
    <row r="2501" spans="1:19">
      <c r="A2501" t="s">
        <v>195</v>
      </c>
      <c r="B2501" t="s">
        <v>217</v>
      </c>
      <c r="C2501">
        <v>346</v>
      </c>
      <c r="D2501" t="s">
        <v>194</v>
      </c>
      <c r="E2501">
        <v>1671</v>
      </c>
      <c r="F2501" s="3">
        <v>0.25969999999999999</v>
      </c>
      <c r="G2501" s="3">
        <v>0.3075</v>
      </c>
      <c r="H2501" s="3">
        <v>0.43280000000000002</v>
      </c>
    </row>
    <row r="2502" spans="1:19">
      <c r="A2502" t="s">
        <v>195</v>
      </c>
      <c r="B2502" t="s">
        <v>219</v>
      </c>
      <c r="C2502">
        <v>333</v>
      </c>
      <c r="D2502" t="s">
        <v>194</v>
      </c>
      <c r="E2502">
        <v>1671</v>
      </c>
      <c r="F2502" s="3">
        <v>0.18629999999999999</v>
      </c>
      <c r="G2502" s="3">
        <v>0.36699999999999999</v>
      </c>
      <c r="H2502" s="3">
        <v>0.44669999999999999</v>
      </c>
    </row>
    <row r="2503" spans="1:19">
      <c r="A2503" t="s">
        <v>195</v>
      </c>
      <c r="B2503" t="s">
        <v>220</v>
      </c>
      <c r="C2503">
        <v>69</v>
      </c>
      <c r="D2503" t="s">
        <v>194</v>
      </c>
      <c r="E2503">
        <v>1671</v>
      </c>
      <c r="F2503" s="3">
        <v>0.36909999999999998</v>
      </c>
      <c r="G2503" s="3">
        <v>0.45839999999999997</v>
      </c>
      <c r="H2503" s="3">
        <v>0.1724</v>
      </c>
    </row>
    <row r="2504" spans="1:19">
      <c r="A2504" t="s">
        <v>199</v>
      </c>
      <c r="B2504" t="s">
        <v>217</v>
      </c>
      <c r="C2504">
        <v>554</v>
      </c>
      <c r="D2504" t="s">
        <v>194</v>
      </c>
      <c r="E2504">
        <v>1671</v>
      </c>
      <c r="F2504" s="3">
        <v>0.35659999999999997</v>
      </c>
      <c r="G2504" s="3">
        <v>0.40010000000000001</v>
      </c>
      <c r="H2504" s="3">
        <v>0.24329999999999999</v>
      </c>
    </row>
    <row r="2505" spans="1:19">
      <c r="A2505" t="s">
        <v>199</v>
      </c>
      <c r="B2505" t="s">
        <v>219</v>
      </c>
      <c r="C2505">
        <v>262</v>
      </c>
      <c r="D2505" t="s">
        <v>194</v>
      </c>
      <c r="E2505">
        <v>1671</v>
      </c>
      <c r="F2505" s="3">
        <v>0.2039</v>
      </c>
      <c r="G2505" s="3">
        <v>0.44190000000000002</v>
      </c>
      <c r="H2505" s="3">
        <v>0.3543</v>
      </c>
    </row>
    <row r="2506" spans="1:19">
      <c r="A2506" t="s">
        <v>199</v>
      </c>
      <c r="B2506" t="s">
        <v>220</v>
      </c>
      <c r="C2506">
        <v>103</v>
      </c>
      <c r="D2506" t="s">
        <v>194</v>
      </c>
      <c r="E2506">
        <v>1671</v>
      </c>
      <c r="F2506" s="3">
        <v>0.216</v>
      </c>
      <c r="G2506" s="3">
        <v>0.52710000000000001</v>
      </c>
      <c r="H2506" s="3">
        <v>0.25690000000000002</v>
      </c>
    </row>
    <row r="2507" spans="1:19">
      <c r="A2507" t="s">
        <v>200</v>
      </c>
      <c r="B2507" t="s">
        <v>200</v>
      </c>
      <c r="C2507">
        <v>1671</v>
      </c>
      <c r="D2507" t="s">
        <v>200</v>
      </c>
      <c r="E2507">
        <v>1671</v>
      </c>
      <c r="F2507" s="3">
        <v>0.27879999999999999</v>
      </c>
      <c r="G2507" s="3">
        <v>0.38950000000000001</v>
      </c>
      <c r="H2507" s="3">
        <v>0.33179999999999998</v>
      </c>
    </row>
    <row r="2509" spans="1:19" ht="30">
      <c r="A2509" s="22" t="s">
        <v>634</v>
      </c>
    </row>
    <row r="2510" spans="1:19">
      <c r="A2510" t="s">
        <v>185</v>
      </c>
      <c r="B2510" t="s">
        <v>186</v>
      </c>
      <c r="C2510" t="s">
        <v>192</v>
      </c>
      <c r="D2510" t="s">
        <v>184</v>
      </c>
      <c r="E2510" t="s">
        <v>193</v>
      </c>
      <c r="F2510" t="s">
        <v>635</v>
      </c>
      <c r="G2510" t="s">
        <v>636</v>
      </c>
      <c r="H2510" t="s">
        <v>637</v>
      </c>
      <c r="I2510" t="s">
        <v>638</v>
      </c>
      <c r="J2510" t="s">
        <v>639</v>
      </c>
      <c r="K2510" t="s">
        <v>640</v>
      </c>
      <c r="L2510" t="s">
        <v>641</v>
      </c>
      <c r="M2510" t="s">
        <v>642</v>
      </c>
      <c r="N2510" t="s">
        <v>643</v>
      </c>
      <c r="O2510" t="s">
        <v>644</v>
      </c>
      <c r="P2510" t="s">
        <v>645</v>
      </c>
      <c r="Q2510" t="s">
        <v>646</v>
      </c>
      <c r="R2510" t="s">
        <v>647</v>
      </c>
      <c r="S2510" t="s">
        <v>648</v>
      </c>
    </row>
    <row r="2511" spans="1:19">
      <c r="A2511" t="s">
        <v>195</v>
      </c>
      <c r="B2511" t="s">
        <v>196</v>
      </c>
      <c r="C2511">
        <v>296</v>
      </c>
      <c r="D2511" t="s">
        <v>194</v>
      </c>
      <c r="E2511">
        <v>1668</v>
      </c>
      <c r="F2511" s="3">
        <v>4.5400000000000003E-2</v>
      </c>
      <c r="G2511" s="3">
        <v>3.0599999999999999E-2</v>
      </c>
      <c r="H2511" s="3">
        <v>0.1076</v>
      </c>
      <c r="I2511" s="3">
        <v>7.4499999999999997E-2</v>
      </c>
      <c r="J2511" s="3">
        <v>0.12429999999999999</v>
      </c>
      <c r="K2511" s="3">
        <v>6.6699999999999995E-2</v>
      </c>
      <c r="L2511" s="3">
        <v>9.1800000000000007E-2</v>
      </c>
      <c r="M2511" s="3">
        <v>6.3399999999999998E-2</v>
      </c>
      <c r="N2511" s="3">
        <v>8.3500000000000005E-2</v>
      </c>
      <c r="O2511" s="3">
        <v>6.3200000000000006E-2</v>
      </c>
      <c r="P2511" s="3">
        <v>7.7799999999999994E-2</v>
      </c>
      <c r="Q2511" s="3">
        <v>6.4100000000000004E-2</v>
      </c>
      <c r="R2511" s="3">
        <v>8.9999999999999993E-3</v>
      </c>
      <c r="S2511" s="3">
        <v>9.8100000000000007E-2</v>
      </c>
    </row>
    <row r="2512" spans="1:19">
      <c r="A2512" t="s">
        <v>195</v>
      </c>
      <c r="B2512" t="s">
        <v>198</v>
      </c>
      <c r="C2512">
        <v>441</v>
      </c>
      <c r="D2512" t="s">
        <v>194</v>
      </c>
      <c r="E2512">
        <v>1668</v>
      </c>
      <c r="F2512" s="3">
        <v>6.08E-2</v>
      </c>
      <c r="G2512" s="3">
        <v>2.86E-2</v>
      </c>
      <c r="H2512" s="3">
        <v>6.9199999999999998E-2</v>
      </c>
      <c r="I2512" s="3">
        <v>0.1202</v>
      </c>
      <c r="J2512" s="3">
        <v>4.7E-2</v>
      </c>
      <c r="K2512" s="3">
        <v>8.4400000000000003E-2</v>
      </c>
      <c r="L2512" s="3">
        <v>9.4899999999999998E-2</v>
      </c>
      <c r="M2512" s="3">
        <v>0.1399</v>
      </c>
      <c r="N2512" s="3">
        <v>4.5699999999999998E-2</v>
      </c>
      <c r="O2512" s="3">
        <v>9.6699999999999994E-2</v>
      </c>
      <c r="P2512" s="3">
        <v>6.3399999999999998E-2</v>
      </c>
      <c r="Q2512" s="3">
        <v>8.3400000000000002E-2</v>
      </c>
      <c r="R2512" s="3">
        <v>1.55E-2</v>
      </c>
      <c r="S2512" s="3">
        <v>5.0200000000000002E-2</v>
      </c>
    </row>
    <row r="2513" spans="1:19">
      <c r="A2513" t="s">
        <v>199</v>
      </c>
      <c r="B2513" t="s">
        <v>196</v>
      </c>
      <c r="C2513">
        <v>388</v>
      </c>
      <c r="D2513" t="s">
        <v>194</v>
      </c>
      <c r="E2513">
        <v>1668</v>
      </c>
      <c r="F2513" s="3">
        <v>5.8400000000000001E-2</v>
      </c>
      <c r="G2513" s="3">
        <v>5.5399999999999998E-2</v>
      </c>
      <c r="H2513" s="3">
        <v>8.8900000000000007E-2</v>
      </c>
      <c r="I2513" s="3">
        <v>9.4399999999999998E-2</v>
      </c>
      <c r="J2513" s="3">
        <v>5.3999999999999999E-2</v>
      </c>
      <c r="K2513" s="3">
        <v>8.7300000000000003E-2</v>
      </c>
      <c r="L2513" s="3">
        <v>0.1096</v>
      </c>
      <c r="M2513" s="3">
        <v>9.1600000000000001E-2</v>
      </c>
      <c r="N2513" s="3">
        <v>7.3599999999999999E-2</v>
      </c>
      <c r="O2513" s="3">
        <v>7.7700000000000005E-2</v>
      </c>
      <c r="P2513" s="3">
        <v>6.5199999999999994E-2</v>
      </c>
      <c r="Q2513" s="3">
        <v>7.4200000000000002E-2</v>
      </c>
      <c r="R2513" s="3">
        <v>2.52E-2</v>
      </c>
      <c r="S2513" s="3">
        <v>4.4400000000000002E-2</v>
      </c>
    </row>
    <row r="2514" spans="1:19">
      <c r="A2514" t="s">
        <v>199</v>
      </c>
      <c r="B2514" t="s">
        <v>198</v>
      </c>
      <c r="C2514">
        <v>517</v>
      </c>
      <c r="D2514" t="s">
        <v>194</v>
      </c>
      <c r="E2514">
        <v>1668</v>
      </c>
      <c r="F2514" s="3">
        <v>2.9100000000000001E-2</v>
      </c>
      <c r="G2514" s="3">
        <v>4.3799999999999999E-2</v>
      </c>
      <c r="H2514" s="3">
        <v>8.1299999999999997E-2</v>
      </c>
      <c r="I2514" s="3">
        <v>6.2799999999999995E-2</v>
      </c>
      <c r="J2514" s="3">
        <v>0.1197</v>
      </c>
      <c r="K2514" s="3">
        <v>8.7400000000000005E-2</v>
      </c>
      <c r="L2514" s="3">
        <v>9.3899999999999997E-2</v>
      </c>
      <c r="M2514" s="3">
        <v>7.7100000000000002E-2</v>
      </c>
      <c r="N2514" s="3">
        <v>6.0600000000000001E-2</v>
      </c>
      <c r="O2514" s="3">
        <v>0.107</v>
      </c>
      <c r="P2514" s="3">
        <v>7.0999999999999994E-2</v>
      </c>
      <c r="Q2514" s="3">
        <v>7.3700000000000002E-2</v>
      </c>
      <c r="R2514" s="3">
        <v>2.93E-2</v>
      </c>
      <c r="S2514" s="3">
        <v>6.3200000000000006E-2</v>
      </c>
    </row>
    <row r="2515" spans="1:19">
      <c r="A2515" t="s">
        <v>200</v>
      </c>
      <c r="B2515" t="s">
        <v>200</v>
      </c>
      <c r="C2515">
        <v>1668</v>
      </c>
      <c r="D2515" t="s">
        <v>200</v>
      </c>
      <c r="E2515">
        <v>1668</v>
      </c>
      <c r="F2515" s="3">
        <v>4.58E-2</v>
      </c>
      <c r="G2515" s="3">
        <v>3.8699999999999998E-2</v>
      </c>
      <c r="H2515" s="3">
        <v>8.1299999999999997E-2</v>
      </c>
      <c r="I2515" s="3">
        <v>8.7900000000000006E-2</v>
      </c>
      <c r="J2515" s="3">
        <v>8.6900000000000005E-2</v>
      </c>
      <c r="K2515" s="3">
        <v>8.3599999999999994E-2</v>
      </c>
      <c r="L2515" s="3">
        <v>9.6100000000000005E-2</v>
      </c>
      <c r="M2515" s="3">
        <v>9.8100000000000007E-2</v>
      </c>
      <c r="N2515" s="3">
        <v>6.0100000000000001E-2</v>
      </c>
      <c r="O2515" s="3">
        <v>9.4899999999999998E-2</v>
      </c>
      <c r="P2515" s="3">
        <v>6.9000000000000006E-2</v>
      </c>
      <c r="Q2515" s="3">
        <v>7.5600000000000001E-2</v>
      </c>
      <c r="R2515" s="3">
        <v>2.1600000000000001E-2</v>
      </c>
      <c r="S2515" s="3">
        <v>6.0299999999999999E-2</v>
      </c>
    </row>
    <row r="2517" spans="1:19" ht="45">
      <c r="A2517" s="22" t="s">
        <v>649</v>
      </c>
    </row>
    <row r="2518" spans="1:19">
      <c r="A2518" t="s">
        <v>185</v>
      </c>
      <c r="B2518" t="s">
        <v>186</v>
      </c>
      <c r="C2518" t="s">
        <v>192</v>
      </c>
      <c r="D2518" t="s">
        <v>184</v>
      </c>
      <c r="E2518" t="s">
        <v>193</v>
      </c>
      <c r="F2518" t="s">
        <v>635</v>
      </c>
      <c r="G2518" t="s">
        <v>636</v>
      </c>
      <c r="H2518" t="s">
        <v>637</v>
      </c>
      <c r="I2518" t="s">
        <v>638</v>
      </c>
      <c r="J2518" t="s">
        <v>639</v>
      </c>
      <c r="K2518" t="s">
        <v>640</v>
      </c>
      <c r="L2518" t="s">
        <v>641</v>
      </c>
      <c r="M2518" t="s">
        <v>642</v>
      </c>
      <c r="N2518" t="s">
        <v>643</v>
      </c>
      <c r="O2518" t="s">
        <v>644</v>
      </c>
      <c r="P2518" t="s">
        <v>645</v>
      </c>
      <c r="Q2518" t="s">
        <v>646</v>
      </c>
      <c r="R2518" t="s">
        <v>647</v>
      </c>
      <c r="S2518" t="s">
        <v>648</v>
      </c>
    </row>
    <row r="2519" spans="1:19">
      <c r="A2519" t="s">
        <v>195</v>
      </c>
      <c r="B2519" t="s">
        <v>202</v>
      </c>
      <c r="C2519">
        <v>309</v>
      </c>
      <c r="D2519" t="s">
        <v>194</v>
      </c>
      <c r="E2519">
        <v>1668</v>
      </c>
      <c r="F2519" s="3">
        <v>5.8400000000000001E-2</v>
      </c>
      <c r="G2519" s="3">
        <v>3.4000000000000002E-2</v>
      </c>
      <c r="H2519" s="3">
        <v>7.85E-2</v>
      </c>
      <c r="I2519" s="3">
        <v>0.1096</v>
      </c>
      <c r="J2519" s="3">
        <v>6.6199999999999995E-2</v>
      </c>
      <c r="K2519" s="3">
        <v>8.09E-2</v>
      </c>
      <c r="L2519" s="3">
        <v>8.9300000000000004E-2</v>
      </c>
      <c r="M2519" s="3">
        <v>0.1273</v>
      </c>
      <c r="N2519" s="3">
        <v>5.0599999999999999E-2</v>
      </c>
      <c r="O2519" s="3">
        <v>7.8799999999999995E-2</v>
      </c>
      <c r="P2519" s="3">
        <v>6.54E-2</v>
      </c>
      <c r="Q2519" s="3">
        <v>7.4200000000000002E-2</v>
      </c>
      <c r="R2519" s="3">
        <v>1.61E-2</v>
      </c>
      <c r="S2519" s="3">
        <v>7.0599999999999996E-2</v>
      </c>
    </row>
    <row r="2520" spans="1:19">
      <c r="A2520" t="s">
        <v>195</v>
      </c>
      <c r="B2520" t="s">
        <v>204</v>
      </c>
      <c r="C2520">
        <v>221</v>
      </c>
      <c r="D2520" t="s">
        <v>194</v>
      </c>
      <c r="E2520">
        <v>1668</v>
      </c>
      <c r="F2520" s="3">
        <v>6.9699999999999998E-2</v>
      </c>
      <c r="G2520" s="3">
        <v>1.14E-2</v>
      </c>
      <c r="H2520" s="3">
        <v>8.4699999999999998E-2</v>
      </c>
      <c r="I2520" s="3">
        <v>8.6499999999999994E-2</v>
      </c>
      <c r="J2520" s="3">
        <v>7.1400000000000005E-2</v>
      </c>
      <c r="K2520" s="3">
        <v>8.9599999999999999E-2</v>
      </c>
      <c r="L2520" s="3">
        <v>0.1003</v>
      </c>
      <c r="M2520" s="3">
        <v>7.6899999999999996E-2</v>
      </c>
      <c r="N2520" s="3">
        <v>6.3500000000000001E-2</v>
      </c>
      <c r="O2520" s="3">
        <v>0.1055</v>
      </c>
      <c r="P2520" s="3">
        <v>6.7100000000000007E-2</v>
      </c>
      <c r="Q2520" s="3">
        <v>0.10979999999999999</v>
      </c>
      <c r="R2520" s="3">
        <v>1.04E-2</v>
      </c>
      <c r="S2520" s="3">
        <v>5.3199999999999997E-2</v>
      </c>
    </row>
    <row r="2521" spans="1:19">
      <c r="A2521" t="s">
        <v>195</v>
      </c>
      <c r="B2521" t="s">
        <v>205</v>
      </c>
      <c r="C2521">
        <v>207</v>
      </c>
      <c r="D2521" t="s">
        <v>194</v>
      </c>
      <c r="E2521">
        <v>1668</v>
      </c>
      <c r="F2521" s="3">
        <v>2.8500000000000001E-2</v>
      </c>
      <c r="G2521" s="3">
        <v>3.56E-2</v>
      </c>
      <c r="H2521" s="3">
        <v>7.4800000000000005E-2</v>
      </c>
      <c r="I2521" s="3">
        <v>0.13539999999999999</v>
      </c>
      <c r="J2521" s="3">
        <v>6.7599999999999993E-2</v>
      </c>
      <c r="K2521" s="3">
        <v>5.8500000000000003E-2</v>
      </c>
      <c r="L2521" s="3">
        <v>0.1057</v>
      </c>
      <c r="M2521" s="3">
        <v>0.15260000000000001</v>
      </c>
      <c r="N2521" s="3">
        <v>6.6299999999999998E-2</v>
      </c>
      <c r="O2521" s="3">
        <v>9.9400000000000002E-2</v>
      </c>
      <c r="P2521" s="3">
        <v>7.5399999999999995E-2</v>
      </c>
      <c r="Q2521" s="3">
        <v>4.6100000000000002E-2</v>
      </c>
      <c r="R2521" s="3">
        <v>9.1999999999999998E-3</v>
      </c>
      <c r="S2521" s="3">
        <v>4.4900000000000002E-2</v>
      </c>
    </row>
    <row r="2522" spans="1:19">
      <c r="A2522" t="s">
        <v>199</v>
      </c>
      <c r="B2522" t="s">
        <v>202</v>
      </c>
      <c r="C2522">
        <v>318</v>
      </c>
      <c r="D2522" t="s">
        <v>194</v>
      </c>
      <c r="E2522">
        <v>1668</v>
      </c>
      <c r="F2522" s="3">
        <v>3.32E-2</v>
      </c>
      <c r="G2522" s="3">
        <v>5.4100000000000002E-2</v>
      </c>
      <c r="H2522" s="3">
        <v>8.2900000000000001E-2</v>
      </c>
      <c r="I2522" s="3">
        <v>7.7899999999999997E-2</v>
      </c>
      <c r="J2522" s="3">
        <v>0.1273</v>
      </c>
      <c r="K2522" s="3">
        <v>0.10589999999999999</v>
      </c>
      <c r="L2522" s="3">
        <v>0.1148</v>
      </c>
      <c r="M2522" s="3">
        <v>7.4899999999999994E-2</v>
      </c>
      <c r="N2522" s="3">
        <v>5.8099999999999999E-2</v>
      </c>
      <c r="O2522" s="3">
        <v>0.1003</v>
      </c>
      <c r="P2522" s="3">
        <v>3.7699999999999997E-2</v>
      </c>
      <c r="Q2522" s="3">
        <v>5.4600000000000003E-2</v>
      </c>
      <c r="R2522" s="3">
        <v>2.1100000000000001E-2</v>
      </c>
      <c r="S2522" s="3">
        <v>5.74E-2</v>
      </c>
    </row>
    <row r="2523" spans="1:19">
      <c r="A2523" t="s">
        <v>199</v>
      </c>
      <c r="B2523" t="s">
        <v>204</v>
      </c>
      <c r="C2523">
        <v>253</v>
      </c>
      <c r="D2523" t="s">
        <v>194</v>
      </c>
      <c r="E2523">
        <v>1668</v>
      </c>
      <c r="F2523" s="3">
        <v>1.3599999999999999E-2</v>
      </c>
      <c r="G2523" s="3">
        <v>4.6899999999999997E-2</v>
      </c>
      <c r="H2523" s="3">
        <v>8.1000000000000003E-2</v>
      </c>
      <c r="I2523" s="3">
        <v>6.9000000000000006E-2</v>
      </c>
      <c r="J2523" s="3">
        <v>5.11E-2</v>
      </c>
      <c r="K2523" s="3">
        <v>4.87E-2</v>
      </c>
      <c r="L2523" s="3">
        <v>9.4799999999999995E-2</v>
      </c>
      <c r="M2523" s="3">
        <v>0.105</v>
      </c>
      <c r="N2523" s="3">
        <v>7.8899999999999998E-2</v>
      </c>
      <c r="O2523" s="3">
        <v>7.2499999999999995E-2</v>
      </c>
      <c r="P2523" s="3">
        <v>0.1389</v>
      </c>
      <c r="Q2523" s="3">
        <v>8.8999999999999996E-2</v>
      </c>
      <c r="R2523" s="3">
        <v>4.4699999999999997E-2</v>
      </c>
      <c r="S2523" s="3">
        <v>6.5799999999999997E-2</v>
      </c>
    </row>
    <row r="2524" spans="1:19">
      <c r="A2524" t="s">
        <v>199</v>
      </c>
      <c r="B2524" t="s">
        <v>205</v>
      </c>
      <c r="C2524">
        <v>334</v>
      </c>
      <c r="D2524" t="s">
        <v>194</v>
      </c>
      <c r="E2524">
        <v>1668</v>
      </c>
      <c r="F2524" s="3">
        <v>7.4200000000000002E-2</v>
      </c>
      <c r="G2524" s="3">
        <v>1.9099999999999999E-2</v>
      </c>
      <c r="H2524" s="3">
        <v>8.72E-2</v>
      </c>
      <c r="I2524" s="3">
        <v>4.58E-2</v>
      </c>
      <c r="J2524" s="3">
        <v>7.0599999999999996E-2</v>
      </c>
      <c r="K2524" s="3">
        <v>6.0600000000000001E-2</v>
      </c>
      <c r="L2524" s="3">
        <v>3.78E-2</v>
      </c>
      <c r="M2524" s="3">
        <v>7.6100000000000001E-2</v>
      </c>
      <c r="N2524" s="3">
        <v>6.9099999999999995E-2</v>
      </c>
      <c r="O2524" s="3">
        <v>0.127</v>
      </c>
      <c r="P2524" s="3">
        <v>0.1123</v>
      </c>
      <c r="Q2524" s="3">
        <v>0.129</v>
      </c>
      <c r="R2524" s="3">
        <v>3.6999999999999998E-2</v>
      </c>
      <c r="S2524" s="3">
        <v>5.4300000000000001E-2</v>
      </c>
    </row>
    <row r="2525" spans="1:19">
      <c r="A2525" t="s">
        <v>200</v>
      </c>
      <c r="B2525" t="s">
        <v>200</v>
      </c>
      <c r="C2525">
        <v>1668</v>
      </c>
      <c r="D2525" t="s">
        <v>200</v>
      </c>
      <c r="E2525">
        <v>1668</v>
      </c>
      <c r="F2525" s="3">
        <v>4.58E-2</v>
      </c>
      <c r="G2525" s="3">
        <v>3.8699999999999998E-2</v>
      </c>
      <c r="H2525" s="3">
        <v>8.1299999999999997E-2</v>
      </c>
      <c r="I2525" s="3">
        <v>8.7900000000000006E-2</v>
      </c>
      <c r="J2525" s="3">
        <v>8.6900000000000005E-2</v>
      </c>
      <c r="K2525" s="3">
        <v>8.3599999999999994E-2</v>
      </c>
      <c r="L2525" s="3">
        <v>9.6100000000000005E-2</v>
      </c>
      <c r="M2525" s="3">
        <v>9.8100000000000007E-2</v>
      </c>
      <c r="N2525" s="3">
        <v>6.0100000000000001E-2</v>
      </c>
      <c r="O2525" s="3">
        <v>9.4899999999999998E-2</v>
      </c>
      <c r="P2525" s="3">
        <v>6.9000000000000006E-2</v>
      </c>
      <c r="Q2525" s="3">
        <v>7.5600000000000001E-2</v>
      </c>
      <c r="R2525" s="3">
        <v>2.1600000000000001E-2</v>
      </c>
      <c r="S2525" s="3">
        <v>6.0299999999999999E-2</v>
      </c>
    </row>
    <row r="2527" spans="1:19" ht="45">
      <c r="A2527" s="22" t="s">
        <v>650</v>
      </c>
    </row>
    <row r="2528" spans="1:19">
      <c r="A2528" t="s">
        <v>185</v>
      </c>
      <c r="B2528" t="s">
        <v>186</v>
      </c>
      <c r="C2528" t="s">
        <v>192</v>
      </c>
      <c r="D2528" t="s">
        <v>184</v>
      </c>
      <c r="E2528" t="s">
        <v>193</v>
      </c>
      <c r="F2528" t="s">
        <v>635</v>
      </c>
      <c r="G2528" t="s">
        <v>636</v>
      </c>
      <c r="H2528" t="s">
        <v>637</v>
      </c>
      <c r="I2528" t="s">
        <v>638</v>
      </c>
      <c r="J2528" t="s">
        <v>639</v>
      </c>
      <c r="K2528" t="s">
        <v>640</v>
      </c>
      <c r="L2528" t="s">
        <v>641</v>
      </c>
      <c r="M2528" t="s">
        <v>642</v>
      </c>
      <c r="N2528" t="s">
        <v>643</v>
      </c>
      <c r="O2528" t="s">
        <v>644</v>
      </c>
      <c r="P2528" t="s">
        <v>645</v>
      </c>
      <c r="Q2528" t="s">
        <v>646</v>
      </c>
      <c r="R2528" t="s">
        <v>647</v>
      </c>
      <c r="S2528" t="s">
        <v>648</v>
      </c>
    </row>
    <row r="2529" spans="1:19">
      <c r="A2529" t="s">
        <v>195</v>
      </c>
      <c r="B2529" t="s">
        <v>207</v>
      </c>
      <c r="C2529">
        <v>165</v>
      </c>
      <c r="D2529" t="s">
        <v>194</v>
      </c>
      <c r="E2529">
        <v>1668</v>
      </c>
      <c r="F2529" s="3">
        <v>5.3499999999999999E-2</v>
      </c>
      <c r="G2529" s="3">
        <v>1.8200000000000001E-2</v>
      </c>
      <c r="H2529" s="3">
        <v>0.13819999999999999</v>
      </c>
      <c r="I2529" s="3">
        <v>0.10290000000000001</v>
      </c>
      <c r="J2529" s="3">
        <v>5.6599999999999998E-2</v>
      </c>
      <c r="K2529" s="3">
        <v>2.1600000000000001E-2</v>
      </c>
      <c r="L2529" s="3">
        <v>6.4199999999999993E-2</v>
      </c>
      <c r="M2529" s="3">
        <v>0.1226</v>
      </c>
      <c r="N2529" s="3">
        <v>4.1700000000000001E-2</v>
      </c>
      <c r="O2529" s="3">
        <v>6.7400000000000002E-2</v>
      </c>
      <c r="P2529" s="3">
        <v>7.9799999999999996E-2</v>
      </c>
      <c r="Q2529" s="3">
        <v>9.4899999999999998E-2</v>
      </c>
      <c r="R2529" s="3">
        <v>5.1999999999999998E-3</v>
      </c>
      <c r="S2529" s="3">
        <v>0.13320000000000001</v>
      </c>
    </row>
    <row r="2530" spans="1:19">
      <c r="A2530" t="s">
        <v>195</v>
      </c>
      <c r="B2530" t="s">
        <v>209</v>
      </c>
      <c r="C2530">
        <v>587</v>
      </c>
      <c r="D2530" t="s">
        <v>194</v>
      </c>
      <c r="E2530">
        <v>1668</v>
      </c>
      <c r="F2530" s="3">
        <v>5.7700000000000001E-2</v>
      </c>
      <c r="G2530" s="3">
        <v>3.2000000000000001E-2</v>
      </c>
      <c r="H2530" s="3">
        <v>6.2100000000000002E-2</v>
      </c>
      <c r="I2530" s="3">
        <v>0.1101</v>
      </c>
      <c r="J2530" s="3">
        <v>7.0800000000000002E-2</v>
      </c>
      <c r="K2530" s="3">
        <v>9.5500000000000002E-2</v>
      </c>
      <c r="L2530" s="3">
        <v>0.1028</v>
      </c>
      <c r="M2530" s="3">
        <v>0.1178</v>
      </c>
      <c r="N2530" s="3">
        <v>5.9400000000000001E-2</v>
      </c>
      <c r="O2530" s="3">
        <v>9.5299999999999996E-2</v>
      </c>
      <c r="P2530" s="3">
        <v>6.4799999999999996E-2</v>
      </c>
      <c r="Q2530" s="3">
        <v>7.2999999999999995E-2</v>
      </c>
      <c r="R2530" s="3">
        <v>1.61E-2</v>
      </c>
      <c r="S2530" s="3">
        <v>4.2599999999999999E-2</v>
      </c>
    </row>
    <row r="2531" spans="1:19">
      <c r="A2531" t="s">
        <v>199</v>
      </c>
      <c r="B2531" t="s">
        <v>207</v>
      </c>
      <c r="C2531">
        <v>148</v>
      </c>
      <c r="D2531" t="s">
        <v>194</v>
      </c>
      <c r="E2531">
        <v>1668</v>
      </c>
      <c r="F2531" s="3">
        <v>2.75E-2</v>
      </c>
      <c r="G2531" s="3">
        <v>8.9999999999999993E-3</v>
      </c>
      <c r="H2531" s="3">
        <v>2.58E-2</v>
      </c>
      <c r="I2531" s="3">
        <v>2.7E-2</v>
      </c>
      <c r="J2531" s="3">
        <v>4.7199999999999999E-2</v>
      </c>
      <c r="K2531" s="3">
        <v>0.14419999999999999</v>
      </c>
      <c r="L2531" s="3">
        <v>9.2499999999999999E-2</v>
      </c>
      <c r="M2531" s="3">
        <v>0.13139999999999999</v>
      </c>
      <c r="N2531" s="3">
        <v>3.4299999999999997E-2</v>
      </c>
      <c r="O2531" s="3">
        <v>0.13950000000000001</v>
      </c>
      <c r="P2531" s="3">
        <v>5.6500000000000002E-2</v>
      </c>
      <c r="Q2531" s="3">
        <v>0.10349999999999999</v>
      </c>
      <c r="R2531" s="3">
        <v>4.0899999999999999E-2</v>
      </c>
      <c r="S2531" s="3">
        <v>0.1207</v>
      </c>
    </row>
    <row r="2532" spans="1:19">
      <c r="A2532" t="s">
        <v>199</v>
      </c>
      <c r="B2532" t="s">
        <v>209</v>
      </c>
      <c r="C2532">
        <v>768</v>
      </c>
      <c r="D2532" t="s">
        <v>194</v>
      </c>
      <c r="E2532">
        <v>1668</v>
      </c>
      <c r="F2532" s="3">
        <v>3.8100000000000002E-2</v>
      </c>
      <c r="G2532" s="3">
        <v>5.2999999999999999E-2</v>
      </c>
      <c r="H2532" s="3">
        <v>9.2700000000000005E-2</v>
      </c>
      <c r="I2532" s="3">
        <v>7.7700000000000005E-2</v>
      </c>
      <c r="J2532" s="3">
        <v>0.11210000000000001</v>
      </c>
      <c r="K2532" s="3">
        <v>7.7899999999999997E-2</v>
      </c>
      <c r="L2532" s="3">
        <v>9.8500000000000004E-2</v>
      </c>
      <c r="M2532" s="3">
        <v>7.2499999999999995E-2</v>
      </c>
      <c r="N2532" s="3">
        <v>6.8900000000000003E-2</v>
      </c>
      <c r="O2532" s="3">
        <v>9.3299999999999994E-2</v>
      </c>
      <c r="P2532" s="3">
        <v>7.1800000000000003E-2</v>
      </c>
      <c r="Q2532" s="3">
        <v>6.9000000000000006E-2</v>
      </c>
      <c r="R2532" s="3">
        <v>2.6200000000000001E-2</v>
      </c>
      <c r="S2532" s="3">
        <v>4.8300000000000003E-2</v>
      </c>
    </row>
    <row r="2533" spans="1:19">
      <c r="A2533" t="s">
        <v>200</v>
      </c>
      <c r="B2533" t="s">
        <v>200</v>
      </c>
      <c r="C2533">
        <v>1668</v>
      </c>
      <c r="D2533" t="s">
        <v>200</v>
      </c>
      <c r="E2533">
        <v>1668</v>
      </c>
      <c r="F2533" s="3">
        <v>4.58E-2</v>
      </c>
      <c r="G2533" s="3">
        <v>3.8699999999999998E-2</v>
      </c>
      <c r="H2533" s="3">
        <v>8.1299999999999997E-2</v>
      </c>
      <c r="I2533" s="3">
        <v>8.7900000000000006E-2</v>
      </c>
      <c r="J2533" s="3">
        <v>8.6900000000000005E-2</v>
      </c>
      <c r="K2533" s="3">
        <v>8.3599999999999994E-2</v>
      </c>
      <c r="L2533" s="3">
        <v>9.6100000000000005E-2</v>
      </c>
      <c r="M2533" s="3">
        <v>9.8100000000000007E-2</v>
      </c>
      <c r="N2533" s="3">
        <v>6.0100000000000001E-2</v>
      </c>
      <c r="O2533" s="3">
        <v>9.4899999999999998E-2</v>
      </c>
      <c r="P2533" s="3">
        <v>6.9000000000000006E-2</v>
      </c>
      <c r="Q2533" s="3">
        <v>7.5600000000000001E-2</v>
      </c>
      <c r="R2533" s="3">
        <v>2.1600000000000001E-2</v>
      </c>
      <c r="S2533" s="3">
        <v>6.0299999999999999E-2</v>
      </c>
    </row>
    <row r="2535" spans="1:19" ht="45">
      <c r="A2535" s="22" t="s">
        <v>651</v>
      </c>
    </row>
    <row r="2536" spans="1:19">
      <c r="A2536" t="s">
        <v>185</v>
      </c>
      <c r="B2536" t="s">
        <v>192</v>
      </c>
      <c r="C2536" t="s">
        <v>184</v>
      </c>
      <c r="D2536" t="s">
        <v>193</v>
      </c>
      <c r="E2536" t="s">
        <v>635</v>
      </c>
      <c r="F2536" t="s">
        <v>636</v>
      </c>
      <c r="G2536" t="s">
        <v>637</v>
      </c>
      <c r="H2536" t="s">
        <v>638</v>
      </c>
      <c r="I2536" t="s">
        <v>639</v>
      </c>
      <c r="J2536" t="s">
        <v>640</v>
      </c>
      <c r="K2536" t="s">
        <v>641</v>
      </c>
      <c r="L2536" t="s">
        <v>642</v>
      </c>
      <c r="M2536" t="s">
        <v>643</v>
      </c>
      <c r="N2536" t="s">
        <v>644</v>
      </c>
      <c r="O2536" t="s">
        <v>645</v>
      </c>
      <c r="P2536" t="s">
        <v>646</v>
      </c>
      <c r="Q2536" t="s">
        <v>647</v>
      </c>
      <c r="R2536" t="s">
        <v>648</v>
      </c>
    </row>
    <row r="2537" spans="1:19">
      <c r="A2537" t="s">
        <v>195</v>
      </c>
      <c r="B2537">
        <v>752</v>
      </c>
      <c r="C2537" t="s">
        <v>194</v>
      </c>
      <c r="D2537">
        <v>1668</v>
      </c>
      <c r="E2537" s="3">
        <v>5.6800000000000003E-2</v>
      </c>
      <c r="F2537" s="3">
        <v>2.8899999999999999E-2</v>
      </c>
      <c r="G2537" s="3">
        <v>7.8899999999999998E-2</v>
      </c>
      <c r="H2537" s="3">
        <v>0.1085</v>
      </c>
      <c r="I2537" s="3">
        <v>6.7699999999999996E-2</v>
      </c>
      <c r="J2537" s="3">
        <v>7.9200000000000007E-2</v>
      </c>
      <c r="K2537" s="3">
        <v>9.4299999999999995E-2</v>
      </c>
      <c r="L2537" s="3">
        <v>0.1188</v>
      </c>
      <c r="M2537" s="3">
        <v>5.5500000000000001E-2</v>
      </c>
      <c r="N2537" s="3">
        <v>8.9099999999999999E-2</v>
      </c>
      <c r="O2537" s="3">
        <v>6.8099999999999994E-2</v>
      </c>
      <c r="P2537" s="3">
        <v>7.7799999999999994E-2</v>
      </c>
      <c r="Q2537" s="3">
        <v>1.37E-2</v>
      </c>
      <c r="R2537" s="3">
        <v>6.2600000000000003E-2</v>
      </c>
    </row>
    <row r="2538" spans="1:19">
      <c r="A2538" t="s">
        <v>199</v>
      </c>
      <c r="B2538">
        <v>916</v>
      </c>
      <c r="C2538" t="s">
        <v>194</v>
      </c>
      <c r="D2538">
        <v>1668</v>
      </c>
      <c r="E2538" s="3">
        <v>3.6700000000000003E-2</v>
      </c>
      <c r="F2538" s="3">
        <v>4.6899999999999997E-2</v>
      </c>
      <c r="G2538" s="3">
        <v>8.3400000000000002E-2</v>
      </c>
      <c r="H2538" s="3">
        <v>7.0599999999999996E-2</v>
      </c>
      <c r="I2538" s="3">
        <v>0.10299999999999999</v>
      </c>
      <c r="J2538" s="3">
        <v>8.72E-2</v>
      </c>
      <c r="K2538" s="3">
        <v>9.7699999999999995E-2</v>
      </c>
      <c r="L2538" s="3">
        <v>8.0699999999999994E-2</v>
      </c>
      <c r="M2538" s="3">
        <v>6.4000000000000001E-2</v>
      </c>
      <c r="N2538" s="3">
        <v>9.9699999999999997E-2</v>
      </c>
      <c r="O2538" s="3">
        <v>6.9699999999999998E-2</v>
      </c>
      <c r="P2538" s="3">
        <v>7.3800000000000004E-2</v>
      </c>
      <c r="Q2538" s="3">
        <v>2.8199999999999999E-2</v>
      </c>
      <c r="R2538" s="3">
        <v>5.8400000000000001E-2</v>
      </c>
    </row>
    <row r="2539" spans="1:19">
      <c r="A2539" t="s">
        <v>200</v>
      </c>
      <c r="B2539">
        <v>1668</v>
      </c>
      <c r="C2539" t="s">
        <v>200</v>
      </c>
      <c r="D2539">
        <v>1668</v>
      </c>
      <c r="E2539" s="3">
        <v>4.58E-2</v>
      </c>
      <c r="F2539" s="3">
        <v>3.8699999999999998E-2</v>
      </c>
      <c r="G2539" s="3">
        <v>8.1299999999999997E-2</v>
      </c>
      <c r="H2539" s="3">
        <v>8.7900000000000006E-2</v>
      </c>
      <c r="I2539" s="3">
        <v>8.6900000000000005E-2</v>
      </c>
      <c r="J2539" s="3">
        <v>8.3599999999999994E-2</v>
      </c>
      <c r="K2539" s="3">
        <v>9.6100000000000005E-2</v>
      </c>
      <c r="L2539" s="3">
        <v>9.8100000000000007E-2</v>
      </c>
      <c r="M2539" s="3">
        <v>6.0100000000000001E-2</v>
      </c>
      <c r="N2539" s="3">
        <v>9.4899999999999998E-2</v>
      </c>
      <c r="O2539" s="3">
        <v>6.9000000000000006E-2</v>
      </c>
      <c r="P2539" s="3">
        <v>7.5600000000000001E-2</v>
      </c>
      <c r="Q2539" s="3">
        <v>2.1600000000000001E-2</v>
      </c>
      <c r="R2539" s="3">
        <v>6.0299999999999999E-2</v>
      </c>
    </row>
    <row r="2541" spans="1:19" ht="45">
      <c r="A2541" s="22" t="s">
        <v>652</v>
      </c>
    </row>
    <row r="2542" spans="1:19">
      <c r="A2542" t="s">
        <v>185</v>
      </c>
      <c r="B2542" t="s">
        <v>186</v>
      </c>
      <c r="C2542" t="s">
        <v>192</v>
      </c>
      <c r="D2542" t="s">
        <v>184</v>
      </c>
      <c r="E2542" t="s">
        <v>193</v>
      </c>
      <c r="F2542" t="s">
        <v>635</v>
      </c>
      <c r="G2542" t="s">
        <v>636</v>
      </c>
      <c r="H2542" t="s">
        <v>637</v>
      </c>
      <c r="I2542" t="s">
        <v>638</v>
      </c>
      <c r="J2542" t="s">
        <v>639</v>
      </c>
      <c r="K2542" t="s">
        <v>640</v>
      </c>
      <c r="L2542" t="s">
        <v>641</v>
      </c>
      <c r="M2542" t="s">
        <v>642</v>
      </c>
      <c r="N2542" t="s">
        <v>643</v>
      </c>
      <c r="O2542" t="s">
        <v>644</v>
      </c>
      <c r="P2542" t="s">
        <v>645</v>
      </c>
      <c r="Q2542" t="s">
        <v>646</v>
      </c>
      <c r="R2542" t="s">
        <v>647</v>
      </c>
      <c r="S2542" t="s">
        <v>648</v>
      </c>
    </row>
    <row r="2543" spans="1:19">
      <c r="A2543" t="s">
        <v>195</v>
      </c>
      <c r="B2543" t="s">
        <v>212</v>
      </c>
      <c r="C2543">
        <v>527</v>
      </c>
      <c r="D2543" t="s">
        <v>194</v>
      </c>
      <c r="E2543">
        <v>1668</v>
      </c>
      <c r="F2543" s="3">
        <v>6.1100000000000002E-2</v>
      </c>
      <c r="G2543" s="3">
        <v>2.7300000000000001E-2</v>
      </c>
      <c r="H2543" s="3">
        <v>7.3200000000000001E-2</v>
      </c>
      <c r="I2543" s="3">
        <v>8.5900000000000004E-2</v>
      </c>
      <c r="J2543" s="3">
        <v>6.2600000000000003E-2</v>
      </c>
      <c r="K2543" s="3">
        <v>8.5400000000000004E-2</v>
      </c>
      <c r="L2543" s="3">
        <v>9.8500000000000004E-2</v>
      </c>
      <c r="M2543" s="3">
        <v>0.127</v>
      </c>
      <c r="N2543" s="3">
        <v>5.4800000000000001E-2</v>
      </c>
      <c r="O2543" s="3">
        <v>8.4099999999999994E-2</v>
      </c>
      <c r="P2543" s="3">
        <v>6.7000000000000004E-2</v>
      </c>
      <c r="Q2543" s="3">
        <v>8.9599999999999999E-2</v>
      </c>
      <c r="R2543" s="3">
        <v>1.5100000000000001E-2</v>
      </c>
      <c r="S2543" s="3">
        <v>6.8500000000000005E-2</v>
      </c>
    </row>
    <row r="2544" spans="1:19">
      <c r="A2544" t="s">
        <v>195</v>
      </c>
      <c r="B2544" t="s">
        <v>215</v>
      </c>
      <c r="C2544">
        <v>225</v>
      </c>
      <c r="D2544" t="s">
        <v>194</v>
      </c>
      <c r="E2544">
        <v>1668</v>
      </c>
      <c r="F2544" s="3">
        <v>4.4600000000000001E-2</v>
      </c>
      <c r="G2544" s="3">
        <v>3.3500000000000002E-2</v>
      </c>
      <c r="H2544" s="3">
        <v>9.5000000000000001E-2</v>
      </c>
      <c r="I2544" s="3">
        <v>0.1719</v>
      </c>
      <c r="J2544" s="3">
        <v>8.2000000000000003E-2</v>
      </c>
      <c r="K2544" s="3">
        <v>6.1699999999999998E-2</v>
      </c>
      <c r="L2544" s="3">
        <v>8.2600000000000007E-2</v>
      </c>
      <c r="M2544" s="3">
        <v>9.5899999999999999E-2</v>
      </c>
      <c r="N2544" s="3">
        <v>5.74E-2</v>
      </c>
      <c r="O2544" s="3">
        <v>0.1032</v>
      </c>
      <c r="P2544" s="3">
        <v>7.1199999999999999E-2</v>
      </c>
      <c r="Q2544" s="3">
        <v>4.4900000000000002E-2</v>
      </c>
      <c r="R2544" s="3">
        <v>9.9000000000000008E-3</v>
      </c>
      <c r="S2544" s="3">
        <v>4.6100000000000002E-2</v>
      </c>
    </row>
    <row r="2545" spans="1:19">
      <c r="A2545" t="s">
        <v>199</v>
      </c>
      <c r="B2545" t="s">
        <v>212</v>
      </c>
      <c r="C2545">
        <v>616</v>
      </c>
      <c r="D2545" t="s">
        <v>194</v>
      </c>
      <c r="E2545">
        <v>1668</v>
      </c>
      <c r="F2545" s="3">
        <v>3.1199999999999999E-2</v>
      </c>
      <c r="G2545" s="3">
        <v>5.6399999999999999E-2</v>
      </c>
      <c r="H2545" s="3">
        <v>9.3399999999999997E-2</v>
      </c>
      <c r="I2545" s="3">
        <v>7.5300000000000006E-2</v>
      </c>
      <c r="J2545" s="3">
        <v>8.8599999999999998E-2</v>
      </c>
      <c r="K2545" s="3">
        <v>8.2699999999999996E-2</v>
      </c>
      <c r="L2545" s="3">
        <v>0.1152</v>
      </c>
      <c r="M2545" s="3">
        <v>6.6400000000000001E-2</v>
      </c>
      <c r="N2545" s="3">
        <v>7.0699999999999999E-2</v>
      </c>
      <c r="O2545" s="3">
        <v>0.10440000000000001</v>
      </c>
      <c r="P2545" s="3">
        <v>6.6100000000000006E-2</v>
      </c>
      <c r="Q2545" s="3">
        <v>7.6999999999999999E-2</v>
      </c>
      <c r="R2545" s="3">
        <v>1.77E-2</v>
      </c>
      <c r="S2545" s="3">
        <v>5.5E-2</v>
      </c>
    </row>
    <row r="2546" spans="1:19">
      <c r="A2546" t="s">
        <v>199</v>
      </c>
      <c r="B2546" t="s">
        <v>215</v>
      </c>
      <c r="C2546">
        <v>300</v>
      </c>
      <c r="D2546" t="s">
        <v>194</v>
      </c>
      <c r="E2546">
        <v>1668</v>
      </c>
      <c r="F2546" s="3">
        <v>5.1900000000000002E-2</v>
      </c>
      <c r="G2546" s="3">
        <v>2.0400000000000001E-2</v>
      </c>
      <c r="H2546" s="3">
        <v>5.5300000000000002E-2</v>
      </c>
      <c r="I2546" s="3">
        <v>5.7599999999999998E-2</v>
      </c>
      <c r="J2546" s="3">
        <v>0.14349999999999999</v>
      </c>
      <c r="K2546" s="3">
        <v>9.9699999999999997E-2</v>
      </c>
      <c r="L2546" s="3">
        <v>4.8800000000000003E-2</v>
      </c>
      <c r="M2546" s="3">
        <v>0.1206</v>
      </c>
      <c r="N2546" s="3">
        <v>4.5400000000000003E-2</v>
      </c>
      <c r="O2546" s="3">
        <v>8.6699999999999999E-2</v>
      </c>
      <c r="P2546" s="3">
        <v>7.9600000000000004E-2</v>
      </c>
      <c r="Q2546" s="3">
        <v>6.4799999999999996E-2</v>
      </c>
      <c r="R2546" s="3">
        <v>5.7799999999999997E-2</v>
      </c>
      <c r="S2546" s="3">
        <v>6.7799999999999999E-2</v>
      </c>
    </row>
    <row r="2547" spans="1:19">
      <c r="A2547" t="s">
        <v>200</v>
      </c>
      <c r="B2547" t="s">
        <v>200</v>
      </c>
      <c r="C2547">
        <v>1668</v>
      </c>
      <c r="D2547" t="s">
        <v>200</v>
      </c>
      <c r="E2547">
        <v>1668</v>
      </c>
      <c r="F2547" s="3">
        <v>4.58E-2</v>
      </c>
      <c r="G2547" s="3">
        <v>3.8699999999999998E-2</v>
      </c>
      <c r="H2547" s="3">
        <v>8.1299999999999997E-2</v>
      </c>
      <c r="I2547" s="3">
        <v>8.7900000000000006E-2</v>
      </c>
      <c r="J2547" s="3">
        <v>8.6900000000000005E-2</v>
      </c>
      <c r="K2547" s="3">
        <v>8.3599999999999994E-2</v>
      </c>
      <c r="L2547" s="3">
        <v>9.6100000000000005E-2</v>
      </c>
      <c r="M2547" s="3">
        <v>9.8100000000000007E-2</v>
      </c>
      <c r="N2547" s="3">
        <v>6.0100000000000001E-2</v>
      </c>
      <c r="O2547" s="3">
        <v>9.4899999999999998E-2</v>
      </c>
      <c r="P2547" s="3">
        <v>6.9000000000000006E-2</v>
      </c>
      <c r="Q2547" s="3">
        <v>7.5600000000000001E-2</v>
      </c>
      <c r="R2547" s="3">
        <v>2.1600000000000001E-2</v>
      </c>
      <c r="S2547" s="3">
        <v>6.0299999999999999E-2</v>
      </c>
    </row>
    <row r="2549" spans="1:19" ht="45">
      <c r="A2549" s="22" t="s">
        <v>653</v>
      </c>
    </row>
    <row r="2550" spans="1:19">
      <c r="A2550" t="s">
        <v>185</v>
      </c>
      <c r="B2550" t="s">
        <v>186</v>
      </c>
      <c r="C2550" t="s">
        <v>192</v>
      </c>
      <c r="D2550" t="s">
        <v>184</v>
      </c>
      <c r="E2550" t="s">
        <v>193</v>
      </c>
      <c r="F2550" t="s">
        <v>635</v>
      </c>
      <c r="G2550" t="s">
        <v>636</v>
      </c>
      <c r="H2550" t="s">
        <v>637</v>
      </c>
      <c r="I2550" t="s">
        <v>638</v>
      </c>
      <c r="J2550" t="s">
        <v>639</v>
      </c>
      <c r="K2550" t="s">
        <v>640</v>
      </c>
      <c r="L2550" t="s">
        <v>641</v>
      </c>
      <c r="M2550" t="s">
        <v>642</v>
      </c>
      <c r="N2550" t="s">
        <v>643</v>
      </c>
      <c r="O2550" t="s">
        <v>644</v>
      </c>
      <c r="P2550" t="s">
        <v>645</v>
      </c>
      <c r="Q2550" t="s">
        <v>646</v>
      </c>
      <c r="R2550" t="s">
        <v>647</v>
      </c>
      <c r="S2550" t="s">
        <v>648</v>
      </c>
    </row>
    <row r="2551" spans="1:19">
      <c r="A2551" t="s">
        <v>195</v>
      </c>
      <c r="B2551" t="s">
        <v>613</v>
      </c>
      <c r="C2551">
        <v>282</v>
      </c>
      <c r="D2551" t="s">
        <v>194</v>
      </c>
      <c r="E2551">
        <v>1668</v>
      </c>
      <c r="F2551" s="3">
        <v>0.15429999999999999</v>
      </c>
      <c r="G2551" s="3">
        <v>8.3900000000000002E-2</v>
      </c>
      <c r="M2551" s="3">
        <v>6.7000000000000002E-3</v>
      </c>
      <c r="N2551" s="3">
        <v>8.8000000000000005E-3</v>
      </c>
      <c r="O2551" s="3">
        <v>0.19900000000000001</v>
      </c>
      <c r="P2551" s="3">
        <v>0.19739999999999999</v>
      </c>
      <c r="Q2551" s="3">
        <v>0.22550000000000001</v>
      </c>
      <c r="S2551" s="3">
        <v>0.1244</v>
      </c>
    </row>
    <row r="2552" spans="1:19">
      <c r="A2552" t="s">
        <v>195</v>
      </c>
      <c r="B2552" t="s">
        <v>614</v>
      </c>
      <c r="C2552">
        <v>31</v>
      </c>
      <c r="D2552" t="s">
        <v>194</v>
      </c>
      <c r="E2552">
        <v>1668</v>
      </c>
      <c r="F2552" s="3">
        <v>9.6000000000000002E-2</v>
      </c>
      <c r="R2552" s="3">
        <v>0.37119999999999997</v>
      </c>
      <c r="S2552" s="3">
        <v>0.53280000000000005</v>
      </c>
    </row>
    <row r="2553" spans="1:19">
      <c r="A2553" t="s">
        <v>195</v>
      </c>
      <c r="B2553" t="s">
        <v>615</v>
      </c>
      <c r="C2553">
        <v>53</v>
      </c>
      <c r="D2553" t="s">
        <v>194</v>
      </c>
      <c r="E2553">
        <v>1668</v>
      </c>
      <c r="H2553" s="3">
        <v>0.68869999999999998</v>
      </c>
      <c r="I2553" s="3">
        <v>0.30120000000000002</v>
      </c>
      <c r="J2553" s="3">
        <v>0.01</v>
      </c>
    </row>
    <row r="2554" spans="1:19">
      <c r="A2554" t="s">
        <v>195</v>
      </c>
      <c r="B2554" t="s">
        <v>616</v>
      </c>
      <c r="C2554">
        <v>386</v>
      </c>
      <c r="D2554" t="s">
        <v>194</v>
      </c>
      <c r="E2554">
        <v>1668</v>
      </c>
      <c r="H2554" s="3">
        <v>1.84E-2</v>
      </c>
      <c r="I2554" s="3">
        <v>0.15110000000000001</v>
      </c>
      <c r="J2554" s="3">
        <v>0.12889999999999999</v>
      </c>
      <c r="K2554" s="3">
        <v>0.15310000000000001</v>
      </c>
      <c r="L2554" s="3">
        <v>0.18229999999999999</v>
      </c>
      <c r="M2554" s="3">
        <v>0.2253</v>
      </c>
      <c r="N2554" s="3">
        <v>0.1014</v>
      </c>
      <c r="O2554" s="3">
        <v>3.95E-2</v>
      </c>
    </row>
    <row r="2555" spans="1:19">
      <c r="A2555" t="s">
        <v>199</v>
      </c>
      <c r="B2555" t="s">
        <v>613</v>
      </c>
      <c r="C2555">
        <v>346</v>
      </c>
      <c r="D2555" t="s">
        <v>194</v>
      </c>
      <c r="E2555">
        <v>1668</v>
      </c>
      <c r="F2555" s="3">
        <v>0.10539999999999999</v>
      </c>
      <c r="G2555" s="3">
        <v>0.13500000000000001</v>
      </c>
      <c r="N2555" s="3">
        <v>2.47E-2</v>
      </c>
      <c r="O2555" s="3">
        <v>0.18640000000000001</v>
      </c>
      <c r="P2555" s="3">
        <v>0.2006</v>
      </c>
      <c r="Q2555" s="3">
        <v>0.21240000000000001</v>
      </c>
      <c r="R2555" s="3">
        <v>1.9E-3</v>
      </c>
      <c r="S2555" s="3">
        <v>0.1336</v>
      </c>
    </row>
    <row r="2556" spans="1:19">
      <c r="A2556" t="s">
        <v>199</v>
      </c>
      <c r="B2556" t="s">
        <v>614</v>
      </c>
      <c r="C2556">
        <v>42</v>
      </c>
      <c r="D2556" t="s">
        <v>194</v>
      </c>
      <c r="E2556">
        <v>1668</v>
      </c>
      <c r="F2556" s="3">
        <v>8.9999999999999998E-4</v>
      </c>
      <c r="R2556" s="3">
        <v>0.6966</v>
      </c>
      <c r="S2556" s="3">
        <v>0.30249999999999999</v>
      </c>
    </row>
    <row r="2557" spans="1:19">
      <c r="A2557" t="s">
        <v>199</v>
      </c>
      <c r="B2557" t="s">
        <v>615</v>
      </c>
      <c r="C2557">
        <v>80</v>
      </c>
      <c r="D2557" t="s">
        <v>194</v>
      </c>
      <c r="E2557">
        <v>1668</v>
      </c>
      <c r="H2557" s="3">
        <v>0.90669999999999995</v>
      </c>
      <c r="I2557" s="3">
        <v>9.3299999999999994E-2</v>
      </c>
    </row>
    <row r="2558" spans="1:19">
      <c r="A2558" t="s">
        <v>199</v>
      </c>
      <c r="B2558" t="s">
        <v>616</v>
      </c>
      <c r="C2558">
        <v>448</v>
      </c>
      <c r="D2558" t="s">
        <v>194</v>
      </c>
      <c r="E2558">
        <v>1668</v>
      </c>
      <c r="H2558" s="3">
        <v>1E-3</v>
      </c>
      <c r="I2558" s="3">
        <v>0.11899999999999999</v>
      </c>
      <c r="J2558" s="3">
        <v>0.19750000000000001</v>
      </c>
      <c r="K2558" s="3">
        <v>0.1671</v>
      </c>
      <c r="L2558" s="3">
        <v>0.18729999999999999</v>
      </c>
      <c r="M2558" s="3">
        <v>0.1547</v>
      </c>
      <c r="N2558" s="3">
        <v>0.10630000000000001</v>
      </c>
      <c r="O2558" s="3">
        <v>6.7100000000000007E-2</v>
      </c>
    </row>
    <row r="2559" spans="1:19">
      <c r="A2559" t="s">
        <v>200</v>
      </c>
      <c r="B2559" t="s">
        <v>200</v>
      </c>
      <c r="C2559">
        <v>1668</v>
      </c>
      <c r="D2559" t="s">
        <v>200</v>
      </c>
      <c r="E2559">
        <v>1668</v>
      </c>
      <c r="F2559" s="3">
        <v>4.58E-2</v>
      </c>
      <c r="G2559" s="3">
        <v>3.8699999999999998E-2</v>
      </c>
      <c r="H2559" s="3">
        <v>8.1299999999999997E-2</v>
      </c>
      <c r="I2559" s="3">
        <v>8.7900000000000006E-2</v>
      </c>
      <c r="J2559" s="3">
        <v>8.6900000000000005E-2</v>
      </c>
      <c r="K2559" s="3">
        <v>8.3599999999999994E-2</v>
      </c>
      <c r="L2559" s="3">
        <v>9.6100000000000005E-2</v>
      </c>
      <c r="M2559" s="3">
        <v>9.8100000000000007E-2</v>
      </c>
      <c r="N2559" s="3">
        <v>6.0100000000000001E-2</v>
      </c>
      <c r="O2559" s="3">
        <v>9.4899999999999998E-2</v>
      </c>
      <c r="P2559" s="3">
        <v>6.9000000000000006E-2</v>
      </c>
      <c r="Q2559" s="3">
        <v>7.5600000000000001E-2</v>
      </c>
      <c r="R2559" s="3">
        <v>2.1600000000000001E-2</v>
      </c>
      <c r="S2559" s="3">
        <v>6.0299999999999999E-2</v>
      </c>
    </row>
    <row r="2561" spans="1:20" ht="45">
      <c r="A2561" s="22" t="s">
        <v>654</v>
      </c>
    </row>
    <row r="2562" spans="1:20">
      <c r="A2562" t="s">
        <v>185</v>
      </c>
      <c r="B2562" t="s">
        <v>291</v>
      </c>
      <c r="C2562" t="s">
        <v>186</v>
      </c>
      <c r="D2562" t="s">
        <v>192</v>
      </c>
      <c r="E2562" t="s">
        <v>184</v>
      </c>
      <c r="F2562" t="s">
        <v>193</v>
      </c>
      <c r="G2562" t="s">
        <v>635</v>
      </c>
      <c r="H2562" t="s">
        <v>636</v>
      </c>
      <c r="I2562" t="s">
        <v>637</v>
      </c>
      <c r="J2562" t="s">
        <v>638</v>
      </c>
      <c r="K2562" t="s">
        <v>639</v>
      </c>
      <c r="L2562" t="s">
        <v>640</v>
      </c>
      <c r="M2562" t="s">
        <v>641</v>
      </c>
      <c r="N2562" t="s">
        <v>642</v>
      </c>
      <c r="O2562" t="s">
        <v>643</v>
      </c>
      <c r="P2562" t="s">
        <v>644</v>
      </c>
      <c r="Q2562" t="s">
        <v>645</v>
      </c>
      <c r="R2562" t="s">
        <v>646</v>
      </c>
      <c r="S2562" t="s">
        <v>647</v>
      </c>
      <c r="T2562" t="s">
        <v>648</v>
      </c>
    </row>
    <row r="2563" spans="1:20">
      <c r="A2563" t="s">
        <v>195</v>
      </c>
      <c r="B2563" t="s">
        <v>613</v>
      </c>
      <c r="C2563" t="s">
        <v>292</v>
      </c>
      <c r="D2563">
        <v>145</v>
      </c>
      <c r="E2563" t="s">
        <v>194</v>
      </c>
      <c r="F2563">
        <v>1668</v>
      </c>
      <c r="G2563" s="3">
        <v>0.17699999999999999</v>
      </c>
      <c r="H2563" s="3">
        <v>9.4299999999999995E-2</v>
      </c>
      <c r="N2563" s="3">
        <v>1.44E-2</v>
      </c>
      <c r="O2563" s="3">
        <v>1.8200000000000001E-2</v>
      </c>
      <c r="P2563" s="3">
        <v>0.1777</v>
      </c>
      <c r="Q2563" s="3">
        <v>0.1197</v>
      </c>
      <c r="R2563" s="3">
        <v>0.2349</v>
      </c>
      <c r="T2563" s="3">
        <v>0.16370000000000001</v>
      </c>
    </row>
    <row r="2564" spans="1:20">
      <c r="A2564" t="s">
        <v>199</v>
      </c>
      <c r="B2564" t="s">
        <v>616</v>
      </c>
      <c r="C2564" t="s">
        <v>292</v>
      </c>
      <c r="D2564">
        <v>218</v>
      </c>
      <c r="E2564" t="s">
        <v>194</v>
      </c>
      <c r="F2564">
        <v>1668</v>
      </c>
      <c r="I2564" s="3">
        <v>2E-3</v>
      </c>
      <c r="J2564" s="3">
        <v>0.1091</v>
      </c>
      <c r="K2564" s="3">
        <v>0.1948</v>
      </c>
      <c r="L2564" s="3">
        <v>0.14799999999999999</v>
      </c>
      <c r="M2564" s="3">
        <v>0.2283</v>
      </c>
      <c r="N2564" s="3">
        <v>0.14699999999999999</v>
      </c>
      <c r="O2564" s="3">
        <v>0.1009</v>
      </c>
      <c r="P2564" s="3">
        <v>6.9900000000000004E-2</v>
      </c>
    </row>
    <row r="2565" spans="1:20">
      <c r="A2565" t="s">
        <v>199</v>
      </c>
      <c r="B2565" t="s">
        <v>615</v>
      </c>
      <c r="C2565" t="s">
        <v>293</v>
      </c>
      <c r="D2565">
        <v>48</v>
      </c>
      <c r="E2565" t="s">
        <v>194</v>
      </c>
      <c r="F2565">
        <v>1668</v>
      </c>
      <c r="I2565" s="3">
        <v>0.88649999999999995</v>
      </c>
      <c r="J2565" s="3">
        <v>0.1135</v>
      </c>
    </row>
    <row r="2566" spans="1:20">
      <c r="A2566" t="s">
        <v>199</v>
      </c>
      <c r="B2566" t="s">
        <v>615</v>
      </c>
      <c r="C2566" t="s">
        <v>292</v>
      </c>
      <c r="D2566">
        <v>32</v>
      </c>
      <c r="E2566" t="s">
        <v>194</v>
      </c>
      <c r="F2566">
        <v>1668</v>
      </c>
      <c r="I2566" s="3">
        <v>0.93500000000000005</v>
      </c>
      <c r="J2566" s="3">
        <v>6.5000000000000002E-2</v>
      </c>
    </row>
    <row r="2567" spans="1:20" s="25" customFormat="1">
      <c r="A2567" s="25" t="s">
        <v>199</v>
      </c>
      <c r="B2567" s="25" t="s">
        <v>614</v>
      </c>
      <c r="C2567" s="25" t="s">
        <v>293</v>
      </c>
      <c r="D2567" s="25">
        <v>28</v>
      </c>
      <c r="E2567" s="25" t="s">
        <v>194</v>
      </c>
      <c r="F2567" s="25">
        <v>1668</v>
      </c>
      <c r="G2567" s="26">
        <v>1.6999999999999999E-3</v>
      </c>
      <c r="S2567" s="26">
        <v>0.70750000000000002</v>
      </c>
      <c r="T2567" s="26">
        <v>0.2908</v>
      </c>
    </row>
    <row r="2568" spans="1:20" s="25" customFormat="1">
      <c r="A2568" s="25" t="s">
        <v>199</v>
      </c>
      <c r="B2568" s="25" t="s">
        <v>614</v>
      </c>
      <c r="C2568" s="25" t="s">
        <v>292</v>
      </c>
      <c r="D2568" s="25">
        <v>14</v>
      </c>
      <c r="E2568" s="25" t="s">
        <v>194</v>
      </c>
      <c r="F2568" s="25">
        <v>1668</v>
      </c>
      <c r="S2568" s="26">
        <v>0.68420000000000003</v>
      </c>
      <c r="T2568" s="26">
        <v>0.31580000000000003</v>
      </c>
    </row>
    <row r="2569" spans="1:20">
      <c r="A2569" t="s">
        <v>199</v>
      </c>
      <c r="B2569" t="s">
        <v>613</v>
      </c>
      <c r="C2569" t="s">
        <v>293</v>
      </c>
      <c r="D2569">
        <v>162</v>
      </c>
      <c r="E2569" t="s">
        <v>194</v>
      </c>
      <c r="F2569">
        <v>1668</v>
      </c>
      <c r="G2569" s="3">
        <v>0.12659999999999999</v>
      </c>
      <c r="H2569" s="3">
        <v>0.1857</v>
      </c>
      <c r="O2569" s="3">
        <v>1.4500000000000001E-2</v>
      </c>
      <c r="P2569" s="3">
        <v>0.1512</v>
      </c>
      <c r="Q2569" s="3">
        <v>0.20419999999999999</v>
      </c>
      <c r="R2569" s="3">
        <v>0.22020000000000001</v>
      </c>
      <c r="T2569" s="3">
        <v>9.7699999999999995E-2</v>
      </c>
    </row>
    <row r="2570" spans="1:20">
      <c r="A2570" t="s">
        <v>199</v>
      </c>
      <c r="B2570" t="s">
        <v>616</v>
      </c>
      <c r="C2570" t="s">
        <v>293</v>
      </c>
      <c r="D2570">
        <v>230</v>
      </c>
      <c r="E2570" t="s">
        <v>194</v>
      </c>
      <c r="F2570">
        <v>1668</v>
      </c>
      <c r="J2570" s="3">
        <v>0.1295</v>
      </c>
      <c r="K2570" s="3">
        <v>0.20030000000000001</v>
      </c>
      <c r="L2570" s="3">
        <v>0.18729999999999999</v>
      </c>
      <c r="M2570" s="3">
        <v>0.14399999999999999</v>
      </c>
      <c r="N2570" s="3">
        <v>0.1628</v>
      </c>
      <c r="O2570" s="3">
        <v>0.1119</v>
      </c>
      <c r="P2570" s="3">
        <v>6.4100000000000004E-2</v>
      </c>
    </row>
    <row r="2571" spans="1:20">
      <c r="A2571" t="s">
        <v>199</v>
      </c>
      <c r="B2571" t="s">
        <v>613</v>
      </c>
      <c r="C2571" t="s">
        <v>292</v>
      </c>
      <c r="D2571">
        <v>184</v>
      </c>
      <c r="E2571" t="s">
        <v>194</v>
      </c>
      <c r="F2571">
        <v>1668</v>
      </c>
      <c r="G2571" s="3">
        <v>9.2200000000000004E-2</v>
      </c>
      <c r="H2571" s="3">
        <v>0.1033</v>
      </c>
      <c r="O2571" s="3">
        <v>3.1099999999999999E-2</v>
      </c>
      <c r="P2571" s="3">
        <v>0.20830000000000001</v>
      </c>
      <c r="Q2571" s="3">
        <v>0.19839999999999999</v>
      </c>
      <c r="R2571" s="3">
        <v>0.20760000000000001</v>
      </c>
      <c r="S2571" s="3">
        <v>3.0999999999999999E-3</v>
      </c>
      <c r="T2571" s="3">
        <v>0.156</v>
      </c>
    </row>
    <row r="2572" spans="1:20">
      <c r="A2572" t="s">
        <v>195</v>
      </c>
      <c r="B2572" t="s">
        <v>616</v>
      </c>
      <c r="C2572" t="s">
        <v>292</v>
      </c>
      <c r="D2572">
        <v>202</v>
      </c>
      <c r="E2572" t="s">
        <v>194</v>
      </c>
      <c r="F2572">
        <v>1668</v>
      </c>
      <c r="I2572" s="3">
        <v>2.93E-2</v>
      </c>
      <c r="J2572" s="3">
        <v>0.17330000000000001</v>
      </c>
      <c r="K2572" s="3">
        <v>0.1268</v>
      </c>
      <c r="L2572" s="3">
        <v>0.11260000000000001</v>
      </c>
      <c r="M2572" s="3">
        <v>0.18870000000000001</v>
      </c>
      <c r="N2572" s="3">
        <v>0.29449999999999998</v>
      </c>
      <c r="O2572" s="3">
        <v>6.3299999999999995E-2</v>
      </c>
      <c r="P2572" s="3">
        <v>1.15E-2</v>
      </c>
    </row>
    <row r="2573" spans="1:20" s="25" customFormat="1">
      <c r="A2573" s="25" t="s">
        <v>195</v>
      </c>
      <c r="B2573" s="25" t="s">
        <v>615</v>
      </c>
      <c r="C2573" s="25" t="s">
        <v>293</v>
      </c>
      <c r="D2573" s="25">
        <v>22</v>
      </c>
      <c r="E2573" s="25" t="s">
        <v>194</v>
      </c>
      <c r="F2573" s="25">
        <v>1668</v>
      </c>
      <c r="I2573" s="26">
        <v>0.8075</v>
      </c>
      <c r="J2573" s="26">
        <v>0.1925</v>
      </c>
    </row>
    <row r="2574" spans="1:20">
      <c r="A2574" t="s">
        <v>195</v>
      </c>
      <c r="B2574" t="s">
        <v>615</v>
      </c>
      <c r="C2574" t="s">
        <v>292</v>
      </c>
      <c r="D2574">
        <v>31</v>
      </c>
      <c r="E2574" t="s">
        <v>194</v>
      </c>
      <c r="F2574">
        <v>1668</v>
      </c>
      <c r="I2574" s="3">
        <v>0.59160000000000001</v>
      </c>
      <c r="J2574" s="3">
        <v>0.3901</v>
      </c>
      <c r="K2574" s="3">
        <v>1.83E-2</v>
      </c>
    </row>
    <row r="2575" spans="1:20" s="25" customFormat="1">
      <c r="A2575" s="25" t="s">
        <v>195</v>
      </c>
      <c r="B2575" s="25" t="s">
        <v>614</v>
      </c>
      <c r="C2575" s="25" t="s">
        <v>293</v>
      </c>
      <c r="D2575" s="25">
        <v>15</v>
      </c>
      <c r="E2575" s="25" t="s">
        <v>194</v>
      </c>
      <c r="F2575" s="25">
        <v>1668</v>
      </c>
      <c r="G2575" s="26">
        <v>0.1202</v>
      </c>
      <c r="S2575" s="26">
        <v>0.32529999999999998</v>
      </c>
      <c r="T2575" s="26">
        <v>0.55449999999999999</v>
      </c>
    </row>
    <row r="2576" spans="1:20" s="25" customFormat="1">
      <c r="A2576" s="25" t="s">
        <v>195</v>
      </c>
      <c r="B2576" s="25" t="s">
        <v>614</v>
      </c>
      <c r="C2576" s="25" t="s">
        <v>292</v>
      </c>
      <c r="D2576" s="25">
        <v>16</v>
      </c>
      <c r="E2576" s="25" t="s">
        <v>194</v>
      </c>
      <c r="F2576" s="25">
        <v>1668</v>
      </c>
      <c r="G2576" s="26">
        <v>6.9699999999999998E-2</v>
      </c>
      <c r="S2576" s="26">
        <v>0.42130000000000001</v>
      </c>
      <c r="T2576" s="26">
        <v>0.50900000000000001</v>
      </c>
    </row>
    <row r="2577" spans="1:20">
      <c r="A2577" t="s">
        <v>195</v>
      </c>
      <c r="B2577" t="s">
        <v>613</v>
      </c>
      <c r="C2577" t="s">
        <v>293</v>
      </c>
      <c r="D2577">
        <v>137</v>
      </c>
      <c r="E2577" t="s">
        <v>194</v>
      </c>
      <c r="F2577">
        <v>1668</v>
      </c>
      <c r="G2577" s="3">
        <v>0.13450000000000001</v>
      </c>
      <c r="H2577" s="3">
        <v>7.4800000000000005E-2</v>
      </c>
      <c r="O2577" s="3">
        <v>6.9999999999999999E-4</v>
      </c>
      <c r="P2577" s="3">
        <v>0.21759999999999999</v>
      </c>
      <c r="Q2577" s="3">
        <v>0.2651</v>
      </c>
      <c r="R2577" s="3">
        <v>0.21729999999999999</v>
      </c>
      <c r="T2577" s="3">
        <v>0.09</v>
      </c>
    </row>
    <row r="2578" spans="1:20">
      <c r="A2578" t="s">
        <v>195</v>
      </c>
      <c r="B2578" t="s">
        <v>616</v>
      </c>
      <c r="C2578" t="s">
        <v>293</v>
      </c>
      <c r="D2578">
        <v>184</v>
      </c>
      <c r="E2578" t="s">
        <v>194</v>
      </c>
      <c r="F2578">
        <v>1668</v>
      </c>
      <c r="I2578" s="3">
        <v>6.8999999999999999E-3</v>
      </c>
      <c r="J2578" s="3">
        <v>0.1278</v>
      </c>
      <c r="K2578" s="3">
        <v>0.13109999999999999</v>
      </c>
      <c r="L2578" s="3">
        <v>0.19570000000000001</v>
      </c>
      <c r="M2578" s="3">
        <v>0.17560000000000001</v>
      </c>
      <c r="N2578" s="3">
        <v>0.15240000000000001</v>
      </c>
      <c r="O2578" s="3">
        <v>0.1414</v>
      </c>
      <c r="P2578" s="3">
        <v>6.9000000000000006E-2</v>
      </c>
    </row>
    <row r="2579" spans="1:20">
      <c r="A2579" t="s">
        <v>200</v>
      </c>
      <c r="B2579" t="s">
        <v>200</v>
      </c>
      <c r="C2579" t="s">
        <v>200</v>
      </c>
      <c r="D2579">
        <v>1668</v>
      </c>
      <c r="E2579" t="s">
        <v>200</v>
      </c>
      <c r="F2579">
        <v>1668</v>
      </c>
      <c r="G2579" s="3">
        <v>4.58E-2</v>
      </c>
      <c r="H2579" s="3">
        <v>3.8699999999999998E-2</v>
      </c>
      <c r="I2579" s="3">
        <v>8.1299999999999997E-2</v>
      </c>
      <c r="J2579" s="3">
        <v>8.7900000000000006E-2</v>
      </c>
      <c r="K2579" s="3">
        <v>8.6900000000000005E-2</v>
      </c>
      <c r="L2579" s="3">
        <v>8.3599999999999994E-2</v>
      </c>
      <c r="M2579" s="3">
        <v>9.6100000000000005E-2</v>
      </c>
      <c r="N2579" s="3">
        <v>9.8100000000000007E-2</v>
      </c>
      <c r="O2579" s="3">
        <v>6.0100000000000001E-2</v>
      </c>
      <c r="P2579" s="3">
        <v>9.4899999999999998E-2</v>
      </c>
      <c r="Q2579" s="3">
        <v>6.9000000000000006E-2</v>
      </c>
      <c r="R2579" s="3">
        <v>7.5600000000000001E-2</v>
      </c>
      <c r="S2579" s="3">
        <v>2.1600000000000001E-2</v>
      </c>
      <c r="T2579" s="3">
        <v>6.0299999999999999E-2</v>
      </c>
    </row>
    <row r="2581" spans="1:20" ht="45">
      <c r="A2581" s="22" t="s">
        <v>655</v>
      </c>
    </row>
    <row r="2582" spans="1:20">
      <c r="A2582" t="s">
        <v>185</v>
      </c>
      <c r="B2582" t="s">
        <v>186</v>
      </c>
      <c r="C2582" t="s">
        <v>192</v>
      </c>
      <c r="D2582" t="s">
        <v>184</v>
      </c>
      <c r="E2582" t="s">
        <v>193</v>
      </c>
      <c r="F2582" t="s">
        <v>635</v>
      </c>
      <c r="G2582" t="s">
        <v>636</v>
      </c>
      <c r="H2582" t="s">
        <v>637</v>
      </c>
      <c r="I2582" t="s">
        <v>638</v>
      </c>
      <c r="J2582" t="s">
        <v>639</v>
      </c>
      <c r="K2582" t="s">
        <v>640</v>
      </c>
      <c r="L2582" t="s">
        <v>641</v>
      </c>
      <c r="M2582" t="s">
        <v>642</v>
      </c>
      <c r="N2582" t="s">
        <v>643</v>
      </c>
      <c r="O2582" t="s">
        <v>644</v>
      </c>
      <c r="P2582" t="s">
        <v>645</v>
      </c>
      <c r="Q2582" t="s">
        <v>646</v>
      </c>
      <c r="R2582" t="s">
        <v>647</v>
      </c>
      <c r="S2582" t="s">
        <v>648</v>
      </c>
    </row>
    <row r="2583" spans="1:20">
      <c r="A2583" t="s">
        <v>195</v>
      </c>
      <c r="B2583" t="s">
        <v>304</v>
      </c>
      <c r="C2583">
        <v>201</v>
      </c>
      <c r="D2583" t="s">
        <v>194</v>
      </c>
      <c r="E2583">
        <v>1668</v>
      </c>
      <c r="F2583" s="3">
        <v>3.09E-2</v>
      </c>
      <c r="G2583" s="3">
        <v>6.1100000000000002E-2</v>
      </c>
      <c r="H2583" s="3">
        <v>6.2700000000000006E-2</v>
      </c>
      <c r="I2583" s="3">
        <v>8.6999999999999994E-2</v>
      </c>
      <c r="J2583" s="3">
        <v>5.1400000000000001E-2</v>
      </c>
      <c r="K2583" s="3">
        <v>9.74E-2</v>
      </c>
      <c r="L2583" s="3">
        <v>0.1031</v>
      </c>
      <c r="M2583" s="3">
        <v>9.4200000000000006E-2</v>
      </c>
      <c r="N2583" s="3">
        <v>8.1900000000000001E-2</v>
      </c>
      <c r="O2583" s="3">
        <v>0.1195</v>
      </c>
      <c r="P2583" s="3">
        <v>6.7000000000000004E-2</v>
      </c>
      <c r="Q2583" s="3">
        <v>0.11020000000000001</v>
      </c>
      <c r="S2583" s="3">
        <v>3.3500000000000002E-2</v>
      </c>
    </row>
    <row r="2584" spans="1:20">
      <c r="A2584" t="s">
        <v>195</v>
      </c>
      <c r="B2584" t="s">
        <v>305</v>
      </c>
      <c r="C2584">
        <v>536</v>
      </c>
      <c r="D2584" t="s">
        <v>194</v>
      </c>
      <c r="E2584">
        <v>1668</v>
      </c>
      <c r="F2584" s="3">
        <v>6.3700000000000007E-2</v>
      </c>
      <c r="G2584" s="3">
        <v>1.9E-2</v>
      </c>
      <c r="H2584" s="3">
        <v>8.5400000000000004E-2</v>
      </c>
      <c r="I2584" s="3">
        <v>0.11749999999999999</v>
      </c>
      <c r="J2584" s="3">
        <v>7.5200000000000003E-2</v>
      </c>
      <c r="K2584" s="3">
        <v>7.5499999999999998E-2</v>
      </c>
      <c r="L2584" s="3">
        <v>9.4299999999999995E-2</v>
      </c>
      <c r="M2584" s="3">
        <v>0.1293</v>
      </c>
      <c r="N2584" s="3">
        <v>4.8300000000000003E-2</v>
      </c>
      <c r="O2584" s="3">
        <v>8.1699999999999995E-2</v>
      </c>
      <c r="P2584" s="3">
        <v>7.0599999999999996E-2</v>
      </c>
      <c r="Q2584" s="3">
        <v>6.9199999999999998E-2</v>
      </c>
      <c r="R2584" s="3">
        <v>9.4000000000000004E-3</v>
      </c>
      <c r="S2584" s="3">
        <v>6.08E-2</v>
      </c>
    </row>
    <row r="2585" spans="1:20" s="25" customFormat="1">
      <c r="A2585" s="25" t="s">
        <v>195</v>
      </c>
      <c r="B2585" s="25" t="s">
        <v>306</v>
      </c>
      <c r="C2585" s="25">
        <v>5</v>
      </c>
      <c r="D2585" s="25" t="s">
        <v>194</v>
      </c>
      <c r="E2585" s="25">
        <v>1668</v>
      </c>
      <c r="H2585" s="26">
        <v>0.29730000000000001</v>
      </c>
      <c r="I2585" s="26">
        <v>0.3367</v>
      </c>
      <c r="M2585" s="26">
        <v>0.3367</v>
      </c>
      <c r="Q2585" s="26">
        <v>2.93E-2</v>
      </c>
    </row>
    <row r="2586" spans="1:20" s="25" customFormat="1">
      <c r="A2586" s="25" t="s">
        <v>195</v>
      </c>
      <c r="B2586" s="25" t="s">
        <v>307</v>
      </c>
      <c r="C2586" s="25">
        <v>10</v>
      </c>
      <c r="D2586" s="25" t="s">
        <v>194</v>
      </c>
      <c r="E2586" s="25">
        <v>1668</v>
      </c>
      <c r="F2586" s="26">
        <v>0.1313</v>
      </c>
      <c r="R2586" s="26">
        <v>0.35589999999999999</v>
      </c>
      <c r="S2586" s="26">
        <v>0.51290000000000002</v>
      </c>
    </row>
    <row r="2587" spans="1:20">
      <c r="A2587" t="s">
        <v>199</v>
      </c>
      <c r="B2587" t="s">
        <v>304</v>
      </c>
      <c r="C2587">
        <v>113</v>
      </c>
      <c r="D2587" t="s">
        <v>194</v>
      </c>
      <c r="E2587">
        <v>1668</v>
      </c>
      <c r="F2587" s="3">
        <v>4.6399999999999997E-2</v>
      </c>
      <c r="G2587" s="3">
        <v>3.5999999999999997E-2</v>
      </c>
      <c r="H2587" s="3">
        <v>8.3000000000000004E-2</v>
      </c>
      <c r="I2587" s="3">
        <v>0.10059999999999999</v>
      </c>
      <c r="J2587" s="3">
        <v>2.8E-3</v>
      </c>
      <c r="K2587" s="3">
        <v>0.18010000000000001</v>
      </c>
      <c r="L2587" s="3">
        <v>0.1258</v>
      </c>
      <c r="M2587" s="3">
        <v>8.7499999999999994E-2</v>
      </c>
      <c r="N2587" s="3">
        <v>8.5300000000000001E-2</v>
      </c>
      <c r="O2587" s="3">
        <v>7.4999999999999997E-2</v>
      </c>
      <c r="P2587" s="3">
        <v>8.6800000000000002E-2</v>
      </c>
      <c r="Q2587" s="3">
        <v>3.6400000000000002E-2</v>
      </c>
      <c r="S2587" s="3">
        <v>5.4399999999999997E-2</v>
      </c>
    </row>
    <row r="2588" spans="1:20">
      <c r="A2588" t="s">
        <v>199</v>
      </c>
      <c r="B2588" t="s">
        <v>305</v>
      </c>
      <c r="C2588">
        <v>782</v>
      </c>
      <c r="D2588" t="s">
        <v>194</v>
      </c>
      <c r="E2588">
        <v>1668</v>
      </c>
      <c r="F2588" s="3">
        <v>3.6499999999999998E-2</v>
      </c>
      <c r="G2588" s="3">
        <v>4.8800000000000003E-2</v>
      </c>
      <c r="H2588" s="3">
        <v>8.5099999999999995E-2</v>
      </c>
      <c r="I2588" s="3">
        <v>6.9400000000000003E-2</v>
      </c>
      <c r="J2588" s="3">
        <v>0.1142</v>
      </c>
      <c r="K2588" s="3">
        <v>7.9899999999999999E-2</v>
      </c>
      <c r="L2588" s="3">
        <v>9.7100000000000006E-2</v>
      </c>
      <c r="M2588" s="3">
        <v>8.1699999999999995E-2</v>
      </c>
      <c r="N2588" s="3">
        <v>6.3299999999999995E-2</v>
      </c>
      <c r="O2588" s="3">
        <v>0.104</v>
      </c>
      <c r="P2588" s="3">
        <v>6.9599999999999995E-2</v>
      </c>
      <c r="Q2588" s="3">
        <v>7.8399999999999997E-2</v>
      </c>
      <c r="R2588" s="3">
        <v>1.9E-2</v>
      </c>
      <c r="S2588" s="3">
        <v>5.2999999999999999E-2</v>
      </c>
    </row>
    <row r="2589" spans="1:20" s="25" customFormat="1">
      <c r="A2589" s="25" t="s">
        <v>199</v>
      </c>
      <c r="B2589" s="25" t="s">
        <v>306</v>
      </c>
      <c r="C2589" s="25">
        <v>4</v>
      </c>
      <c r="D2589" s="25" t="s">
        <v>194</v>
      </c>
      <c r="E2589" s="25">
        <v>1668</v>
      </c>
      <c r="K2589" s="26">
        <v>0.44140000000000001</v>
      </c>
      <c r="N2589" s="26">
        <v>5.3100000000000001E-2</v>
      </c>
      <c r="Q2589" s="26">
        <v>0.17430000000000001</v>
      </c>
      <c r="S2589" s="26">
        <v>0.33110000000000001</v>
      </c>
    </row>
    <row r="2590" spans="1:20" s="25" customFormat="1">
      <c r="A2590" s="25" t="s">
        <v>199</v>
      </c>
      <c r="B2590" s="25" t="s">
        <v>307</v>
      </c>
      <c r="C2590" s="25">
        <v>17</v>
      </c>
      <c r="D2590" s="25" t="s">
        <v>194</v>
      </c>
      <c r="E2590" s="25">
        <v>1668</v>
      </c>
      <c r="R2590" s="26">
        <v>0.65700000000000003</v>
      </c>
      <c r="S2590" s="26">
        <v>0.34300000000000003</v>
      </c>
    </row>
    <row r="2591" spans="1:20">
      <c r="A2591" t="s">
        <v>200</v>
      </c>
      <c r="B2591" t="s">
        <v>200</v>
      </c>
      <c r="C2591">
        <v>1668</v>
      </c>
      <c r="D2591" t="s">
        <v>200</v>
      </c>
      <c r="E2591">
        <v>1668</v>
      </c>
      <c r="F2591" s="3">
        <v>4.58E-2</v>
      </c>
      <c r="G2591" s="3">
        <v>3.8699999999999998E-2</v>
      </c>
      <c r="H2591" s="3">
        <v>8.1299999999999997E-2</v>
      </c>
      <c r="I2591" s="3">
        <v>8.7900000000000006E-2</v>
      </c>
      <c r="J2591" s="3">
        <v>8.6900000000000005E-2</v>
      </c>
      <c r="K2591" s="3">
        <v>8.3599999999999994E-2</v>
      </c>
      <c r="L2591" s="3">
        <v>9.6100000000000005E-2</v>
      </c>
      <c r="M2591" s="3">
        <v>9.8100000000000007E-2</v>
      </c>
      <c r="N2591" s="3">
        <v>6.0100000000000001E-2</v>
      </c>
      <c r="O2591" s="3">
        <v>9.4899999999999998E-2</v>
      </c>
      <c r="P2591" s="3">
        <v>6.9000000000000006E-2</v>
      </c>
      <c r="Q2591" s="3">
        <v>7.5600000000000001E-2</v>
      </c>
      <c r="R2591" s="3">
        <v>2.1600000000000001E-2</v>
      </c>
      <c r="S2591" s="3">
        <v>6.0299999999999999E-2</v>
      </c>
    </row>
    <row r="2593" spans="1:19" ht="45">
      <c r="A2593" s="22" t="s">
        <v>656</v>
      </c>
    </row>
    <row r="2594" spans="1:19">
      <c r="A2594" t="s">
        <v>185</v>
      </c>
      <c r="B2594" t="s">
        <v>186</v>
      </c>
      <c r="C2594" t="s">
        <v>192</v>
      </c>
      <c r="D2594" t="s">
        <v>184</v>
      </c>
      <c r="E2594" t="s">
        <v>193</v>
      </c>
      <c r="F2594" t="s">
        <v>635</v>
      </c>
      <c r="G2594" t="s">
        <v>636</v>
      </c>
      <c r="H2594" t="s">
        <v>637</v>
      </c>
      <c r="I2594" t="s">
        <v>638</v>
      </c>
      <c r="J2594" t="s">
        <v>639</v>
      </c>
      <c r="K2594" t="s">
        <v>640</v>
      </c>
      <c r="L2594" t="s">
        <v>641</v>
      </c>
      <c r="M2594" t="s">
        <v>642</v>
      </c>
      <c r="N2594" t="s">
        <v>643</v>
      </c>
      <c r="O2594" t="s">
        <v>644</v>
      </c>
      <c r="P2594" t="s">
        <v>645</v>
      </c>
      <c r="Q2594" t="s">
        <v>646</v>
      </c>
      <c r="R2594" t="s">
        <v>647</v>
      </c>
      <c r="S2594" t="s">
        <v>648</v>
      </c>
    </row>
    <row r="2595" spans="1:19">
      <c r="A2595" t="s">
        <v>195</v>
      </c>
      <c r="B2595" t="s">
        <v>351</v>
      </c>
      <c r="C2595">
        <v>240</v>
      </c>
      <c r="D2595" t="s">
        <v>194</v>
      </c>
      <c r="E2595">
        <v>1668</v>
      </c>
      <c r="F2595" s="3">
        <v>2.7300000000000001E-2</v>
      </c>
      <c r="G2595" s="3">
        <v>3.0999999999999999E-3</v>
      </c>
      <c r="H2595" s="3">
        <v>9.6600000000000005E-2</v>
      </c>
      <c r="I2595" s="3">
        <v>0.1244</v>
      </c>
      <c r="J2595" s="3">
        <v>6.3200000000000006E-2</v>
      </c>
      <c r="K2595" s="3">
        <v>0.10299999999999999</v>
      </c>
      <c r="L2595" s="3">
        <v>7.3899999999999993E-2</v>
      </c>
      <c r="M2595" s="3">
        <v>0.1386</v>
      </c>
      <c r="N2595" s="3">
        <v>8.0799999999999997E-2</v>
      </c>
      <c r="O2595" s="3">
        <v>8.1900000000000001E-2</v>
      </c>
      <c r="P2595" s="3">
        <v>5.6399999999999999E-2</v>
      </c>
      <c r="Q2595" s="3">
        <v>7.51E-2</v>
      </c>
      <c r="R2595" s="3">
        <v>6.1000000000000004E-3</v>
      </c>
      <c r="S2595" s="3">
        <v>6.9699999999999998E-2</v>
      </c>
    </row>
    <row r="2596" spans="1:19">
      <c r="A2596" t="s">
        <v>195</v>
      </c>
      <c r="B2596" t="s">
        <v>352</v>
      </c>
      <c r="C2596">
        <v>197</v>
      </c>
      <c r="D2596" t="s">
        <v>194</v>
      </c>
      <c r="E2596">
        <v>1668</v>
      </c>
      <c r="F2596" s="3">
        <v>4.0599999999999997E-2</v>
      </c>
      <c r="G2596" s="3">
        <v>5.5800000000000002E-2</v>
      </c>
      <c r="H2596" s="3">
        <v>0.12759999999999999</v>
      </c>
      <c r="I2596" s="3">
        <v>9.5100000000000004E-2</v>
      </c>
      <c r="J2596" s="3">
        <v>7.1099999999999997E-2</v>
      </c>
      <c r="K2596" s="3">
        <v>5.2900000000000003E-2</v>
      </c>
      <c r="L2596" s="3">
        <v>0.13009999999999999</v>
      </c>
      <c r="M2596" s="3">
        <v>0.13420000000000001</v>
      </c>
      <c r="N2596" s="3">
        <v>1.9099999999999999E-2</v>
      </c>
      <c r="O2596" s="3">
        <v>6.93E-2</v>
      </c>
      <c r="P2596" s="3">
        <v>8.2000000000000003E-2</v>
      </c>
      <c r="Q2596" s="3">
        <v>5.21E-2</v>
      </c>
      <c r="R2596" s="3">
        <v>1.9E-2</v>
      </c>
      <c r="S2596" s="3">
        <v>5.1200000000000002E-2</v>
      </c>
    </row>
    <row r="2597" spans="1:19">
      <c r="A2597" t="s">
        <v>195</v>
      </c>
      <c r="B2597" t="s">
        <v>353</v>
      </c>
      <c r="C2597">
        <v>144</v>
      </c>
      <c r="D2597" t="s">
        <v>194</v>
      </c>
      <c r="E2597">
        <v>1668</v>
      </c>
      <c r="F2597" s="3">
        <v>6.93E-2</v>
      </c>
      <c r="G2597" s="3">
        <v>3.3500000000000002E-2</v>
      </c>
      <c r="H2597" s="3">
        <v>7.6600000000000001E-2</v>
      </c>
      <c r="I2597" s="3">
        <v>0.1321</v>
      </c>
      <c r="J2597" s="3">
        <v>4.9500000000000002E-2</v>
      </c>
      <c r="K2597" s="3">
        <v>5.3499999999999999E-2</v>
      </c>
      <c r="L2597" s="3">
        <v>8.6499999999999994E-2</v>
      </c>
      <c r="M2597" s="3">
        <v>0.10780000000000001</v>
      </c>
      <c r="N2597" s="3">
        <v>6.1100000000000002E-2</v>
      </c>
      <c r="O2597" s="3">
        <v>8.9300000000000004E-2</v>
      </c>
      <c r="P2597" s="3">
        <v>6.5000000000000002E-2</v>
      </c>
      <c r="Q2597" s="3">
        <v>0.1246</v>
      </c>
      <c r="R2597" s="3">
        <v>3.0000000000000001E-3</v>
      </c>
      <c r="S2597" s="3">
        <v>4.8399999999999999E-2</v>
      </c>
    </row>
    <row r="2598" spans="1:19">
      <c r="A2598" t="s">
        <v>195</v>
      </c>
      <c r="B2598" t="s">
        <v>354</v>
      </c>
      <c r="C2598">
        <v>105</v>
      </c>
      <c r="D2598" t="s">
        <v>194</v>
      </c>
      <c r="E2598">
        <v>1668</v>
      </c>
      <c r="F2598" s="3">
        <v>8.1000000000000003E-2</v>
      </c>
      <c r="G2598" s="3">
        <v>2.5000000000000001E-2</v>
      </c>
      <c r="H2598" s="3">
        <v>8.2000000000000007E-3</v>
      </c>
      <c r="I2598" s="3">
        <v>9.3200000000000005E-2</v>
      </c>
      <c r="J2598" s="3">
        <v>6.0199999999999997E-2</v>
      </c>
      <c r="K2598" s="3">
        <v>0.13159999999999999</v>
      </c>
      <c r="L2598" s="3">
        <v>0.1012</v>
      </c>
      <c r="M2598" s="3">
        <v>5.5599999999999997E-2</v>
      </c>
      <c r="N2598" s="3">
        <v>7.9399999999999998E-2</v>
      </c>
      <c r="O2598" s="3">
        <v>0.11509999999999999</v>
      </c>
      <c r="P2598" s="3">
        <v>7.0900000000000005E-2</v>
      </c>
      <c r="Q2598" s="3">
        <v>9.0899999999999995E-2</v>
      </c>
      <c r="R2598" s="3">
        <v>3.3799999999999997E-2</v>
      </c>
      <c r="S2598" s="3">
        <v>5.3999999999999999E-2</v>
      </c>
    </row>
    <row r="2599" spans="1:19">
      <c r="A2599" t="s">
        <v>199</v>
      </c>
      <c r="B2599" t="s">
        <v>351</v>
      </c>
      <c r="C2599">
        <v>249</v>
      </c>
      <c r="D2599" t="s">
        <v>194</v>
      </c>
      <c r="E2599">
        <v>1668</v>
      </c>
      <c r="F2599" s="3">
        <v>4.1000000000000002E-2</v>
      </c>
      <c r="G2599" s="3">
        <v>4.1399999999999999E-2</v>
      </c>
      <c r="H2599" s="3">
        <v>0.1101</v>
      </c>
      <c r="I2599" s="3">
        <v>0.11890000000000001</v>
      </c>
      <c r="J2599" s="3">
        <v>6.7400000000000002E-2</v>
      </c>
      <c r="K2599" s="3">
        <v>8.5900000000000004E-2</v>
      </c>
      <c r="L2599" s="3">
        <v>7.4499999999999997E-2</v>
      </c>
      <c r="M2599" s="3">
        <v>8.2299999999999998E-2</v>
      </c>
      <c r="N2599" s="3">
        <v>9.2899999999999996E-2</v>
      </c>
      <c r="O2599" s="3">
        <v>0.12820000000000001</v>
      </c>
      <c r="P2599" s="3">
        <v>4.4499999999999998E-2</v>
      </c>
      <c r="Q2599" s="3">
        <v>0.06</v>
      </c>
      <c r="R2599" s="3">
        <v>1.2999999999999999E-2</v>
      </c>
      <c r="S2599" s="3">
        <v>3.9899999999999998E-2</v>
      </c>
    </row>
    <row r="2600" spans="1:19">
      <c r="A2600" t="s">
        <v>199</v>
      </c>
      <c r="B2600" t="s">
        <v>352</v>
      </c>
      <c r="C2600">
        <v>168</v>
      </c>
      <c r="D2600" t="s">
        <v>194</v>
      </c>
      <c r="E2600">
        <v>1668</v>
      </c>
      <c r="F2600" s="3">
        <v>6.2100000000000002E-2</v>
      </c>
      <c r="G2600" s="3">
        <v>3.7199999999999997E-2</v>
      </c>
      <c r="H2600" s="3">
        <v>9.8799999999999999E-2</v>
      </c>
      <c r="I2600" s="3">
        <v>4.3900000000000002E-2</v>
      </c>
      <c r="J2600" s="3">
        <v>0.13100000000000001</v>
      </c>
      <c r="K2600" s="3">
        <v>7.1199999999999999E-2</v>
      </c>
      <c r="L2600" s="3">
        <v>9.5299999999999996E-2</v>
      </c>
      <c r="M2600" s="3">
        <v>9.8900000000000002E-2</v>
      </c>
      <c r="N2600" s="3">
        <v>6.7400000000000002E-2</v>
      </c>
      <c r="O2600" s="3">
        <v>0.1037</v>
      </c>
      <c r="P2600" s="3">
        <v>6.2199999999999998E-2</v>
      </c>
      <c r="Q2600" s="3">
        <v>6.2799999999999995E-2</v>
      </c>
      <c r="R2600" s="3">
        <v>3.09E-2</v>
      </c>
      <c r="S2600" s="3">
        <v>3.4500000000000003E-2</v>
      </c>
    </row>
    <row r="2601" spans="1:19">
      <c r="A2601" t="s">
        <v>199</v>
      </c>
      <c r="B2601" t="s">
        <v>353</v>
      </c>
      <c r="C2601">
        <v>197</v>
      </c>
      <c r="D2601" t="s">
        <v>194</v>
      </c>
      <c r="E2601">
        <v>1668</v>
      </c>
      <c r="F2601" s="3">
        <v>2.3400000000000001E-2</v>
      </c>
      <c r="G2601" s="3">
        <v>4.53E-2</v>
      </c>
      <c r="H2601" s="3">
        <v>6.59E-2</v>
      </c>
      <c r="I2601" s="3">
        <v>0.1164</v>
      </c>
      <c r="J2601" s="3">
        <v>7.9200000000000007E-2</v>
      </c>
      <c r="K2601" s="3">
        <v>8.5500000000000007E-2</v>
      </c>
      <c r="L2601" s="3">
        <v>8.8999999999999996E-2</v>
      </c>
      <c r="M2601" s="3">
        <v>9.3299999999999994E-2</v>
      </c>
      <c r="N2601" s="3">
        <v>3.4000000000000002E-2</v>
      </c>
      <c r="O2601" s="3">
        <v>0.1164</v>
      </c>
      <c r="P2601" s="3">
        <v>8.4000000000000005E-2</v>
      </c>
      <c r="Q2601" s="3">
        <v>3.2800000000000003E-2</v>
      </c>
      <c r="R2601" s="3">
        <v>3.3500000000000002E-2</v>
      </c>
      <c r="S2601" s="3">
        <v>0.10150000000000001</v>
      </c>
    </row>
    <row r="2602" spans="1:19">
      <c r="A2602" t="s">
        <v>199</v>
      </c>
      <c r="B2602" t="s">
        <v>354</v>
      </c>
      <c r="C2602">
        <v>181</v>
      </c>
      <c r="D2602" t="s">
        <v>194</v>
      </c>
      <c r="E2602">
        <v>1668</v>
      </c>
      <c r="F2602" s="3">
        <v>2.93E-2</v>
      </c>
      <c r="G2602" s="3">
        <v>4.3400000000000001E-2</v>
      </c>
      <c r="H2602" s="3">
        <v>8.0600000000000005E-2</v>
      </c>
      <c r="I2602" s="3">
        <v>2.58E-2</v>
      </c>
      <c r="J2602" s="3">
        <v>0.13089999999999999</v>
      </c>
      <c r="K2602" s="3">
        <v>9.4200000000000006E-2</v>
      </c>
      <c r="L2602" s="3">
        <v>0.1187</v>
      </c>
      <c r="M2602" s="3">
        <v>8.6999999999999994E-2</v>
      </c>
      <c r="N2602" s="3">
        <v>5.3999999999999999E-2</v>
      </c>
      <c r="O2602" s="3">
        <v>0.1084</v>
      </c>
      <c r="P2602" s="3">
        <v>6.4199999999999993E-2</v>
      </c>
      <c r="Q2602" s="3">
        <v>7.8100000000000003E-2</v>
      </c>
      <c r="R2602" s="3">
        <v>1.4500000000000001E-2</v>
      </c>
      <c r="S2602" s="3">
        <v>7.0699999999999999E-2</v>
      </c>
    </row>
    <row r="2603" spans="1:19">
      <c r="A2603" t="s">
        <v>200</v>
      </c>
      <c r="B2603" t="s">
        <v>200</v>
      </c>
      <c r="C2603">
        <v>1668</v>
      </c>
      <c r="D2603" t="s">
        <v>200</v>
      </c>
      <c r="E2603">
        <v>1668</v>
      </c>
      <c r="F2603" s="3">
        <v>4.58E-2</v>
      </c>
      <c r="G2603" s="3">
        <v>3.8699999999999998E-2</v>
      </c>
      <c r="H2603" s="3">
        <v>8.1299999999999997E-2</v>
      </c>
      <c r="I2603" s="3">
        <v>8.7900000000000006E-2</v>
      </c>
      <c r="J2603" s="3">
        <v>8.6900000000000005E-2</v>
      </c>
      <c r="K2603" s="3">
        <v>8.3599999999999994E-2</v>
      </c>
      <c r="L2603" s="3">
        <v>9.6100000000000005E-2</v>
      </c>
      <c r="M2603" s="3">
        <v>9.8100000000000007E-2</v>
      </c>
      <c r="N2603" s="3">
        <v>6.0100000000000001E-2</v>
      </c>
      <c r="O2603" s="3">
        <v>9.4899999999999998E-2</v>
      </c>
      <c r="P2603" s="3">
        <v>6.9000000000000006E-2</v>
      </c>
      <c r="Q2603" s="3">
        <v>7.5600000000000001E-2</v>
      </c>
      <c r="R2603" s="3">
        <v>2.1600000000000001E-2</v>
      </c>
      <c r="S2603" s="3">
        <v>6.0299999999999999E-2</v>
      </c>
    </row>
    <row r="2605" spans="1:19" ht="45">
      <c r="A2605" s="22" t="s">
        <v>657</v>
      </c>
    </row>
    <row r="2606" spans="1:19">
      <c r="A2606" t="s">
        <v>185</v>
      </c>
      <c r="B2606" t="s">
        <v>186</v>
      </c>
      <c r="C2606" t="s">
        <v>192</v>
      </c>
      <c r="D2606" t="s">
        <v>184</v>
      </c>
      <c r="E2606" t="s">
        <v>193</v>
      </c>
      <c r="F2606" t="s">
        <v>635</v>
      </c>
      <c r="G2606" t="s">
        <v>636</v>
      </c>
      <c r="H2606" t="s">
        <v>637</v>
      </c>
      <c r="I2606" t="s">
        <v>638</v>
      </c>
      <c r="J2606" t="s">
        <v>639</v>
      </c>
      <c r="K2606" t="s">
        <v>640</v>
      </c>
      <c r="L2606" t="s">
        <v>641</v>
      </c>
      <c r="M2606" t="s">
        <v>642</v>
      </c>
      <c r="N2606" t="s">
        <v>643</v>
      </c>
      <c r="O2606" t="s">
        <v>644</v>
      </c>
      <c r="P2606" t="s">
        <v>645</v>
      </c>
      <c r="Q2606" t="s">
        <v>646</v>
      </c>
      <c r="R2606" t="s">
        <v>647</v>
      </c>
      <c r="S2606" t="s">
        <v>648</v>
      </c>
    </row>
    <row r="2607" spans="1:19">
      <c r="A2607" t="s">
        <v>195</v>
      </c>
      <c r="B2607" t="s">
        <v>217</v>
      </c>
      <c r="C2607">
        <v>346</v>
      </c>
      <c r="D2607" t="s">
        <v>194</v>
      </c>
      <c r="E2607">
        <v>1668</v>
      </c>
      <c r="F2607" s="3">
        <v>8.3099999999999993E-2</v>
      </c>
      <c r="G2607" s="3">
        <v>1.52E-2</v>
      </c>
      <c r="H2607" s="3">
        <v>0.1087</v>
      </c>
      <c r="I2607" s="3">
        <v>8.0199999999999994E-2</v>
      </c>
      <c r="J2607" s="3">
        <v>6.9199999999999998E-2</v>
      </c>
      <c r="K2607" s="3">
        <v>8.8999999999999996E-2</v>
      </c>
      <c r="L2607" s="3">
        <v>9.9599999999999994E-2</v>
      </c>
      <c r="M2607" s="3">
        <v>0.10489999999999999</v>
      </c>
      <c r="N2607" s="3">
        <v>4.1000000000000002E-2</v>
      </c>
      <c r="O2607" s="3">
        <v>7.9399999999999998E-2</v>
      </c>
      <c r="P2607" s="3">
        <v>8.0199999999999994E-2</v>
      </c>
      <c r="Q2607" s="3">
        <v>5.5899999999999998E-2</v>
      </c>
      <c r="R2607" s="3">
        <v>1.4999999999999999E-2</v>
      </c>
      <c r="S2607" s="3">
        <v>7.85E-2</v>
      </c>
    </row>
    <row r="2608" spans="1:19">
      <c r="A2608" t="s">
        <v>195</v>
      </c>
      <c r="B2608" t="s">
        <v>219</v>
      </c>
      <c r="C2608">
        <v>333</v>
      </c>
      <c r="D2608" t="s">
        <v>194</v>
      </c>
      <c r="E2608">
        <v>1668</v>
      </c>
      <c r="F2608" s="3">
        <v>3.4299999999999997E-2</v>
      </c>
      <c r="G2608" s="3">
        <v>4.3799999999999999E-2</v>
      </c>
      <c r="H2608" s="3">
        <v>5.5800000000000002E-2</v>
      </c>
      <c r="I2608" s="3">
        <v>0.1077</v>
      </c>
      <c r="J2608" s="3">
        <v>5.67E-2</v>
      </c>
      <c r="K2608" s="3">
        <v>7.7799999999999994E-2</v>
      </c>
      <c r="L2608" s="3">
        <v>0.1053</v>
      </c>
      <c r="M2608" s="3">
        <v>0.1145</v>
      </c>
      <c r="N2608" s="3">
        <v>6.5199999999999994E-2</v>
      </c>
      <c r="O2608" s="3">
        <v>9.3700000000000006E-2</v>
      </c>
      <c r="P2608" s="3">
        <v>6.5699999999999995E-2</v>
      </c>
      <c r="Q2608" s="3">
        <v>0.1086</v>
      </c>
      <c r="R2608" s="3">
        <v>1.5800000000000002E-2</v>
      </c>
      <c r="S2608" s="3">
        <v>5.5E-2</v>
      </c>
    </row>
    <row r="2609" spans="1:20">
      <c r="A2609" t="s">
        <v>195</v>
      </c>
      <c r="B2609" t="s">
        <v>220</v>
      </c>
      <c r="C2609">
        <v>69</v>
      </c>
      <c r="D2609" t="s">
        <v>194</v>
      </c>
      <c r="E2609">
        <v>1668</v>
      </c>
      <c r="F2609" s="3">
        <v>2.6100000000000002E-2</v>
      </c>
      <c r="G2609" s="3">
        <v>3.27E-2</v>
      </c>
      <c r="H2609" s="3">
        <v>3.5099999999999999E-2</v>
      </c>
      <c r="I2609" s="3">
        <v>0.23910000000000001</v>
      </c>
      <c r="J2609" s="3">
        <v>0.10349999999999999</v>
      </c>
      <c r="K2609" s="3">
        <v>4.0800000000000003E-2</v>
      </c>
      <c r="L2609" s="3">
        <v>2.8000000000000001E-2</v>
      </c>
      <c r="M2609" s="3">
        <v>0.19850000000000001</v>
      </c>
      <c r="N2609" s="3">
        <v>8.2199999999999995E-2</v>
      </c>
      <c r="O2609" s="3">
        <v>0.1148</v>
      </c>
      <c r="P2609" s="3">
        <v>2.2200000000000001E-2</v>
      </c>
      <c r="Q2609" s="3">
        <v>5.6599999999999998E-2</v>
      </c>
      <c r="S2609" s="3">
        <v>2.0400000000000001E-2</v>
      </c>
    </row>
    <row r="2610" spans="1:20">
      <c r="A2610" t="s">
        <v>199</v>
      </c>
      <c r="B2610" t="s">
        <v>217</v>
      </c>
      <c r="C2610">
        <v>552</v>
      </c>
      <c r="D2610" t="s">
        <v>194</v>
      </c>
      <c r="E2610">
        <v>1668</v>
      </c>
      <c r="F2610" s="3">
        <v>3.7499999999999999E-2</v>
      </c>
      <c r="G2610" s="3">
        <v>5.4199999999999998E-2</v>
      </c>
      <c r="H2610" s="3">
        <v>7.6799999999999993E-2</v>
      </c>
      <c r="I2610" s="3">
        <v>8.2100000000000006E-2</v>
      </c>
      <c r="J2610" s="3">
        <v>9.6199999999999994E-2</v>
      </c>
      <c r="K2610" s="3">
        <v>9.8599999999999993E-2</v>
      </c>
      <c r="L2610" s="3">
        <v>8.7499999999999994E-2</v>
      </c>
      <c r="M2610" s="3">
        <v>7.0000000000000007E-2</v>
      </c>
      <c r="N2610" s="3">
        <v>6.4699999999999994E-2</v>
      </c>
      <c r="O2610" s="3">
        <v>0.1171</v>
      </c>
      <c r="P2610" s="3">
        <v>7.5800000000000006E-2</v>
      </c>
      <c r="Q2610" s="3">
        <v>6.5600000000000006E-2</v>
      </c>
      <c r="R2610" s="3">
        <v>1.01E-2</v>
      </c>
      <c r="S2610" s="3">
        <v>6.3700000000000007E-2</v>
      </c>
    </row>
    <row r="2611" spans="1:20">
      <c r="A2611" t="s">
        <v>199</v>
      </c>
      <c r="B2611" t="s">
        <v>219</v>
      </c>
      <c r="C2611">
        <v>261</v>
      </c>
      <c r="D2611" t="s">
        <v>194</v>
      </c>
      <c r="E2611">
        <v>1668</v>
      </c>
      <c r="F2611" s="3">
        <v>5.74E-2</v>
      </c>
      <c r="G2611" s="3">
        <v>3.9399999999999998E-2</v>
      </c>
      <c r="H2611" s="3">
        <v>6.93E-2</v>
      </c>
      <c r="I2611" s="3">
        <v>6.9099999999999995E-2</v>
      </c>
      <c r="J2611" s="3">
        <v>5.0599999999999999E-2</v>
      </c>
      <c r="K2611" s="3">
        <v>8.5300000000000001E-2</v>
      </c>
      <c r="L2611" s="3">
        <v>0.14019999999999999</v>
      </c>
      <c r="M2611" s="3">
        <v>8.43E-2</v>
      </c>
      <c r="N2611" s="3">
        <v>5.11E-2</v>
      </c>
      <c r="O2611" s="3">
        <v>7.1900000000000006E-2</v>
      </c>
      <c r="P2611" s="3">
        <v>6.0900000000000003E-2</v>
      </c>
      <c r="Q2611" s="3">
        <v>0.1109</v>
      </c>
      <c r="R2611" s="3">
        <v>4.1799999999999997E-2</v>
      </c>
      <c r="S2611" s="3">
        <v>6.7699999999999996E-2</v>
      </c>
    </row>
    <row r="2612" spans="1:20">
      <c r="A2612" t="s">
        <v>199</v>
      </c>
      <c r="B2612" t="s">
        <v>220</v>
      </c>
      <c r="C2612">
        <v>103</v>
      </c>
      <c r="D2612" t="s">
        <v>194</v>
      </c>
      <c r="E2612">
        <v>1668</v>
      </c>
      <c r="F2612" s="3">
        <v>1.6000000000000001E-3</v>
      </c>
      <c r="G2612" s="3">
        <v>1.78E-2</v>
      </c>
      <c r="H2612" s="3">
        <v>0.1399</v>
      </c>
      <c r="I2612" s="3">
        <v>1.06E-2</v>
      </c>
      <c r="J2612" s="3">
        <v>0.21690000000000001</v>
      </c>
      <c r="K2612" s="3">
        <v>2.7900000000000001E-2</v>
      </c>
      <c r="L2612" s="3">
        <v>9.0999999999999998E-2</v>
      </c>
      <c r="M2612" s="3">
        <v>0.13370000000000001</v>
      </c>
      <c r="N2612" s="3">
        <v>7.9100000000000004E-2</v>
      </c>
      <c r="O2612" s="3">
        <v>4.5600000000000002E-2</v>
      </c>
      <c r="P2612" s="3">
        <v>4.9000000000000002E-2</v>
      </c>
      <c r="Q2612" s="3">
        <v>6.4000000000000001E-2</v>
      </c>
      <c r="R2612" s="3">
        <v>0.1074</v>
      </c>
      <c r="S2612" s="3">
        <v>1.5699999999999999E-2</v>
      </c>
    </row>
    <row r="2613" spans="1:20">
      <c r="A2613" t="s">
        <v>200</v>
      </c>
      <c r="B2613" t="s">
        <v>200</v>
      </c>
      <c r="C2613">
        <v>1668</v>
      </c>
      <c r="D2613" t="s">
        <v>200</v>
      </c>
      <c r="E2613">
        <v>1668</v>
      </c>
      <c r="F2613" s="3">
        <v>4.58E-2</v>
      </c>
      <c r="G2613" s="3">
        <v>3.8699999999999998E-2</v>
      </c>
      <c r="H2613" s="3">
        <v>8.1299999999999997E-2</v>
      </c>
      <c r="I2613" s="3">
        <v>8.7900000000000006E-2</v>
      </c>
      <c r="J2613" s="3">
        <v>8.6900000000000005E-2</v>
      </c>
      <c r="K2613" s="3">
        <v>8.3599999999999994E-2</v>
      </c>
      <c r="L2613" s="3">
        <v>9.6100000000000005E-2</v>
      </c>
      <c r="M2613" s="3">
        <v>9.8100000000000007E-2</v>
      </c>
      <c r="N2613" s="3">
        <v>6.0100000000000001E-2</v>
      </c>
      <c r="O2613" s="3">
        <v>9.4899999999999998E-2</v>
      </c>
      <c r="P2613" s="3">
        <v>6.9000000000000006E-2</v>
      </c>
      <c r="Q2613" s="3">
        <v>7.5600000000000001E-2</v>
      </c>
      <c r="R2613" s="3">
        <v>2.1600000000000001E-2</v>
      </c>
      <c r="S2613" s="3">
        <v>6.0299999999999999E-2</v>
      </c>
    </row>
    <row r="2615" spans="1:20" ht="45">
      <c r="A2615" s="22" t="s">
        <v>658</v>
      </c>
    </row>
    <row r="2616" spans="1:20">
      <c r="A2616" t="s">
        <v>185</v>
      </c>
      <c r="B2616" t="s">
        <v>186</v>
      </c>
      <c r="C2616" t="s">
        <v>192</v>
      </c>
      <c r="D2616" t="s">
        <v>184</v>
      </c>
      <c r="E2616" t="s">
        <v>193</v>
      </c>
      <c r="F2616" t="s">
        <v>659</v>
      </c>
      <c r="G2616" t="s">
        <v>660</v>
      </c>
      <c r="H2616" t="s">
        <v>257</v>
      </c>
      <c r="I2616" t="s">
        <v>661</v>
      </c>
      <c r="J2616" t="s">
        <v>662</v>
      </c>
      <c r="K2616" t="s">
        <v>663</v>
      </c>
      <c r="L2616" t="s">
        <v>274</v>
      </c>
      <c r="M2616" t="s">
        <v>664</v>
      </c>
      <c r="N2616" t="s">
        <v>665</v>
      </c>
      <c r="O2616" t="s">
        <v>666</v>
      </c>
      <c r="P2616" t="s">
        <v>667</v>
      </c>
      <c r="Q2616" t="s">
        <v>668</v>
      </c>
      <c r="R2616" t="s">
        <v>669</v>
      </c>
      <c r="S2616" t="s">
        <v>670</v>
      </c>
      <c r="T2616" t="s">
        <v>671</v>
      </c>
    </row>
    <row r="2617" spans="1:20">
      <c r="A2617" t="s">
        <v>195</v>
      </c>
      <c r="B2617" t="s">
        <v>196</v>
      </c>
      <c r="C2617">
        <v>31</v>
      </c>
      <c r="D2617" t="s">
        <v>194</v>
      </c>
      <c r="E2617">
        <v>115</v>
      </c>
      <c r="I2617" s="3">
        <v>0.38919999999999999</v>
      </c>
      <c r="J2617" s="3">
        <v>2.2000000000000001E-3</v>
      </c>
      <c r="K2617" s="3">
        <v>0.24829999999999999</v>
      </c>
      <c r="M2617" s="3">
        <v>3.6799999999999999E-2</v>
      </c>
      <c r="N2617" s="3">
        <v>8.6800000000000002E-2</v>
      </c>
      <c r="O2617" s="3">
        <v>0.18809999999999999</v>
      </c>
      <c r="P2617" s="3">
        <v>6.0699999999999997E-2</v>
      </c>
      <c r="S2617" s="3">
        <v>0.1613</v>
      </c>
      <c r="T2617" s="3">
        <v>3.5299999999999998E-2</v>
      </c>
    </row>
    <row r="2618" spans="1:20" s="25" customFormat="1">
      <c r="A2618" s="25" t="s">
        <v>195</v>
      </c>
      <c r="B2618" s="25" t="s">
        <v>198</v>
      </c>
      <c r="C2618" s="25">
        <v>20</v>
      </c>
      <c r="D2618" s="25" t="s">
        <v>194</v>
      </c>
      <c r="E2618" s="25">
        <v>115</v>
      </c>
      <c r="I2618" s="26">
        <v>0.30309999999999998</v>
      </c>
      <c r="K2618" s="26">
        <v>0.31730000000000003</v>
      </c>
      <c r="L2618" s="26">
        <v>3.5099999999999999E-2</v>
      </c>
      <c r="N2618" s="26">
        <v>0.29310000000000003</v>
      </c>
      <c r="O2618" s="26">
        <v>0.315</v>
      </c>
      <c r="P2618" s="26">
        <v>0.22539999999999999</v>
      </c>
      <c r="S2618" s="26">
        <v>8.09E-2</v>
      </c>
    </row>
    <row r="2619" spans="1:20" s="25" customFormat="1">
      <c r="A2619" s="25" t="s">
        <v>199</v>
      </c>
      <c r="B2619" s="25" t="s">
        <v>196</v>
      </c>
      <c r="C2619" s="25">
        <v>23</v>
      </c>
      <c r="D2619" s="25" t="s">
        <v>194</v>
      </c>
      <c r="E2619" s="25">
        <v>115</v>
      </c>
      <c r="H2619" s="26">
        <v>8.6699999999999999E-2</v>
      </c>
      <c r="I2619" s="26">
        <v>0.53059999999999996</v>
      </c>
      <c r="K2619" s="26">
        <v>1.46E-2</v>
      </c>
      <c r="N2619" s="26">
        <v>8.4199999999999997E-2</v>
      </c>
      <c r="O2619" s="26">
        <v>0.25459999999999999</v>
      </c>
      <c r="P2619" s="26">
        <v>2.76E-2</v>
      </c>
      <c r="Q2619" s="26">
        <v>2.9399999999999999E-2</v>
      </c>
    </row>
    <row r="2620" spans="1:20">
      <c r="A2620" t="s">
        <v>199</v>
      </c>
      <c r="B2620" t="s">
        <v>198</v>
      </c>
      <c r="C2620">
        <v>39</v>
      </c>
      <c r="D2620" t="s">
        <v>194</v>
      </c>
      <c r="E2620">
        <v>115</v>
      </c>
      <c r="F2620" s="3">
        <v>0.15679999999999999</v>
      </c>
      <c r="G2620" s="3">
        <v>2.3400000000000001E-2</v>
      </c>
      <c r="H2620" s="3">
        <v>3.7199999999999997E-2</v>
      </c>
      <c r="I2620" s="3">
        <v>8.5599999999999996E-2</v>
      </c>
      <c r="K2620" s="3">
        <v>4.9799999999999997E-2</v>
      </c>
      <c r="N2620" s="3">
        <v>9.6799999999999997E-2</v>
      </c>
      <c r="O2620" s="3">
        <v>0.23469999999999999</v>
      </c>
      <c r="P2620" s="3">
        <v>0.1711</v>
      </c>
      <c r="Q2620" s="3">
        <v>0.1038</v>
      </c>
      <c r="R2620" s="3">
        <v>1.37E-2</v>
      </c>
      <c r="T2620" s="3">
        <v>0.1033</v>
      </c>
    </row>
    <row r="2621" spans="1:20">
      <c r="A2621" t="s">
        <v>200</v>
      </c>
      <c r="B2621" t="s">
        <v>200</v>
      </c>
      <c r="C2621">
        <v>115</v>
      </c>
      <c r="D2621" t="s">
        <v>200</v>
      </c>
      <c r="E2621">
        <v>115</v>
      </c>
      <c r="F2621" s="3">
        <v>6.2300000000000001E-2</v>
      </c>
      <c r="G2621" s="3">
        <v>9.2999999999999992E-3</v>
      </c>
      <c r="H2621" s="3">
        <v>2.2599999999999999E-2</v>
      </c>
      <c r="I2621" s="3">
        <v>0.25729999999999997</v>
      </c>
      <c r="J2621" s="3">
        <v>5.0000000000000001E-4</v>
      </c>
      <c r="K2621" s="3">
        <v>0.16880000000000001</v>
      </c>
      <c r="L2621" s="3">
        <v>9.2999999999999992E-3</v>
      </c>
      <c r="M2621" s="3">
        <v>8.9999999999999993E-3</v>
      </c>
      <c r="N2621" s="3">
        <v>0.14510000000000001</v>
      </c>
      <c r="O2621" s="3">
        <v>0.24579999999999999</v>
      </c>
      <c r="P2621" s="3">
        <v>0.1452</v>
      </c>
      <c r="Q2621" s="3">
        <v>4.3900000000000002E-2</v>
      </c>
      <c r="R2621" s="3">
        <v>5.4000000000000003E-3</v>
      </c>
      <c r="S2621" s="3">
        <v>6.08E-2</v>
      </c>
      <c r="T2621" s="3">
        <v>4.9700000000000001E-2</v>
      </c>
    </row>
    <row r="2623" spans="1:20" ht="45">
      <c r="A2623" s="22" t="s">
        <v>672</v>
      </c>
    </row>
    <row r="2624" spans="1:20">
      <c r="A2624" t="s">
        <v>185</v>
      </c>
      <c r="B2624" t="s">
        <v>186</v>
      </c>
      <c r="C2624" t="s">
        <v>192</v>
      </c>
      <c r="D2624" t="s">
        <v>184</v>
      </c>
      <c r="E2624" t="s">
        <v>193</v>
      </c>
      <c r="F2624" t="s">
        <v>659</v>
      </c>
      <c r="G2624" t="s">
        <v>660</v>
      </c>
      <c r="H2624" t="s">
        <v>257</v>
      </c>
      <c r="I2624" t="s">
        <v>661</v>
      </c>
      <c r="J2624" t="s">
        <v>662</v>
      </c>
      <c r="K2624" t="s">
        <v>663</v>
      </c>
      <c r="L2624" t="s">
        <v>274</v>
      </c>
      <c r="M2624" t="s">
        <v>664</v>
      </c>
      <c r="N2624" t="s">
        <v>665</v>
      </c>
      <c r="O2624" t="s">
        <v>666</v>
      </c>
      <c r="P2624" t="s">
        <v>667</v>
      </c>
      <c r="Q2624" t="s">
        <v>668</v>
      </c>
      <c r="R2624" t="s">
        <v>669</v>
      </c>
      <c r="S2624" t="s">
        <v>670</v>
      </c>
      <c r="T2624" t="s">
        <v>671</v>
      </c>
    </row>
    <row r="2625" spans="1:20" s="25" customFormat="1">
      <c r="A2625" s="25" t="s">
        <v>195</v>
      </c>
      <c r="B2625" s="25" t="s">
        <v>202</v>
      </c>
      <c r="C2625" s="25">
        <v>18</v>
      </c>
      <c r="D2625" s="25" t="s">
        <v>194</v>
      </c>
      <c r="E2625" s="25">
        <v>115</v>
      </c>
      <c r="I2625" s="26">
        <v>0.1145</v>
      </c>
      <c r="K2625" s="26">
        <v>0.1207</v>
      </c>
      <c r="M2625" s="26">
        <v>3.8399999999999997E-2</v>
      </c>
      <c r="O2625" s="26">
        <v>0.28029999999999999</v>
      </c>
      <c r="P2625" s="26">
        <v>0.19869999999999999</v>
      </c>
      <c r="S2625" s="26">
        <v>0.2475</v>
      </c>
      <c r="T2625" s="26">
        <v>3.4500000000000003E-2</v>
      </c>
    </row>
    <row r="2626" spans="1:20" s="25" customFormat="1">
      <c r="A2626" s="25" t="s">
        <v>195</v>
      </c>
      <c r="B2626" s="25" t="s">
        <v>204</v>
      </c>
      <c r="C2626" s="25">
        <v>12</v>
      </c>
      <c r="D2626" s="25" t="s">
        <v>194</v>
      </c>
      <c r="E2626" s="25">
        <v>115</v>
      </c>
      <c r="I2626" s="26">
        <v>0.2039</v>
      </c>
      <c r="K2626" s="26">
        <v>7.1999999999999998E-3</v>
      </c>
      <c r="O2626" s="26">
        <v>0.39610000000000001</v>
      </c>
      <c r="P2626" s="26">
        <v>0.35460000000000003</v>
      </c>
      <c r="S2626" s="26">
        <v>3.8199999999999998E-2</v>
      </c>
    </row>
    <row r="2627" spans="1:20" s="25" customFormat="1">
      <c r="A2627" s="25" t="s">
        <v>195</v>
      </c>
      <c r="B2627" s="25" t="s">
        <v>205</v>
      </c>
      <c r="C2627" s="25">
        <v>21</v>
      </c>
      <c r="D2627" s="25" t="s">
        <v>194</v>
      </c>
      <c r="E2627" s="25">
        <v>115</v>
      </c>
      <c r="I2627" s="26">
        <v>0.66800000000000004</v>
      </c>
      <c r="J2627" s="26">
        <v>2.7000000000000001E-3</v>
      </c>
      <c r="K2627" s="26">
        <v>0.58279999999999998</v>
      </c>
      <c r="L2627" s="26">
        <v>4.6899999999999997E-2</v>
      </c>
      <c r="N2627" s="26">
        <v>0.49730000000000002</v>
      </c>
      <c r="O2627" s="26">
        <v>0.1694</v>
      </c>
      <c r="P2627" s="26">
        <v>5.7999999999999996E-3</v>
      </c>
      <c r="T2627" s="26">
        <v>2.7000000000000001E-3</v>
      </c>
    </row>
    <row r="2628" spans="1:20" s="25" customFormat="1">
      <c r="A2628" s="25" t="s">
        <v>199</v>
      </c>
      <c r="B2628" s="25" t="s">
        <v>202</v>
      </c>
      <c r="C2628" s="25">
        <v>16</v>
      </c>
      <c r="D2628" s="25" t="s">
        <v>194</v>
      </c>
      <c r="E2628" s="25">
        <v>115</v>
      </c>
      <c r="F2628" s="26">
        <v>4.9000000000000002E-2</v>
      </c>
      <c r="G2628" s="26">
        <v>4.9000000000000002E-2</v>
      </c>
      <c r="H2628" s="26">
        <v>7.8100000000000003E-2</v>
      </c>
      <c r="I2628" s="26">
        <v>0.1545</v>
      </c>
      <c r="O2628" s="26">
        <v>0.48709999999999998</v>
      </c>
      <c r="R2628" s="26">
        <v>1.47E-2</v>
      </c>
      <c r="T2628" s="26">
        <v>0.21659999999999999</v>
      </c>
    </row>
    <row r="2629" spans="1:20" s="25" customFormat="1">
      <c r="A2629" s="25" t="s">
        <v>199</v>
      </c>
      <c r="B2629" s="25" t="s">
        <v>204</v>
      </c>
      <c r="C2629" s="25">
        <v>22</v>
      </c>
      <c r="D2629" s="25" t="s">
        <v>194</v>
      </c>
      <c r="E2629" s="25">
        <v>115</v>
      </c>
      <c r="F2629" s="26">
        <v>9.1600000000000001E-2</v>
      </c>
      <c r="H2629" s="26">
        <v>6.08E-2</v>
      </c>
      <c r="I2629" s="26">
        <v>0.16209999999999999</v>
      </c>
      <c r="K2629" s="26">
        <v>5.0900000000000001E-2</v>
      </c>
      <c r="N2629" s="26">
        <v>0.31069999999999998</v>
      </c>
      <c r="O2629" s="26">
        <v>0.13139999999999999</v>
      </c>
      <c r="P2629" s="26">
        <v>0.35049999999999998</v>
      </c>
    </row>
    <row r="2630" spans="1:20" s="25" customFormat="1">
      <c r="A2630" s="25" t="s">
        <v>199</v>
      </c>
      <c r="B2630" s="25" t="s">
        <v>205</v>
      </c>
      <c r="C2630" s="25">
        <v>24</v>
      </c>
      <c r="D2630" s="25" t="s">
        <v>194</v>
      </c>
      <c r="E2630" s="25">
        <v>115</v>
      </c>
      <c r="F2630" s="26">
        <v>0.24340000000000001</v>
      </c>
      <c r="I2630" s="26">
        <v>0.18740000000000001</v>
      </c>
      <c r="K2630" s="26">
        <v>8.5900000000000004E-2</v>
      </c>
      <c r="N2630" s="26">
        <v>3.61E-2</v>
      </c>
      <c r="O2630" s="26">
        <v>4.1300000000000003E-2</v>
      </c>
      <c r="P2630" s="26">
        <v>0.15</v>
      </c>
      <c r="Q2630" s="26">
        <v>0.25900000000000001</v>
      </c>
      <c r="R2630" s="26">
        <v>1.5699999999999999E-2</v>
      </c>
    </row>
    <row r="2631" spans="1:20">
      <c r="A2631" t="s">
        <v>200</v>
      </c>
      <c r="B2631" t="s">
        <v>200</v>
      </c>
      <c r="C2631">
        <v>115</v>
      </c>
      <c r="D2631" t="s">
        <v>200</v>
      </c>
      <c r="E2631">
        <v>115</v>
      </c>
      <c r="F2631" s="3">
        <v>6.2300000000000001E-2</v>
      </c>
      <c r="G2631" s="3">
        <v>9.2999999999999992E-3</v>
      </c>
      <c r="H2631" s="3">
        <v>2.2599999999999999E-2</v>
      </c>
      <c r="I2631" s="3">
        <v>0.25729999999999997</v>
      </c>
      <c r="J2631" s="3">
        <v>5.0000000000000001E-4</v>
      </c>
      <c r="K2631" s="3">
        <v>0.16880000000000001</v>
      </c>
      <c r="L2631" s="3">
        <v>9.2999999999999992E-3</v>
      </c>
      <c r="M2631" s="3">
        <v>8.9999999999999993E-3</v>
      </c>
      <c r="N2631" s="3">
        <v>0.14510000000000001</v>
      </c>
      <c r="O2631" s="3">
        <v>0.24579999999999999</v>
      </c>
      <c r="P2631" s="3">
        <v>0.1452</v>
      </c>
      <c r="Q2631" s="3">
        <v>4.3900000000000002E-2</v>
      </c>
      <c r="R2631" s="3">
        <v>5.4000000000000003E-3</v>
      </c>
      <c r="S2631" s="3">
        <v>6.08E-2</v>
      </c>
      <c r="T2631" s="3">
        <v>4.9700000000000001E-2</v>
      </c>
    </row>
    <row r="2633" spans="1:20" ht="45">
      <c r="A2633" s="22" t="s">
        <v>673</v>
      </c>
    </row>
    <row r="2634" spans="1:20">
      <c r="A2634" t="s">
        <v>185</v>
      </c>
      <c r="B2634" t="s">
        <v>186</v>
      </c>
      <c r="C2634" t="s">
        <v>192</v>
      </c>
      <c r="D2634" t="s">
        <v>184</v>
      </c>
      <c r="E2634" t="s">
        <v>193</v>
      </c>
      <c r="F2634" t="s">
        <v>659</v>
      </c>
      <c r="G2634" t="s">
        <v>660</v>
      </c>
      <c r="H2634" t="s">
        <v>257</v>
      </c>
      <c r="I2634" t="s">
        <v>661</v>
      </c>
      <c r="J2634" t="s">
        <v>662</v>
      </c>
      <c r="K2634" t="s">
        <v>663</v>
      </c>
      <c r="L2634" t="s">
        <v>274</v>
      </c>
      <c r="M2634" t="s">
        <v>664</v>
      </c>
      <c r="N2634" t="s">
        <v>665</v>
      </c>
      <c r="O2634" t="s">
        <v>666</v>
      </c>
      <c r="P2634" t="s">
        <v>667</v>
      </c>
      <c r="Q2634" t="s">
        <v>668</v>
      </c>
      <c r="R2634" t="s">
        <v>669</v>
      </c>
      <c r="S2634" t="s">
        <v>670</v>
      </c>
      <c r="T2634" t="s">
        <v>671</v>
      </c>
    </row>
    <row r="2635" spans="1:20" s="25" customFormat="1">
      <c r="A2635" s="25" t="s">
        <v>195</v>
      </c>
      <c r="B2635" s="25" t="s">
        <v>207</v>
      </c>
      <c r="C2635" s="25">
        <v>7</v>
      </c>
      <c r="D2635" s="25" t="s">
        <v>194</v>
      </c>
      <c r="E2635" s="25">
        <v>115</v>
      </c>
      <c r="I2635" s="26">
        <v>2.86E-2</v>
      </c>
      <c r="J2635" s="26">
        <v>1.09E-2</v>
      </c>
      <c r="K2635" s="26">
        <v>2.86E-2</v>
      </c>
      <c r="P2635" s="26">
        <v>0.93200000000000005</v>
      </c>
      <c r="T2635" s="26">
        <v>1.09E-2</v>
      </c>
    </row>
    <row r="2636" spans="1:20">
      <c r="A2636" t="s">
        <v>195</v>
      </c>
      <c r="B2636" t="s">
        <v>209</v>
      </c>
      <c r="C2636">
        <v>46</v>
      </c>
      <c r="D2636" t="s">
        <v>194</v>
      </c>
      <c r="E2636">
        <v>115</v>
      </c>
      <c r="I2636" s="3">
        <v>0.37659999999999999</v>
      </c>
      <c r="K2636" s="3">
        <v>0.31669999999999998</v>
      </c>
      <c r="L2636" s="3">
        <v>2.0199999999999999E-2</v>
      </c>
      <c r="M2636" s="3">
        <v>1.9400000000000001E-2</v>
      </c>
      <c r="N2636" s="3">
        <v>0.2145</v>
      </c>
      <c r="O2636" s="3">
        <v>0.28050000000000003</v>
      </c>
      <c r="P2636" s="3">
        <v>0.06</v>
      </c>
      <c r="S2636" s="3">
        <v>0.13159999999999999</v>
      </c>
      <c r="T2636" s="3">
        <v>1.7399999999999999E-2</v>
      </c>
    </row>
    <row r="2637" spans="1:20" s="25" customFormat="1">
      <c r="A2637" s="25" t="s">
        <v>199</v>
      </c>
      <c r="B2637" s="25" t="s">
        <v>207</v>
      </c>
      <c r="C2637" s="25">
        <v>8</v>
      </c>
      <c r="D2637" s="25" t="s">
        <v>194</v>
      </c>
      <c r="E2637" s="25">
        <v>115</v>
      </c>
      <c r="H2637" s="26">
        <v>0.17829999999999999</v>
      </c>
      <c r="I2637" s="26">
        <v>0.1197</v>
      </c>
      <c r="N2637" s="26">
        <v>0.1168</v>
      </c>
      <c r="O2637" s="26">
        <v>6.2199999999999998E-2</v>
      </c>
      <c r="P2637" s="26">
        <v>0.52290000000000003</v>
      </c>
    </row>
    <row r="2638" spans="1:20">
      <c r="A2638" t="s">
        <v>199</v>
      </c>
      <c r="B2638" t="s">
        <v>209</v>
      </c>
      <c r="C2638">
        <v>54</v>
      </c>
      <c r="D2638" t="s">
        <v>194</v>
      </c>
      <c r="E2638">
        <v>115</v>
      </c>
      <c r="F2638" s="3">
        <v>0.1404</v>
      </c>
      <c r="G2638" s="3">
        <v>2.0899999999999998E-2</v>
      </c>
      <c r="H2638" s="3">
        <v>3.3300000000000003E-2</v>
      </c>
      <c r="I2638" s="3">
        <v>0.17280000000000001</v>
      </c>
      <c r="K2638" s="3">
        <v>4.7600000000000003E-2</v>
      </c>
      <c r="N2638" s="3">
        <v>9.2299999999999993E-2</v>
      </c>
      <c r="O2638" s="3">
        <v>0.25580000000000003</v>
      </c>
      <c r="P2638" s="3">
        <v>0.1072</v>
      </c>
      <c r="Q2638" s="3">
        <v>9.8900000000000002E-2</v>
      </c>
      <c r="R2638" s="3">
        <v>1.23E-2</v>
      </c>
      <c r="T2638" s="3">
        <v>9.2499999999999999E-2</v>
      </c>
    </row>
    <row r="2639" spans="1:20">
      <c r="A2639" t="s">
        <v>200</v>
      </c>
      <c r="B2639" t="s">
        <v>200</v>
      </c>
      <c r="C2639">
        <v>115</v>
      </c>
      <c r="D2639" t="s">
        <v>200</v>
      </c>
      <c r="E2639">
        <v>115</v>
      </c>
      <c r="F2639" s="3">
        <v>6.2300000000000001E-2</v>
      </c>
      <c r="G2639" s="3">
        <v>9.2999999999999992E-3</v>
      </c>
      <c r="H2639" s="3">
        <v>2.2599999999999999E-2</v>
      </c>
      <c r="I2639" s="3">
        <v>0.25729999999999997</v>
      </c>
      <c r="J2639" s="3">
        <v>5.0000000000000001E-4</v>
      </c>
      <c r="K2639" s="3">
        <v>0.16880000000000001</v>
      </c>
      <c r="L2639" s="3">
        <v>9.2999999999999992E-3</v>
      </c>
      <c r="M2639" s="3">
        <v>8.9999999999999993E-3</v>
      </c>
      <c r="N2639" s="3">
        <v>0.14510000000000001</v>
      </c>
      <c r="O2639" s="3">
        <v>0.24579999999999999</v>
      </c>
      <c r="P2639" s="3">
        <v>0.1452</v>
      </c>
      <c r="Q2639" s="3">
        <v>4.3900000000000002E-2</v>
      </c>
      <c r="R2639" s="3">
        <v>5.4000000000000003E-3</v>
      </c>
      <c r="S2639" s="3">
        <v>6.08E-2</v>
      </c>
      <c r="T2639" s="3">
        <v>4.9700000000000001E-2</v>
      </c>
    </row>
    <row r="2641" spans="1:20" ht="45">
      <c r="A2641" s="22" t="s">
        <v>674</v>
      </c>
    </row>
    <row r="2642" spans="1:20">
      <c r="A2642" t="s">
        <v>185</v>
      </c>
      <c r="B2642" t="s">
        <v>192</v>
      </c>
      <c r="C2642" t="s">
        <v>184</v>
      </c>
      <c r="D2642" t="s">
        <v>193</v>
      </c>
      <c r="E2642" t="s">
        <v>659</v>
      </c>
      <c r="F2642" t="s">
        <v>660</v>
      </c>
      <c r="G2642" t="s">
        <v>257</v>
      </c>
      <c r="H2642" t="s">
        <v>661</v>
      </c>
      <c r="I2642" t="s">
        <v>662</v>
      </c>
      <c r="J2642" t="s">
        <v>663</v>
      </c>
      <c r="K2642" t="s">
        <v>274</v>
      </c>
      <c r="L2642" t="s">
        <v>664</v>
      </c>
      <c r="M2642" t="s">
        <v>665</v>
      </c>
      <c r="N2642" t="s">
        <v>666</v>
      </c>
      <c r="O2642" t="s">
        <v>667</v>
      </c>
      <c r="P2642" t="s">
        <v>668</v>
      </c>
      <c r="Q2642" t="s">
        <v>669</v>
      </c>
      <c r="R2642" t="s">
        <v>670</v>
      </c>
      <c r="S2642" t="s">
        <v>671</v>
      </c>
    </row>
    <row r="2643" spans="1:20">
      <c r="A2643" t="s">
        <v>195</v>
      </c>
      <c r="B2643">
        <v>53</v>
      </c>
      <c r="C2643" t="s">
        <v>194</v>
      </c>
      <c r="D2643">
        <v>115</v>
      </c>
      <c r="H2643" s="3">
        <v>0.34239999999999998</v>
      </c>
      <c r="I2643" s="3">
        <v>1.1000000000000001E-3</v>
      </c>
      <c r="J2643" s="3">
        <v>0.2883</v>
      </c>
      <c r="K2643" s="3">
        <v>1.8200000000000001E-2</v>
      </c>
      <c r="L2643" s="3">
        <v>1.7500000000000002E-2</v>
      </c>
      <c r="M2643" s="3">
        <v>0.1933</v>
      </c>
      <c r="N2643" s="3">
        <v>0.25290000000000001</v>
      </c>
      <c r="O2643" s="3">
        <v>0.14580000000000001</v>
      </c>
      <c r="R2643" s="3">
        <v>0.1187</v>
      </c>
      <c r="S2643" s="3">
        <v>1.6799999999999999E-2</v>
      </c>
    </row>
    <row r="2644" spans="1:20">
      <c r="A2644" t="s">
        <v>199</v>
      </c>
      <c r="B2644">
        <v>62</v>
      </c>
      <c r="C2644" t="s">
        <v>194</v>
      </c>
      <c r="D2644">
        <v>115</v>
      </c>
      <c r="E2644" s="3">
        <v>0.1278</v>
      </c>
      <c r="F2644" s="3">
        <v>1.9E-2</v>
      </c>
      <c r="G2644" s="3">
        <v>4.6399999999999997E-2</v>
      </c>
      <c r="H2644" s="3">
        <v>0.16800000000000001</v>
      </c>
      <c r="J2644" s="3">
        <v>4.3299999999999998E-2</v>
      </c>
      <c r="M2644" s="3">
        <v>9.4500000000000001E-2</v>
      </c>
      <c r="N2644" s="3">
        <v>0.2384</v>
      </c>
      <c r="O2644" s="3">
        <v>0.14460000000000001</v>
      </c>
      <c r="P2644" s="3">
        <v>0.09</v>
      </c>
      <c r="Q2644" s="3">
        <v>1.12E-2</v>
      </c>
      <c r="S2644" s="3">
        <v>8.4199999999999997E-2</v>
      </c>
    </row>
    <row r="2645" spans="1:20">
      <c r="A2645" t="s">
        <v>200</v>
      </c>
      <c r="B2645">
        <v>115</v>
      </c>
      <c r="C2645" t="s">
        <v>200</v>
      </c>
      <c r="D2645">
        <v>115</v>
      </c>
      <c r="E2645" s="3">
        <v>6.2300000000000001E-2</v>
      </c>
      <c r="F2645" s="3">
        <v>9.2999999999999992E-3</v>
      </c>
      <c r="G2645" s="3">
        <v>2.2599999999999999E-2</v>
      </c>
      <c r="H2645" s="3">
        <v>0.25729999999999997</v>
      </c>
      <c r="I2645" s="3">
        <v>5.0000000000000001E-4</v>
      </c>
      <c r="J2645" s="3">
        <v>0.16880000000000001</v>
      </c>
      <c r="K2645" s="3">
        <v>9.2999999999999992E-3</v>
      </c>
      <c r="L2645" s="3">
        <v>8.9999999999999993E-3</v>
      </c>
      <c r="M2645" s="3">
        <v>0.14510000000000001</v>
      </c>
      <c r="N2645" s="3">
        <v>0.24579999999999999</v>
      </c>
      <c r="O2645" s="3">
        <v>0.1452</v>
      </c>
      <c r="P2645" s="3">
        <v>4.3900000000000002E-2</v>
      </c>
      <c r="Q2645" s="3">
        <v>5.4000000000000003E-3</v>
      </c>
      <c r="R2645" s="3">
        <v>6.08E-2</v>
      </c>
      <c r="S2645" s="3">
        <v>4.9700000000000001E-2</v>
      </c>
    </row>
    <row r="2647" spans="1:20" ht="45">
      <c r="A2647" s="22" t="s">
        <v>675</v>
      </c>
    </row>
    <row r="2648" spans="1:20">
      <c r="A2648" t="s">
        <v>185</v>
      </c>
      <c r="B2648" t="s">
        <v>186</v>
      </c>
      <c r="C2648" t="s">
        <v>192</v>
      </c>
      <c r="D2648" t="s">
        <v>184</v>
      </c>
      <c r="E2648" t="s">
        <v>193</v>
      </c>
      <c r="F2648" t="s">
        <v>659</v>
      </c>
      <c r="G2648" t="s">
        <v>660</v>
      </c>
      <c r="H2648" t="s">
        <v>257</v>
      </c>
      <c r="I2648" t="s">
        <v>661</v>
      </c>
      <c r="J2648" t="s">
        <v>662</v>
      </c>
      <c r="K2648" t="s">
        <v>663</v>
      </c>
      <c r="L2648" t="s">
        <v>274</v>
      </c>
      <c r="M2648" t="s">
        <v>664</v>
      </c>
      <c r="N2648" t="s">
        <v>665</v>
      </c>
      <c r="O2648" t="s">
        <v>666</v>
      </c>
      <c r="P2648" t="s">
        <v>667</v>
      </c>
      <c r="Q2648" t="s">
        <v>668</v>
      </c>
      <c r="R2648" t="s">
        <v>669</v>
      </c>
      <c r="S2648" t="s">
        <v>670</v>
      </c>
      <c r="T2648" t="s">
        <v>671</v>
      </c>
    </row>
    <row r="2649" spans="1:20" s="25" customFormat="1">
      <c r="A2649" s="25" t="s">
        <v>195</v>
      </c>
      <c r="B2649" s="25" t="s">
        <v>212</v>
      </c>
      <c r="C2649" s="25">
        <v>29</v>
      </c>
      <c r="D2649" s="25" t="s">
        <v>194</v>
      </c>
      <c r="E2649" s="25">
        <v>115</v>
      </c>
      <c r="I2649" s="26">
        <v>0.29239999999999999</v>
      </c>
      <c r="J2649" s="26">
        <v>1.6000000000000001E-3</v>
      </c>
      <c r="K2649" s="26">
        <v>0.3422</v>
      </c>
      <c r="L2649" s="26">
        <v>2.7900000000000001E-2</v>
      </c>
      <c r="N2649" s="26">
        <v>0.25569999999999998</v>
      </c>
      <c r="O2649" s="26">
        <v>0.25080000000000002</v>
      </c>
      <c r="P2649" s="26">
        <v>0.20469999999999999</v>
      </c>
      <c r="S2649" s="26">
        <v>7.2900000000000006E-2</v>
      </c>
      <c r="T2649" s="26">
        <v>1.6000000000000001E-3</v>
      </c>
    </row>
    <row r="2650" spans="1:20" s="25" customFormat="1">
      <c r="A2650" s="25" t="s">
        <v>195</v>
      </c>
      <c r="B2650" s="25" t="s">
        <v>215</v>
      </c>
      <c r="C2650" s="25">
        <v>24</v>
      </c>
      <c r="D2650" s="25" t="s">
        <v>194</v>
      </c>
      <c r="E2650" s="25">
        <v>115</v>
      </c>
      <c r="I2650" s="26">
        <v>0.4365</v>
      </c>
      <c r="K2650" s="26">
        <v>0.1867</v>
      </c>
      <c r="M2650" s="26">
        <v>5.0500000000000003E-2</v>
      </c>
      <c r="N2650" s="26">
        <v>7.5800000000000006E-2</v>
      </c>
      <c r="O2650" s="26">
        <v>0.25690000000000002</v>
      </c>
      <c r="P2650" s="26">
        <v>3.49E-2</v>
      </c>
      <c r="S2650" s="26">
        <v>0.2049</v>
      </c>
      <c r="T2650" s="26">
        <v>4.5400000000000003E-2</v>
      </c>
    </row>
    <row r="2651" spans="1:20">
      <c r="A2651" t="s">
        <v>199</v>
      </c>
      <c r="B2651" t="s">
        <v>212</v>
      </c>
      <c r="C2651">
        <v>41</v>
      </c>
      <c r="D2651" t="s">
        <v>194</v>
      </c>
      <c r="E2651">
        <v>115</v>
      </c>
      <c r="H2651" s="3">
        <v>5.74E-2</v>
      </c>
      <c r="I2651" s="3">
        <v>0.14879999999999999</v>
      </c>
      <c r="K2651" s="3">
        <v>3.4299999999999997E-2</v>
      </c>
      <c r="N2651" s="3">
        <v>0.1027</v>
      </c>
      <c r="O2651" s="3">
        <v>0.1862</v>
      </c>
      <c r="P2651" s="3">
        <v>0.17460000000000001</v>
      </c>
      <c r="Q2651" s="3">
        <v>0.1537</v>
      </c>
      <c r="R2651" s="3">
        <v>1.9E-2</v>
      </c>
      <c r="T2651" s="3">
        <v>0.14369999999999999</v>
      </c>
    </row>
    <row r="2652" spans="1:20" s="25" customFormat="1">
      <c r="A2652" s="25" t="s">
        <v>199</v>
      </c>
      <c r="B2652" s="25" t="s">
        <v>215</v>
      </c>
      <c r="C2652" s="25">
        <v>21</v>
      </c>
      <c r="D2652" s="25" t="s">
        <v>194</v>
      </c>
      <c r="E2652" s="25">
        <v>115</v>
      </c>
      <c r="F2652" s="26">
        <v>0.30859999999999999</v>
      </c>
      <c r="G2652" s="26">
        <v>4.5999999999999999E-2</v>
      </c>
      <c r="H2652" s="26">
        <v>3.0800000000000001E-2</v>
      </c>
      <c r="I2652" s="26">
        <v>0.1951</v>
      </c>
      <c r="K2652" s="26">
        <v>5.6000000000000001E-2</v>
      </c>
      <c r="N2652" s="26">
        <v>8.2799999999999999E-2</v>
      </c>
      <c r="O2652" s="26">
        <v>0.31219999999999998</v>
      </c>
      <c r="P2652" s="26">
        <v>0.10199999999999999</v>
      </c>
    </row>
    <row r="2653" spans="1:20">
      <c r="A2653" t="s">
        <v>200</v>
      </c>
      <c r="B2653" t="s">
        <v>200</v>
      </c>
      <c r="C2653">
        <v>115</v>
      </c>
      <c r="D2653" t="s">
        <v>200</v>
      </c>
      <c r="E2653">
        <v>115</v>
      </c>
      <c r="F2653" s="3">
        <v>6.2300000000000001E-2</v>
      </c>
      <c r="G2653" s="3">
        <v>9.2999999999999992E-3</v>
      </c>
      <c r="H2653" s="3">
        <v>2.2599999999999999E-2</v>
      </c>
      <c r="I2653" s="3">
        <v>0.25729999999999997</v>
      </c>
      <c r="J2653" s="3">
        <v>5.0000000000000001E-4</v>
      </c>
      <c r="K2653" s="3">
        <v>0.16880000000000001</v>
      </c>
      <c r="L2653" s="3">
        <v>9.2999999999999992E-3</v>
      </c>
      <c r="M2653" s="3">
        <v>8.9999999999999993E-3</v>
      </c>
      <c r="N2653" s="3">
        <v>0.14510000000000001</v>
      </c>
      <c r="O2653" s="3">
        <v>0.24579999999999999</v>
      </c>
      <c r="P2653" s="3">
        <v>0.1452</v>
      </c>
      <c r="Q2653" s="3">
        <v>4.3900000000000002E-2</v>
      </c>
      <c r="R2653" s="3">
        <v>5.4000000000000003E-3</v>
      </c>
      <c r="S2653" s="3">
        <v>6.08E-2</v>
      </c>
      <c r="T2653" s="3">
        <v>4.9700000000000001E-2</v>
      </c>
    </row>
    <row r="2655" spans="1:20" ht="45">
      <c r="A2655" s="22" t="s">
        <v>676</v>
      </c>
    </row>
    <row r="2656" spans="1:20">
      <c r="A2656" t="s">
        <v>185</v>
      </c>
      <c r="B2656" t="s">
        <v>186</v>
      </c>
      <c r="C2656" t="s">
        <v>192</v>
      </c>
      <c r="D2656" t="s">
        <v>184</v>
      </c>
      <c r="E2656" t="s">
        <v>193</v>
      </c>
      <c r="F2656" t="s">
        <v>659</v>
      </c>
      <c r="G2656" t="s">
        <v>660</v>
      </c>
      <c r="H2656" t="s">
        <v>257</v>
      </c>
      <c r="I2656" t="s">
        <v>661</v>
      </c>
      <c r="J2656" t="s">
        <v>662</v>
      </c>
      <c r="K2656" t="s">
        <v>663</v>
      </c>
      <c r="L2656" t="s">
        <v>274</v>
      </c>
      <c r="M2656" t="s">
        <v>664</v>
      </c>
      <c r="N2656" t="s">
        <v>665</v>
      </c>
      <c r="O2656" t="s">
        <v>666</v>
      </c>
      <c r="P2656" t="s">
        <v>667</v>
      </c>
      <c r="Q2656" t="s">
        <v>668</v>
      </c>
      <c r="R2656" t="s">
        <v>669</v>
      </c>
      <c r="S2656" t="s">
        <v>670</v>
      </c>
      <c r="T2656" t="s">
        <v>671</v>
      </c>
    </row>
    <row r="2657" spans="1:21" s="25" customFormat="1">
      <c r="A2657" s="25" t="s">
        <v>195</v>
      </c>
      <c r="B2657" s="25" t="s">
        <v>613</v>
      </c>
      <c r="C2657" s="25">
        <v>6</v>
      </c>
      <c r="D2657" s="25" t="s">
        <v>194</v>
      </c>
      <c r="E2657" s="25">
        <v>115</v>
      </c>
      <c r="I2657" s="26">
        <v>0.1198</v>
      </c>
      <c r="K2657" s="26">
        <v>0.31669999999999998</v>
      </c>
      <c r="O2657" s="26">
        <v>0.28760000000000002</v>
      </c>
      <c r="P2657" s="26">
        <v>0.27589999999999998</v>
      </c>
    </row>
    <row r="2658" spans="1:21" s="25" customFormat="1">
      <c r="A2658" s="25" t="s">
        <v>195</v>
      </c>
      <c r="B2658" s="25" t="s">
        <v>614</v>
      </c>
      <c r="C2658" s="25">
        <v>3</v>
      </c>
      <c r="D2658" s="25" t="s">
        <v>194</v>
      </c>
      <c r="E2658" s="25">
        <v>115</v>
      </c>
      <c r="O2658" s="26">
        <v>1</v>
      </c>
    </row>
    <row r="2659" spans="1:21">
      <c r="A2659" t="s">
        <v>195</v>
      </c>
      <c r="B2659" t="s">
        <v>615</v>
      </c>
      <c r="C2659">
        <v>36</v>
      </c>
      <c r="D2659" t="s">
        <v>194</v>
      </c>
      <c r="E2659">
        <v>115</v>
      </c>
      <c r="I2659" s="3">
        <v>0.32929999999999998</v>
      </c>
      <c r="J2659" s="3">
        <v>1.2999999999999999E-3</v>
      </c>
      <c r="K2659" s="3">
        <v>0.25580000000000003</v>
      </c>
      <c r="L2659" s="3">
        <v>2.2800000000000001E-2</v>
      </c>
      <c r="M2659" s="3">
        <v>2.1899999999999999E-2</v>
      </c>
      <c r="N2659" s="3">
        <v>0.23499999999999999</v>
      </c>
      <c r="O2659" s="3">
        <v>0.219</v>
      </c>
      <c r="P2659" s="3">
        <v>0.15870000000000001</v>
      </c>
      <c r="S2659" s="3">
        <v>0.14849999999999999</v>
      </c>
      <c r="T2659" s="3">
        <v>2.1000000000000001E-2</v>
      </c>
    </row>
    <row r="2660" spans="1:21" s="25" customFormat="1">
      <c r="A2660" s="25" t="s">
        <v>195</v>
      </c>
      <c r="B2660" s="25" t="s">
        <v>616</v>
      </c>
      <c r="C2660" s="25">
        <v>8</v>
      </c>
      <c r="D2660" s="25" t="s">
        <v>194</v>
      </c>
      <c r="E2660" s="25">
        <v>115</v>
      </c>
      <c r="I2660" s="26">
        <v>0.9012</v>
      </c>
      <c r="K2660" s="26">
        <v>0.80989999999999995</v>
      </c>
      <c r="N2660" s="26">
        <v>7.0400000000000004E-2</v>
      </c>
      <c r="P2660" s="26">
        <v>2.8299999999999999E-2</v>
      </c>
    </row>
    <row r="2661" spans="1:21" s="25" customFormat="1">
      <c r="A2661" s="25" t="s">
        <v>199</v>
      </c>
      <c r="B2661" s="25" t="s">
        <v>613</v>
      </c>
      <c r="C2661" s="25">
        <v>12</v>
      </c>
      <c r="D2661" s="25" t="s">
        <v>194</v>
      </c>
      <c r="E2661" s="25">
        <v>115</v>
      </c>
      <c r="H2661" s="26">
        <v>0.3891</v>
      </c>
      <c r="K2661" s="26">
        <v>0.20519999999999999</v>
      </c>
      <c r="N2661" s="26">
        <v>0.18729999999999999</v>
      </c>
      <c r="O2661" s="26">
        <v>0.21840000000000001</v>
      </c>
      <c r="Q2661" s="26">
        <v>6.3E-2</v>
      </c>
    </row>
    <row r="2662" spans="1:21" s="25" customFormat="1">
      <c r="A2662" s="25" t="s">
        <v>199</v>
      </c>
      <c r="B2662" s="25" t="s">
        <v>614</v>
      </c>
      <c r="C2662" s="25">
        <v>2</v>
      </c>
      <c r="D2662" s="25" t="s">
        <v>194</v>
      </c>
      <c r="E2662" s="25">
        <v>115</v>
      </c>
      <c r="O2662" s="26">
        <v>1</v>
      </c>
    </row>
    <row r="2663" spans="1:21">
      <c r="A2663" t="s">
        <v>199</v>
      </c>
      <c r="B2663" t="s">
        <v>615</v>
      </c>
      <c r="C2663">
        <v>33</v>
      </c>
      <c r="D2663" t="s">
        <v>194</v>
      </c>
      <c r="E2663">
        <v>115</v>
      </c>
      <c r="F2663" s="3">
        <v>0.113</v>
      </c>
      <c r="H2663" s="3">
        <v>1.7100000000000001E-2</v>
      </c>
      <c r="I2663" s="3">
        <v>0.20530000000000001</v>
      </c>
      <c r="K2663" s="3">
        <v>1.5699999999999999E-2</v>
      </c>
      <c r="N2663" s="3">
        <v>6.3100000000000003E-2</v>
      </c>
      <c r="O2663" s="3">
        <v>0.22189999999999999</v>
      </c>
      <c r="P2663" s="3">
        <v>0.1303</v>
      </c>
      <c r="Q2663" s="3">
        <v>0.113</v>
      </c>
      <c r="R2663" s="3">
        <v>1.49E-2</v>
      </c>
      <c r="T2663" s="3">
        <v>0.1125</v>
      </c>
    </row>
    <row r="2664" spans="1:21" s="25" customFormat="1">
      <c r="A2664" s="25" t="s">
        <v>199</v>
      </c>
      <c r="B2664" s="25" t="s">
        <v>616</v>
      </c>
      <c r="C2664" s="25">
        <v>15</v>
      </c>
      <c r="D2664" s="25" t="s">
        <v>194</v>
      </c>
      <c r="E2664" s="25">
        <v>115</v>
      </c>
      <c r="F2664" s="26">
        <v>0.28299999999999997</v>
      </c>
      <c r="G2664" s="26">
        <v>0.12479999999999999</v>
      </c>
      <c r="I2664" s="26">
        <v>9.3899999999999997E-2</v>
      </c>
      <c r="K2664" s="26">
        <v>9.0300000000000005E-2</v>
      </c>
      <c r="N2664" s="26">
        <v>0.20330000000000001</v>
      </c>
      <c r="O2664" s="26">
        <v>0.26800000000000002</v>
      </c>
      <c r="P2664" s="26">
        <v>0.30819999999999997</v>
      </c>
    </row>
    <row r="2665" spans="1:21">
      <c r="A2665" t="s">
        <v>200</v>
      </c>
      <c r="B2665" t="s">
        <v>200</v>
      </c>
      <c r="C2665">
        <v>115</v>
      </c>
      <c r="D2665" t="s">
        <v>200</v>
      </c>
      <c r="E2665">
        <v>115</v>
      </c>
      <c r="F2665" s="3">
        <v>6.2300000000000001E-2</v>
      </c>
      <c r="G2665" s="3">
        <v>9.2999999999999992E-3</v>
      </c>
      <c r="H2665" s="3">
        <v>2.2599999999999999E-2</v>
      </c>
      <c r="I2665" s="3">
        <v>0.25729999999999997</v>
      </c>
      <c r="J2665" s="3">
        <v>5.0000000000000001E-4</v>
      </c>
      <c r="K2665" s="3">
        <v>0.16880000000000001</v>
      </c>
      <c r="L2665" s="3">
        <v>9.2999999999999992E-3</v>
      </c>
      <c r="M2665" s="3">
        <v>8.9999999999999993E-3</v>
      </c>
      <c r="N2665" s="3">
        <v>0.14510000000000001</v>
      </c>
      <c r="O2665" s="3">
        <v>0.24579999999999999</v>
      </c>
      <c r="P2665" s="3">
        <v>0.1452</v>
      </c>
      <c r="Q2665" s="3">
        <v>4.3900000000000002E-2</v>
      </c>
      <c r="R2665" s="3">
        <v>5.4000000000000003E-3</v>
      </c>
      <c r="S2665" s="3">
        <v>6.08E-2</v>
      </c>
      <c r="T2665" s="3">
        <v>4.9700000000000001E-2</v>
      </c>
    </row>
    <row r="2667" spans="1:21" ht="45">
      <c r="A2667" s="22" t="s">
        <v>677</v>
      </c>
    </row>
    <row r="2668" spans="1:21">
      <c r="A2668" t="s">
        <v>185</v>
      </c>
      <c r="B2668" t="s">
        <v>291</v>
      </c>
      <c r="C2668" t="s">
        <v>186</v>
      </c>
      <c r="D2668" t="s">
        <v>192</v>
      </c>
      <c r="E2668" t="s">
        <v>184</v>
      </c>
      <c r="F2668" t="s">
        <v>193</v>
      </c>
      <c r="G2668" t="s">
        <v>659</v>
      </c>
      <c r="H2668" t="s">
        <v>660</v>
      </c>
      <c r="I2668" t="s">
        <v>257</v>
      </c>
      <c r="J2668" t="s">
        <v>661</v>
      </c>
      <c r="K2668" t="s">
        <v>662</v>
      </c>
      <c r="L2668" t="s">
        <v>663</v>
      </c>
      <c r="M2668" t="s">
        <v>274</v>
      </c>
      <c r="N2668" t="s">
        <v>664</v>
      </c>
      <c r="O2668" t="s">
        <v>665</v>
      </c>
      <c r="P2668" t="s">
        <v>666</v>
      </c>
      <c r="Q2668" t="s">
        <v>667</v>
      </c>
      <c r="R2668" t="s">
        <v>668</v>
      </c>
      <c r="S2668" t="s">
        <v>669</v>
      </c>
      <c r="T2668" t="s">
        <v>670</v>
      </c>
      <c r="U2668" t="s">
        <v>671</v>
      </c>
    </row>
    <row r="2669" spans="1:21" s="25" customFormat="1">
      <c r="A2669" s="25" t="s">
        <v>195</v>
      </c>
      <c r="B2669" s="25" t="s">
        <v>613</v>
      </c>
      <c r="C2669" s="25" t="s">
        <v>292</v>
      </c>
      <c r="D2669" s="25">
        <v>4</v>
      </c>
      <c r="E2669" s="25" t="s">
        <v>194</v>
      </c>
      <c r="F2669" s="25">
        <v>115</v>
      </c>
      <c r="L2669" s="26">
        <v>0.53449999999999998</v>
      </c>
      <c r="Q2669" s="26">
        <v>0.46550000000000002</v>
      </c>
    </row>
    <row r="2670" spans="1:21" s="25" customFormat="1">
      <c r="A2670" s="25" t="s">
        <v>199</v>
      </c>
      <c r="B2670" s="25" t="s">
        <v>616</v>
      </c>
      <c r="C2670" s="25" t="s">
        <v>292</v>
      </c>
      <c r="D2670" s="25">
        <v>8</v>
      </c>
      <c r="E2670" s="25" t="s">
        <v>194</v>
      </c>
      <c r="F2670" s="25">
        <v>115</v>
      </c>
      <c r="G2670" s="26">
        <v>0.1394</v>
      </c>
      <c r="J2670" s="26">
        <v>2.5999999999999999E-2</v>
      </c>
      <c r="L2670" s="26">
        <v>6.2799999999999995E-2</v>
      </c>
      <c r="O2670" s="26">
        <v>0.21890000000000001</v>
      </c>
      <c r="P2670" s="26">
        <v>0.1658</v>
      </c>
      <c r="Q2670" s="26">
        <v>0.54310000000000003</v>
      </c>
    </row>
    <row r="2671" spans="1:21" s="25" customFormat="1">
      <c r="A2671" s="25" t="s">
        <v>199</v>
      </c>
      <c r="B2671" s="25" t="s">
        <v>615</v>
      </c>
      <c r="C2671" s="25" t="s">
        <v>293</v>
      </c>
      <c r="D2671" s="25">
        <v>16</v>
      </c>
      <c r="E2671" s="25" t="s">
        <v>194</v>
      </c>
      <c r="F2671" s="25">
        <v>115</v>
      </c>
      <c r="I2671" s="26">
        <v>3.9600000000000003E-2</v>
      </c>
      <c r="J2671" s="26">
        <v>0.1045</v>
      </c>
      <c r="L2671" s="26">
        <v>3.6499999999999998E-2</v>
      </c>
      <c r="O2671" s="26">
        <v>3.1399999999999997E-2</v>
      </c>
      <c r="P2671" s="26">
        <v>0.2389</v>
      </c>
      <c r="Q2671" s="26">
        <v>0.28660000000000002</v>
      </c>
      <c r="R2671" s="26">
        <v>0.26229999999999998</v>
      </c>
    </row>
    <row r="2672" spans="1:21" s="25" customFormat="1">
      <c r="A2672" s="25" t="s">
        <v>199</v>
      </c>
      <c r="B2672" s="25" t="s">
        <v>615</v>
      </c>
      <c r="C2672" s="25" t="s">
        <v>292</v>
      </c>
      <c r="D2672" s="25">
        <v>17</v>
      </c>
      <c r="E2672" s="25" t="s">
        <v>194</v>
      </c>
      <c r="F2672" s="25">
        <v>115</v>
      </c>
      <c r="G2672" s="26">
        <v>0.19850000000000001</v>
      </c>
      <c r="J2672" s="26">
        <v>0.28149999999999997</v>
      </c>
      <c r="O2672" s="26">
        <v>8.7099999999999997E-2</v>
      </c>
      <c r="P2672" s="26">
        <v>0.20899999999999999</v>
      </c>
      <c r="Q2672" s="26">
        <v>1.2E-2</v>
      </c>
      <c r="S2672" s="26">
        <v>2.6200000000000001E-2</v>
      </c>
      <c r="U2672" s="26">
        <v>0.1976</v>
      </c>
    </row>
    <row r="2673" spans="1:21" s="25" customFormat="1">
      <c r="A2673" s="25" t="s">
        <v>199</v>
      </c>
      <c r="B2673" s="25" t="s">
        <v>614</v>
      </c>
      <c r="C2673" s="25" t="s">
        <v>293</v>
      </c>
      <c r="D2673" s="25">
        <v>1</v>
      </c>
      <c r="E2673" s="25" t="s">
        <v>194</v>
      </c>
      <c r="F2673" s="25">
        <v>115</v>
      </c>
      <c r="P2673" s="26">
        <v>1</v>
      </c>
    </row>
    <row r="2674" spans="1:21" s="25" customFormat="1">
      <c r="A2674" s="25" t="s">
        <v>199</v>
      </c>
      <c r="B2674" s="25" t="s">
        <v>614</v>
      </c>
      <c r="C2674" s="25" t="s">
        <v>292</v>
      </c>
      <c r="D2674" s="25">
        <v>1</v>
      </c>
      <c r="E2674" s="25" t="s">
        <v>194</v>
      </c>
      <c r="F2674" s="25">
        <v>115</v>
      </c>
      <c r="P2674" s="26">
        <v>1</v>
      </c>
    </row>
    <row r="2675" spans="1:21" s="25" customFormat="1">
      <c r="A2675" s="25" t="s">
        <v>199</v>
      </c>
      <c r="B2675" s="25" t="s">
        <v>613</v>
      </c>
      <c r="C2675" s="25" t="s">
        <v>293</v>
      </c>
      <c r="D2675" s="25">
        <v>6</v>
      </c>
      <c r="E2675" s="25" t="s">
        <v>194</v>
      </c>
      <c r="F2675" s="25">
        <v>115</v>
      </c>
      <c r="I2675" s="26">
        <v>0.33760000000000001</v>
      </c>
      <c r="L2675" s="26">
        <v>0.109</v>
      </c>
      <c r="O2675" s="26">
        <v>0.20630000000000001</v>
      </c>
      <c r="P2675" s="26">
        <v>0.34710000000000002</v>
      </c>
    </row>
    <row r="2676" spans="1:21" s="25" customFormat="1">
      <c r="A2676" s="25" t="s">
        <v>199</v>
      </c>
      <c r="B2676" s="25" t="s">
        <v>616</v>
      </c>
      <c r="C2676" s="25" t="s">
        <v>293</v>
      </c>
      <c r="D2676" s="25">
        <v>7</v>
      </c>
      <c r="E2676" s="25" t="s">
        <v>194</v>
      </c>
      <c r="F2676" s="25">
        <v>115</v>
      </c>
      <c r="G2676" s="26">
        <v>0.47139999999999999</v>
      </c>
      <c r="H2676" s="26">
        <v>0.28849999999999998</v>
      </c>
      <c r="J2676" s="26">
        <v>0.183</v>
      </c>
      <c r="L2676" s="26">
        <v>0.12640000000000001</v>
      </c>
      <c r="O2676" s="26">
        <v>0.183</v>
      </c>
      <c r="P2676" s="26">
        <v>0.4022</v>
      </c>
    </row>
    <row r="2677" spans="1:21" s="25" customFormat="1">
      <c r="A2677" s="25" t="s">
        <v>199</v>
      </c>
      <c r="B2677" s="25" t="s">
        <v>613</v>
      </c>
      <c r="C2677" s="25" t="s">
        <v>292</v>
      </c>
      <c r="D2677" s="25">
        <v>6</v>
      </c>
      <c r="E2677" s="25" t="s">
        <v>194</v>
      </c>
      <c r="F2677" s="25">
        <v>115</v>
      </c>
      <c r="I2677" s="26">
        <v>0.46700000000000003</v>
      </c>
      <c r="L2677" s="26">
        <v>0.35089999999999999</v>
      </c>
      <c r="O2677" s="26">
        <v>0.15840000000000001</v>
      </c>
      <c r="P2677" s="26">
        <v>2.3599999999999999E-2</v>
      </c>
      <c r="R2677" s="26">
        <v>0.15840000000000001</v>
      </c>
    </row>
    <row r="2678" spans="1:21" s="25" customFormat="1">
      <c r="A2678" s="25" t="s">
        <v>195</v>
      </c>
      <c r="B2678" s="25" t="s">
        <v>616</v>
      </c>
      <c r="C2678" s="25" t="s">
        <v>292</v>
      </c>
      <c r="D2678" s="25">
        <v>5</v>
      </c>
      <c r="E2678" s="25" t="s">
        <v>194</v>
      </c>
      <c r="F2678" s="25">
        <v>115</v>
      </c>
      <c r="J2678" s="26">
        <v>0.83950000000000002</v>
      </c>
      <c r="L2678" s="26">
        <v>0.89670000000000005</v>
      </c>
      <c r="O2678" s="26">
        <v>5.7200000000000001E-2</v>
      </c>
      <c r="Q2678" s="26">
        <v>4.6100000000000002E-2</v>
      </c>
    </row>
    <row r="2679" spans="1:21" s="25" customFormat="1">
      <c r="A2679" s="25" t="s">
        <v>195</v>
      </c>
      <c r="B2679" s="25" t="s">
        <v>615</v>
      </c>
      <c r="C2679" s="25" t="s">
        <v>293</v>
      </c>
      <c r="D2679" s="25">
        <v>13</v>
      </c>
      <c r="E2679" s="25" t="s">
        <v>194</v>
      </c>
      <c r="F2679" s="25">
        <v>115</v>
      </c>
      <c r="J2679" s="26">
        <v>5.4199999999999998E-2</v>
      </c>
      <c r="L2679" s="26">
        <v>2.23E-2</v>
      </c>
      <c r="N2679" s="26">
        <v>6.9500000000000006E-2</v>
      </c>
      <c r="P2679" s="26">
        <v>0.13120000000000001</v>
      </c>
      <c r="Q2679" s="26">
        <v>0.50329999999999997</v>
      </c>
      <c r="T2679" s="26">
        <v>0.21940000000000001</v>
      </c>
    </row>
    <row r="2680" spans="1:21" s="25" customFormat="1">
      <c r="A2680" s="25" t="s">
        <v>195</v>
      </c>
      <c r="B2680" s="25" t="s">
        <v>615</v>
      </c>
      <c r="C2680" s="25" t="s">
        <v>292</v>
      </c>
      <c r="D2680" s="25">
        <v>23</v>
      </c>
      <c r="E2680" s="25" t="s">
        <v>194</v>
      </c>
      <c r="F2680" s="25">
        <v>115</v>
      </c>
      <c r="J2680" s="26">
        <v>0.45610000000000001</v>
      </c>
      <c r="K2680" s="26">
        <v>2E-3</v>
      </c>
      <c r="L2680" s="26">
        <v>0.3634</v>
      </c>
      <c r="M2680" s="26">
        <v>3.3300000000000003E-2</v>
      </c>
      <c r="O2680" s="26">
        <v>0.34320000000000001</v>
      </c>
      <c r="P2680" s="26">
        <v>0.25950000000000001</v>
      </c>
      <c r="T2680" s="26">
        <v>0.1159</v>
      </c>
      <c r="U2680" s="26">
        <v>3.0700000000000002E-2</v>
      </c>
    </row>
    <row r="2681" spans="1:21" s="25" customFormat="1">
      <c r="A2681" s="25" t="s">
        <v>195</v>
      </c>
      <c r="B2681" s="25" t="s">
        <v>614</v>
      </c>
      <c r="C2681" s="25" t="s">
        <v>293</v>
      </c>
      <c r="D2681" s="25">
        <v>2</v>
      </c>
      <c r="E2681" s="25" t="s">
        <v>194</v>
      </c>
      <c r="F2681" s="25">
        <v>115</v>
      </c>
      <c r="P2681" s="26">
        <v>1</v>
      </c>
    </row>
    <row r="2682" spans="1:21" s="25" customFormat="1">
      <c r="A2682" s="25" t="s">
        <v>195</v>
      </c>
      <c r="B2682" s="25" t="s">
        <v>614</v>
      </c>
      <c r="C2682" s="25" t="s">
        <v>292</v>
      </c>
      <c r="D2682" s="25">
        <v>1</v>
      </c>
      <c r="E2682" s="25" t="s">
        <v>194</v>
      </c>
      <c r="F2682" s="25">
        <v>115</v>
      </c>
      <c r="P2682" s="26">
        <v>1</v>
      </c>
    </row>
    <row r="2683" spans="1:21" s="25" customFormat="1">
      <c r="A2683" s="25" t="s">
        <v>195</v>
      </c>
      <c r="B2683" s="25" t="s">
        <v>613</v>
      </c>
      <c r="C2683" s="25" t="s">
        <v>293</v>
      </c>
      <c r="D2683" s="25">
        <v>2</v>
      </c>
      <c r="E2683" s="25" t="s">
        <v>194</v>
      </c>
      <c r="F2683" s="25">
        <v>115</v>
      </c>
      <c r="J2683" s="26">
        <v>0.29399999999999998</v>
      </c>
      <c r="P2683" s="26">
        <v>0.70599999999999996</v>
      </c>
    </row>
    <row r="2684" spans="1:21" s="25" customFormat="1">
      <c r="A2684" s="25" t="s">
        <v>195</v>
      </c>
      <c r="B2684" s="25" t="s">
        <v>616</v>
      </c>
      <c r="C2684" s="25" t="s">
        <v>293</v>
      </c>
      <c r="D2684" s="25">
        <v>3</v>
      </c>
      <c r="E2684" s="25" t="s">
        <v>194</v>
      </c>
      <c r="F2684" s="25">
        <v>115</v>
      </c>
      <c r="J2684" s="26">
        <v>1</v>
      </c>
      <c r="L2684" s="26">
        <v>0.67120000000000002</v>
      </c>
      <c r="O2684" s="26">
        <v>9.1499999999999998E-2</v>
      </c>
    </row>
    <row r="2685" spans="1:21">
      <c r="A2685" t="s">
        <v>200</v>
      </c>
      <c r="B2685" t="s">
        <v>200</v>
      </c>
      <c r="C2685" t="s">
        <v>200</v>
      </c>
      <c r="D2685">
        <v>115</v>
      </c>
      <c r="E2685" t="s">
        <v>200</v>
      </c>
      <c r="F2685">
        <v>115</v>
      </c>
      <c r="G2685" s="3">
        <v>6.2300000000000001E-2</v>
      </c>
      <c r="H2685" s="3">
        <v>9.2999999999999992E-3</v>
      </c>
      <c r="I2685" s="3">
        <v>2.2599999999999999E-2</v>
      </c>
      <c r="J2685" s="3">
        <v>0.25729999999999997</v>
      </c>
      <c r="K2685" s="3">
        <v>5.0000000000000001E-4</v>
      </c>
      <c r="L2685" s="3">
        <v>0.16880000000000001</v>
      </c>
      <c r="M2685" s="3">
        <v>9.2999999999999992E-3</v>
      </c>
      <c r="N2685" s="3">
        <v>8.9999999999999993E-3</v>
      </c>
      <c r="O2685" s="3">
        <v>0.14510000000000001</v>
      </c>
      <c r="P2685" s="3">
        <v>0.24579999999999999</v>
      </c>
      <c r="Q2685" s="3">
        <v>0.1452</v>
      </c>
      <c r="R2685" s="3">
        <v>4.3900000000000002E-2</v>
      </c>
      <c r="S2685" s="3">
        <v>5.4000000000000003E-3</v>
      </c>
      <c r="T2685" s="3">
        <v>6.08E-2</v>
      </c>
      <c r="U2685" s="3">
        <v>4.9700000000000001E-2</v>
      </c>
    </row>
    <row r="2687" spans="1:21" ht="45">
      <c r="A2687" s="22" t="s">
        <v>678</v>
      </c>
    </row>
    <row r="2688" spans="1:21">
      <c r="A2688" t="s">
        <v>185</v>
      </c>
      <c r="B2688" t="s">
        <v>186</v>
      </c>
      <c r="C2688" t="s">
        <v>192</v>
      </c>
      <c r="D2688" t="s">
        <v>184</v>
      </c>
      <c r="E2688" t="s">
        <v>193</v>
      </c>
      <c r="F2688" t="s">
        <v>659</v>
      </c>
      <c r="G2688" t="s">
        <v>660</v>
      </c>
      <c r="H2688" t="s">
        <v>257</v>
      </c>
      <c r="I2688" t="s">
        <v>661</v>
      </c>
      <c r="J2688" t="s">
        <v>662</v>
      </c>
      <c r="K2688" t="s">
        <v>663</v>
      </c>
      <c r="L2688" t="s">
        <v>274</v>
      </c>
      <c r="M2688" t="s">
        <v>664</v>
      </c>
      <c r="N2688" t="s">
        <v>665</v>
      </c>
      <c r="O2688" t="s">
        <v>666</v>
      </c>
      <c r="P2688" t="s">
        <v>667</v>
      </c>
      <c r="Q2688" t="s">
        <v>668</v>
      </c>
      <c r="R2688" t="s">
        <v>669</v>
      </c>
      <c r="S2688" t="s">
        <v>670</v>
      </c>
      <c r="T2688" t="s">
        <v>671</v>
      </c>
    </row>
    <row r="2689" spans="1:20" s="25" customFormat="1">
      <c r="A2689" s="25" t="s">
        <v>195</v>
      </c>
      <c r="B2689" s="25" t="s">
        <v>304</v>
      </c>
      <c r="C2689" s="25">
        <v>13</v>
      </c>
      <c r="D2689" s="25" t="s">
        <v>194</v>
      </c>
      <c r="E2689" s="25">
        <v>115</v>
      </c>
      <c r="I2689" s="26">
        <v>0.318</v>
      </c>
      <c r="L2689" s="26">
        <v>7.7399999999999997E-2</v>
      </c>
      <c r="N2689" s="26">
        <v>8.7599999999999997E-2</v>
      </c>
      <c r="O2689" s="26">
        <v>0.14949999999999999</v>
      </c>
      <c r="P2689" s="26">
        <v>0.34339999999999998</v>
      </c>
      <c r="S2689" s="26">
        <v>2.4199999999999999E-2</v>
      </c>
    </row>
    <row r="2690" spans="1:20">
      <c r="A2690" t="s">
        <v>195</v>
      </c>
      <c r="B2690" t="s">
        <v>305</v>
      </c>
      <c r="C2690">
        <v>36</v>
      </c>
      <c r="D2690" t="s">
        <v>194</v>
      </c>
      <c r="E2690">
        <v>115</v>
      </c>
      <c r="I2690" s="3">
        <v>0.2712</v>
      </c>
      <c r="J2690" s="3">
        <v>1.6000000000000001E-3</v>
      </c>
      <c r="K2690" s="3">
        <v>0.33200000000000002</v>
      </c>
      <c r="M2690" s="3">
        <v>2.5700000000000001E-2</v>
      </c>
      <c r="N2690" s="3">
        <v>0.223</v>
      </c>
      <c r="O2690" s="3">
        <v>0.31919999999999998</v>
      </c>
      <c r="P2690" s="3">
        <v>9.5299999999999996E-2</v>
      </c>
      <c r="S2690" s="3">
        <v>0.1656</v>
      </c>
      <c r="T2690" s="3">
        <v>2.46E-2</v>
      </c>
    </row>
    <row r="2691" spans="1:20" s="25" customFormat="1">
      <c r="A2691" s="25" t="s">
        <v>195</v>
      </c>
      <c r="B2691" s="25" t="s">
        <v>306</v>
      </c>
      <c r="C2691" s="25">
        <v>4</v>
      </c>
      <c r="D2691" s="25" t="s">
        <v>194</v>
      </c>
      <c r="E2691" s="25">
        <v>115</v>
      </c>
      <c r="I2691" s="26">
        <v>1</v>
      </c>
      <c r="K2691" s="26">
        <v>0.75</v>
      </c>
      <c r="N2691" s="26">
        <v>0.25</v>
      </c>
    </row>
    <row r="2692" spans="1:20" s="25" customFormat="1">
      <c r="A2692" s="25" t="s">
        <v>199</v>
      </c>
      <c r="B2692" s="25" t="s">
        <v>304</v>
      </c>
      <c r="C2692" s="25">
        <v>10</v>
      </c>
      <c r="D2692" s="25" t="s">
        <v>194</v>
      </c>
      <c r="E2692" s="25">
        <v>115</v>
      </c>
      <c r="I2692" s="26">
        <v>0.26939999999999997</v>
      </c>
      <c r="K2692" s="26">
        <v>8.9200000000000002E-2</v>
      </c>
      <c r="N2692" s="26">
        <v>5.9799999999999999E-2</v>
      </c>
      <c r="O2692" s="26">
        <v>7.5499999999999998E-2</v>
      </c>
      <c r="P2692" s="26">
        <v>5.62E-2</v>
      </c>
      <c r="R2692" s="26">
        <v>3.1E-2</v>
      </c>
      <c r="T2692" s="26">
        <v>0.47899999999999998</v>
      </c>
    </row>
    <row r="2693" spans="1:20">
      <c r="A2693" t="s">
        <v>199</v>
      </c>
      <c r="B2693" t="s">
        <v>305</v>
      </c>
      <c r="C2693">
        <v>49</v>
      </c>
      <c r="D2693" t="s">
        <v>194</v>
      </c>
      <c r="E2693">
        <v>115</v>
      </c>
      <c r="F2693" s="3">
        <v>0.1633</v>
      </c>
      <c r="G2693" s="3">
        <v>2.4299999999999999E-2</v>
      </c>
      <c r="H2693" s="3">
        <v>5.9299999999999999E-2</v>
      </c>
      <c r="I2693" s="3">
        <v>0.1542</v>
      </c>
      <c r="K2693" s="3">
        <v>3.5299999999999998E-2</v>
      </c>
      <c r="N2693" s="3">
        <v>0.10730000000000001</v>
      </c>
      <c r="O2693" s="3">
        <v>0.2341</v>
      </c>
      <c r="P2693" s="3">
        <v>0.17219999999999999</v>
      </c>
      <c r="Q2693" s="3">
        <v>0.11509999999999999</v>
      </c>
      <c r="R2693" s="3">
        <v>7.3000000000000001E-3</v>
      </c>
    </row>
    <row r="2694" spans="1:20" s="25" customFormat="1">
      <c r="A2694" s="25" t="s">
        <v>199</v>
      </c>
      <c r="B2694" s="25" t="s">
        <v>306</v>
      </c>
      <c r="C2694" s="25">
        <v>3</v>
      </c>
      <c r="D2694" s="25" t="s">
        <v>194</v>
      </c>
      <c r="E2694" s="25">
        <v>115</v>
      </c>
      <c r="O2694" s="26">
        <v>1</v>
      </c>
    </row>
    <row r="2695" spans="1:20">
      <c r="A2695" t="s">
        <v>200</v>
      </c>
      <c r="B2695" t="s">
        <v>200</v>
      </c>
      <c r="C2695">
        <v>115</v>
      </c>
      <c r="D2695" t="s">
        <v>200</v>
      </c>
      <c r="E2695">
        <v>115</v>
      </c>
      <c r="F2695" s="3">
        <v>6.2300000000000001E-2</v>
      </c>
      <c r="G2695" s="3">
        <v>9.2999999999999992E-3</v>
      </c>
      <c r="H2695" s="3">
        <v>2.2599999999999999E-2</v>
      </c>
      <c r="I2695" s="3">
        <v>0.25729999999999997</v>
      </c>
      <c r="J2695" s="3">
        <v>5.0000000000000001E-4</v>
      </c>
      <c r="K2695" s="3">
        <v>0.16880000000000001</v>
      </c>
      <c r="L2695" s="3">
        <v>9.2999999999999992E-3</v>
      </c>
      <c r="M2695" s="3">
        <v>8.9999999999999993E-3</v>
      </c>
      <c r="N2695" s="3">
        <v>0.14510000000000001</v>
      </c>
      <c r="O2695" s="3">
        <v>0.24579999999999999</v>
      </c>
      <c r="P2695" s="3">
        <v>0.1452</v>
      </c>
      <c r="Q2695" s="3">
        <v>4.3900000000000002E-2</v>
      </c>
      <c r="R2695" s="3">
        <v>5.4000000000000003E-3</v>
      </c>
      <c r="S2695" s="3">
        <v>6.08E-2</v>
      </c>
      <c r="T2695" s="3">
        <v>4.9700000000000001E-2</v>
      </c>
    </row>
    <row r="2697" spans="1:20" ht="45">
      <c r="A2697" s="22" t="s">
        <v>679</v>
      </c>
    </row>
    <row r="2698" spans="1:20">
      <c r="A2698" t="s">
        <v>185</v>
      </c>
      <c r="B2698" t="s">
        <v>186</v>
      </c>
      <c r="C2698" t="s">
        <v>192</v>
      </c>
      <c r="D2698" t="s">
        <v>184</v>
      </c>
      <c r="E2698" t="s">
        <v>193</v>
      </c>
      <c r="F2698" t="s">
        <v>659</v>
      </c>
      <c r="G2698" t="s">
        <v>660</v>
      </c>
      <c r="H2698" t="s">
        <v>257</v>
      </c>
      <c r="I2698" t="s">
        <v>661</v>
      </c>
      <c r="J2698" t="s">
        <v>662</v>
      </c>
      <c r="K2698" t="s">
        <v>663</v>
      </c>
      <c r="L2698" t="s">
        <v>274</v>
      </c>
      <c r="M2698" t="s">
        <v>664</v>
      </c>
      <c r="N2698" t="s">
        <v>665</v>
      </c>
      <c r="O2698" t="s">
        <v>666</v>
      </c>
      <c r="P2698" t="s">
        <v>667</v>
      </c>
      <c r="Q2698" t="s">
        <v>668</v>
      </c>
      <c r="R2698" t="s">
        <v>669</v>
      </c>
      <c r="S2698" t="s">
        <v>670</v>
      </c>
      <c r="T2698" t="s">
        <v>671</v>
      </c>
    </row>
    <row r="2699" spans="1:20" s="25" customFormat="1">
      <c r="A2699" s="25" t="s">
        <v>195</v>
      </c>
      <c r="B2699" s="25" t="s">
        <v>351</v>
      </c>
      <c r="C2699" s="25">
        <v>16</v>
      </c>
      <c r="D2699" s="25" t="s">
        <v>194</v>
      </c>
      <c r="E2699" s="25">
        <v>115</v>
      </c>
      <c r="I2699" s="26">
        <v>3.4799999999999998E-2</v>
      </c>
      <c r="K2699" s="26">
        <v>4.1500000000000002E-2</v>
      </c>
      <c r="L2699" s="26">
        <v>0.1129</v>
      </c>
      <c r="N2699" s="26">
        <v>3.4799999999999998E-2</v>
      </c>
      <c r="O2699" s="26">
        <v>0.25729999999999997</v>
      </c>
      <c r="P2699" s="26">
        <v>6.0900000000000003E-2</v>
      </c>
      <c r="S2699" s="26">
        <v>0.47520000000000001</v>
      </c>
      <c r="T2699" s="26">
        <v>9.74E-2</v>
      </c>
    </row>
    <row r="2700" spans="1:20" s="25" customFormat="1">
      <c r="A2700" s="25" t="s">
        <v>195</v>
      </c>
      <c r="B2700" s="25" t="s">
        <v>352</v>
      </c>
      <c r="C2700" s="25">
        <v>21</v>
      </c>
      <c r="D2700" s="25" t="s">
        <v>194</v>
      </c>
      <c r="E2700" s="25">
        <v>115</v>
      </c>
      <c r="I2700" s="26">
        <v>0.36799999999999999</v>
      </c>
      <c r="K2700" s="26">
        <v>0.25869999999999999</v>
      </c>
      <c r="N2700" s="26">
        <v>9.35E-2</v>
      </c>
      <c r="O2700" s="26">
        <v>0.27589999999999998</v>
      </c>
      <c r="P2700" s="26">
        <v>0.1908</v>
      </c>
    </row>
    <row r="2701" spans="1:20" s="25" customFormat="1">
      <c r="A2701" s="25" t="s">
        <v>195</v>
      </c>
      <c r="B2701" s="25" t="s">
        <v>353</v>
      </c>
      <c r="C2701" s="25">
        <v>7</v>
      </c>
      <c r="D2701" s="25" t="s">
        <v>194</v>
      </c>
      <c r="E2701" s="25">
        <v>115</v>
      </c>
      <c r="I2701" s="26">
        <v>0.16300000000000001</v>
      </c>
      <c r="J2701" s="26">
        <v>0.01</v>
      </c>
      <c r="K2701" s="26">
        <v>0.17069999999999999</v>
      </c>
      <c r="O2701" s="26">
        <v>0.17069999999999999</v>
      </c>
      <c r="P2701" s="26">
        <v>0.48559999999999998</v>
      </c>
      <c r="T2701" s="26">
        <v>0.01</v>
      </c>
    </row>
    <row r="2702" spans="1:20" s="25" customFormat="1">
      <c r="A2702" s="25" t="s">
        <v>195</v>
      </c>
      <c r="B2702" s="25" t="s">
        <v>354</v>
      </c>
      <c r="C2702" s="25">
        <v>4</v>
      </c>
      <c r="D2702" s="25" t="s">
        <v>194</v>
      </c>
      <c r="E2702" s="25">
        <v>115</v>
      </c>
      <c r="I2702" s="26">
        <v>0.81159999999999999</v>
      </c>
      <c r="K2702" s="26">
        <v>0.75729999999999997</v>
      </c>
      <c r="N2702" s="26">
        <v>0.75729999999999997</v>
      </c>
      <c r="O2702" s="26">
        <v>0.18840000000000001</v>
      </c>
    </row>
    <row r="2703" spans="1:20" s="25" customFormat="1">
      <c r="A2703" s="25" t="s">
        <v>199</v>
      </c>
      <c r="B2703" s="25" t="s">
        <v>351</v>
      </c>
      <c r="C2703" s="25">
        <v>19</v>
      </c>
      <c r="D2703" s="25" t="s">
        <v>194</v>
      </c>
      <c r="E2703" s="25">
        <v>115</v>
      </c>
      <c r="F2703" s="26">
        <v>0.1101</v>
      </c>
      <c r="H2703" s="26">
        <v>5.8299999999999998E-2</v>
      </c>
      <c r="I2703" s="26">
        <v>0.13950000000000001</v>
      </c>
      <c r="K2703" s="26">
        <v>0.05</v>
      </c>
      <c r="N2703" s="26">
        <v>0.15640000000000001</v>
      </c>
      <c r="O2703" s="26">
        <v>0.2203</v>
      </c>
      <c r="P2703" s="26">
        <v>2.18E-2</v>
      </c>
      <c r="R2703" s="26">
        <v>2.4799999999999999E-2</v>
      </c>
      <c r="T2703" s="26">
        <v>0.38400000000000001</v>
      </c>
    </row>
    <row r="2704" spans="1:20" s="25" customFormat="1">
      <c r="A2704" s="25" t="s">
        <v>199</v>
      </c>
      <c r="B2704" s="25" t="s">
        <v>352</v>
      </c>
      <c r="C2704" s="25">
        <v>11</v>
      </c>
      <c r="D2704" s="25" t="s">
        <v>194</v>
      </c>
      <c r="E2704" s="25">
        <v>115</v>
      </c>
      <c r="F2704" s="26">
        <v>0.35410000000000003</v>
      </c>
      <c r="H2704" s="26">
        <v>6.7100000000000007E-2</v>
      </c>
      <c r="I2704" s="26">
        <v>9.7900000000000001E-2</v>
      </c>
      <c r="K2704" s="26">
        <v>7.9000000000000008E-3</v>
      </c>
      <c r="O2704" s="26">
        <v>0.45019999999999999</v>
      </c>
      <c r="P2704" s="26">
        <v>2.1299999999999999E-2</v>
      </c>
      <c r="Q2704" s="26">
        <v>2.2800000000000001E-2</v>
      </c>
    </row>
    <row r="2705" spans="1:20" s="25" customFormat="1">
      <c r="A2705" s="25" t="s">
        <v>199</v>
      </c>
      <c r="B2705" s="25" t="s">
        <v>353</v>
      </c>
      <c r="C2705" s="25">
        <v>10</v>
      </c>
      <c r="D2705" s="25" t="s">
        <v>194</v>
      </c>
      <c r="E2705" s="25">
        <v>115</v>
      </c>
      <c r="H2705" s="26">
        <v>0.10390000000000001</v>
      </c>
      <c r="I2705" s="26">
        <v>2.46E-2</v>
      </c>
      <c r="K2705" s="26">
        <v>0.10059999999999999</v>
      </c>
      <c r="N2705" s="26">
        <v>3.3500000000000002E-2</v>
      </c>
      <c r="O2705" s="26">
        <v>0.157</v>
      </c>
      <c r="P2705" s="26">
        <v>0.54659999999999997</v>
      </c>
      <c r="R2705" s="26">
        <v>3.3799999999999997E-2</v>
      </c>
    </row>
    <row r="2706" spans="1:20" s="25" customFormat="1">
      <c r="A2706" s="25" t="s">
        <v>199</v>
      </c>
      <c r="B2706" s="25" t="s">
        <v>354</v>
      </c>
      <c r="C2706" s="25">
        <v>14</v>
      </c>
      <c r="D2706" s="25" t="s">
        <v>194</v>
      </c>
      <c r="E2706" s="25">
        <v>115</v>
      </c>
      <c r="I2706" s="26">
        <v>0.2727</v>
      </c>
      <c r="K2706" s="26">
        <v>5.9299999999999999E-2</v>
      </c>
      <c r="N2706" s="26">
        <v>0.2762</v>
      </c>
      <c r="O2706" s="26">
        <v>0.2127</v>
      </c>
      <c r="P2706" s="26">
        <v>0.214</v>
      </c>
    </row>
    <row r="2707" spans="1:20">
      <c r="A2707" t="s">
        <v>200</v>
      </c>
      <c r="B2707" t="s">
        <v>200</v>
      </c>
      <c r="C2707">
        <v>115</v>
      </c>
      <c r="D2707" t="s">
        <v>200</v>
      </c>
      <c r="E2707">
        <v>115</v>
      </c>
      <c r="F2707" s="3">
        <v>6.2300000000000001E-2</v>
      </c>
      <c r="G2707" s="3">
        <v>9.2999999999999992E-3</v>
      </c>
      <c r="H2707" s="3">
        <v>2.2599999999999999E-2</v>
      </c>
      <c r="I2707" s="3">
        <v>0.25729999999999997</v>
      </c>
      <c r="J2707" s="3">
        <v>5.0000000000000001E-4</v>
      </c>
      <c r="K2707" s="3">
        <v>0.16880000000000001</v>
      </c>
      <c r="L2707" s="3">
        <v>9.2999999999999992E-3</v>
      </c>
      <c r="M2707" s="3">
        <v>8.9999999999999993E-3</v>
      </c>
      <c r="N2707" s="3">
        <v>0.14510000000000001</v>
      </c>
      <c r="O2707" s="3">
        <v>0.24579999999999999</v>
      </c>
      <c r="P2707" s="3">
        <v>0.1452</v>
      </c>
      <c r="Q2707" s="3">
        <v>4.3900000000000002E-2</v>
      </c>
      <c r="R2707" s="3">
        <v>5.4000000000000003E-3</v>
      </c>
      <c r="S2707" s="3">
        <v>6.08E-2</v>
      </c>
      <c r="T2707" s="3">
        <v>4.9700000000000001E-2</v>
      </c>
    </row>
    <row r="2709" spans="1:20" ht="45">
      <c r="A2709" s="22" t="s">
        <v>680</v>
      </c>
    </row>
    <row r="2710" spans="1:20">
      <c r="A2710" t="s">
        <v>185</v>
      </c>
      <c r="B2710" t="s">
        <v>186</v>
      </c>
      <c r="C2710" t="s">
        <v>192</v>
      </c>
      <c r="D2710" t="s">
        <v>184</v>
      </c>
      <c r="E2710" t="s">
        <v>193</v>
      </c>
      <c r="F2710" t="s">
        <v>659</v>
      </c>
      <c r="G2710" t="s">
        <v>660</v>
      </c>
      <c r="H2710" t="s">
        <v>257</v>
      </c>
      <c r="I2710" t="s">
        <v>661</v>
      </c>
      <c r="J2710" t="s">
        <v>662</v>
      </c>
      <c r="K2710" t="s">
        <v>663</v>
      </c>
      <c r="L2710" t="s">
        <v>274</v>
      </c>
      <c r="M2710" t="s">
        <v>664</v>
      </c>
      <c r="N2710" t="s">
        <v>665</v>
      </c>
      <c r="O2710" t="s">
        <v>666</v>
      </c>
      <c r="P2710" t="s">
        <v>667</v>
      </c>
      <c r="Q2710" t="s">
        <v>668</v>
      </c>
      <c r="R2710" t="s">
        <v>669</v>
      </c>
      <c r="S2710" t="s">
        <v>670</v>
      </c>
      <c r="T2710" t="s">
        <v>671</v>
      </c>
    </row>
    <row r="2711" spans="1:20" s="25" customFormat="1">
      <c r="A2711" s="25" t="s">
        <v>195</v>
      </c>
      <c r="B2711" s="25" t="s">
        <v>217</v>
      </c>
      <c r="C2711" s="25">
        <v>24</v>
      </c>
      <c r="D2711" s="25" t="s">
        <v>194</v>
      </c>
      <c r="E2711" s="25">
        <v>115</v>
      </c>
      <c r="I2711" s="26">
        <v>0.30969999999999998</v>
      </c>
      <c r="J2711" s="26">
        <v>2E-3</v>
      </c>
      <c r="K2711" s="26">
        <v>0.38009999999999999</v>
      </c>
      <c r="M2711" s="26">
        <v>3.2099999999999997E-2</v>
      </c>
      <c r="N2711" s="26">
        <v>0.26869999999999999</v>
      </c>
      <c r="O2711" s="26">
        <v>0.33560000000000001</v>
      </c>
      <c r="P2711" s="26">
        <v>2E-3</v>
      </c>
      <c r="S2711" s="26">
        <v>0.2072</v>
      </c>
      <c r="T2711" s="26">
        <v>3.0800000000000001E-2</v>
      </c>
    </row>
    <row r="2712" spans="1:20" s="25" customFormat="1">
      <c r="A2712" s="25" t="s">
        <v>195</v>
      </c>
      <c r="B2712" s="25" t="s">
        <v>219</v>
      </c>
      <c r="C2712" s="25">
        <v>18</v>
      </c>
      <c r="D2712" s="25" t="s">
        <v>194</v>
      </c>
      <c r="E2712" s="25">
        <v>115</v>
      </c>
      <c r="I2712" s="26">
        <v>0.2747</v>
      </c>
      <c r="L2712" s="26">
        <v>6.4399999999999999E-2</v>
      </c>
      <c r="N2712" s="26">
        <v>7.2900000000000006E-2</v>
      </c>
      <c r="O2712" s="26">
        <v>0.24729999999999999</v>
      </c>
      <c r="P2712" s="26">
        <v>0.3206</v>
      </c>
      <c r="S2712" s="26">
        <v>2.0199999999999999E-2</v>
      </c>
    </row>
    <row r="2713" spans="1:20" s="25" customFormat="1">
      <c r="A2713" s="25" t="s">
        <v>195</v>
      </c>
      <c r="B2713" s="25" t="s">
        <v>220</v>
      </c>
      <c r="C2713" s="25">
        <v>11</v>
      </c>
      <c r="D2713" s="25" t="s">
        <v>194</v>
      </c>
      <c r="E2713" s="25">
        <v>115</v>
      </c>
      <c r="I2713" s="26">
        <v>0.55710000000000004</v>
      </c>
      <c r="K2713" s="26">
        <v>0.47189999999999999</v>
      </c>
      <c r="N2713" s="26">
        <v>0.15260000000000001</v>
      </c>
      <c r="P2713" s="26">
        <v>0.31440000000000001</v>
      </c>
    </row>
    <row r="2714" spans="1:20">
      <c r="A2714" t="s">
        <v>199</v>
      </c>
      <c r="B2714" t="s">
        <v>217</v>
      </c>
      <c r="C2714">
        <v>34</v>
      </c>
      <c r="D2714" t="s">
        <v>194</v>
      </c>
      <c r="E2714">
        <v>115</v>
      </c>
      <c r="F2714" s="3">
        <v>0.1522</v>
      </c>
      <c r="G2714" s="3">
        <v>2.8000000000000001E-2</v>
      </c>
      <c r="H2714" s="3">
        <v>4.2299999999999997E-2</v>
      </c>
      <c r="I2714" s="3">
        <v>0.1583</v>
      </c>
      <c r="K2714" s="3">
        <v>2.5000000000000001E-2</v>
      </c>
      <c r="N2714" s="3">
        <v>7.9500000000000001E-2</v>
      </c>
      <c r="O2714" s="3">
        <v>0.20630000000000001</v>
      </c>
      <c r="P2714" s="3">
        <v>0.1978</v>
      </c>
      <c r="Q2714" s="3">
        <v>0.1323</v>
      </c>
      <c r="R2714" s="3">
        <v>8.3999999999999995E-3</v>
      </c>
    </row>
    <row r="2715" spans="1:20" s="25" customFormat="1">
      <c r="A2715" s="25" t="s">
        <v>199</v>
      </c>
      <c r="B2715" s="25" t="s">
        <v>219</v>
      </c>
      <c r="C2715" s="25">
        <v>20</v>
      </c>
      <c r="D2715" s="25" t="s">
        <v>194</v>
      </c>
      <c r="E2715" s="25">
        <v>115</v>
      </c>
      <c r="H2715" s="26">
        <v>7.1499999999999994E-2</v>
      </c>
      <c r="I2715" s="26">
        <v>0.19259999999999999</v>
      </c>
      <c r="K2715" s="26">
        <v>0.1036</v>
      </c>
      <c r="N2715" s="26">
        <v>4.2700000000000002E-2</v>
      </c>
      <c r="O2715" s="26">
        <v>0.22770000000000001</v>
      </c>
      <c r="P2715" s="26">
        <v>4.02E-2</v>
      </c>
      <c r="R2715" s="26">
        <v>2.2100000000000002E-2</v>
      </c>
      <c r="T2715" s="26">
        <v>0.34239999999999998</v>
      </c>
    </row>
    <row r="2716" spans="1:20" s="25" customFormat="1">
      <c r="A2716" s="25" t="s">
        <v>199</v>
      </c>
      <c r="B2716" s="25" t="s">
        <v>220</v>
      </c>
      <c r="C2716" s="25">
        <v>8</v>
      </c>
      <c r="D2716" s="25" t="s">
        <v>194</v>
      </c>
      <c r="E2716" s="25">
        <v>115</v>
      </c>
      <c r="F2716" s="26">
        <v>0.32890000000000003</v>
      </c>
      <c r="I2716" s="26">
        <v>0.17549999999999999</v>
      </c>
      <c r="K2716" s="26">
        <v>1.0999999999999999E-2</v>
      </c>
      <c r="N2716" s="26">
        <v>0.40610000000000002</v>
      </c>
      <c r="O2716" s="26">
        <v>0.57179999999999997</v>
      </c>
    </row>
    <row r="2717" spans="1:20">
      <c r="A2717" t="s">
        <v>200</v>
      </c>
      <c r="B2717" t="s">
        <v>200</v>
      </c>
      <c r="C2717">
        <v>115</v>
      </c>
      <c r="D2717" t="s">
        <v>200</v>
      </c>
      <c r="E2717">
        <v>115</v>
      </c>
      <c r="F2717" s="3">
        <v>6.2300000000000001E-2</v>
      </c>
      <c r="G2717" s="3">
        <v>9.2999999999999992E-3</v>
      </c>
      <c r="H2717" s="3">
        <v>2.2599999999999999E-2</v>
      </c>
      <c r="I2717" s="3">
        <v>0.25729999999999997</v>
      </c>
      <c r="J2717" s="3">
        <v>5.0000000000000001E-4</v>
      </c>
      <c r="K2717" s="3">
        <v>0.16880000000000001</v>
      </c>
      <c r="L2717" s="3">
        <v>9.2999999999999992E-3</v>
      </c>
      <c r="M2717" s="3">
        <v>8.9999999999999993E-3</v>
      </c>
      <c r="N2717" s="3">
        <v>0.14510000000000001</v>
      </c>
      <c r="O2717" s="3">
        <v>0.24579999999999999</v>
      </c>
      <c r="P2717" s="3">
        <v>0.1452</v>
      </c>
      <c r="Q2717" s="3">
        <v>4.3900000000000002E-2</v>
      </c>
      <c r="R2717" s="3">
        <v>5.4000000000000003E-3</v>
      </c>
      <c r="S2717" s="3">
        <v>6.08E-2</v>
      </c>
      <c r="T2717" s="3">
        <v>4.9700000000000001E-2</v>
      </c>
    </row>
    <row r="2719" spans="1:20" ht="60">
      <c r="A2719" s="22" t="s">
        <v>681</v>
      </c>
    </row>
    <row r="2720" spans="1:20">
      <c r="A2720" t="s">
        <v>185</v>
      </c>
      <c r="B2720" t="s">
        <v>186</v>
      </c>
      <c r="C2720" t="s">
        <v>192</v>
      </c>
      <c r="D2720" t="s">
        <v>184</v>
      </c>
      <c r="E2720" t="s">
        <v>193</v>
      </c>
      <c r="F2720" t="s">
        <v>257</v>
      </c>
      <c r="G2720" t="s">
        <v>226</v>
      </c>
      <c r="H2720" t="s">
        <v>247</v>
      </c>
      <c r="I2720" t="s">
        <v>227</v>
      </c>
    </row>
    <row r="2721" spans="1:9">
      <c r="A2721" t="s">
        <v>195</v>
      </c>
      <c r="B2721" t="s">
        <v>196</v>
      </c>
      <c r="C2721">
        <v>194</v>
      </c>
      <c r="D2721" t="s">
        <v>194</v>
      </c>
      <c r="E2721">
        <v>1186</v>
      </c>
      <c r="G2721" s="3">
        <v>0.64949999999999997</v>
      </c>
      <c r="I2721" s="3">
        <v>0.35049999999999998</v>
      </c>
    </row>
    <row r="2722" spans="1:9">
      <c r="A2722" t="s">
        <v>195</v>
      </c>
      <c r="B2722" t="s">
        <v>198</v>
      </c>
      <c r="C2722">
        <v>330</v>
      </c>
      <c r="D2722" t="s">
        <v>194</v>
      </c>
      <c r="E2722">
        <v>1186</v>
      </c>
      <c r="F2722" s="3">
        <v>4.3E-3</v>
      </c>
      <c r="G2722" s="3">
        <v>0.77339999999999998</v>
      </c>
      <c r="H2722" s="3">
        <v>5.9999999999999995E-4</v>
      </c>
      <c r="I2722" s="3">
        <v>0.22170000000000001</v>
      </c>
    </row>
    <row r="2723" spans="1:9">
      <c r="A2723" t="s">
        <v>199</v>
      </c>
      <c r="B2723" t="s">
        <v>196</v>
      </c>
      <c r="C2723">
        <v>250</v>
      </c>
      <c r="D2723" t="s">
        <v>194</v>
      </c>
      <c r="E2723">
        <v>1186</v>
      </c>
      <c r="G2723" s="3">
        <v>0.74409999999999998</v>
      </c>
      <c r="I2723" s="3">
        <v>0.25590000000000002</v>
      </c>
    </row>
    <row r="2724" spans="1:9">
      <c r="A2724" t="s">
        <v>199</v>
      </c>
      <c r="B2724" t="s">
        <v>198</v>
      </c>
      <c r="C2724">
        <v>393</v>
      </c>
      <c r="D2724" t="s">
        <v>194</v>
      </c>
      <c r="E2724">
        <v>1186</v>
      </c>
      <c r="G2724" s="3">
        <v>0.77370000000000005</v>
      </c>
      <c r="I2724" s="3">
        <v>0.2263</v>
      </c>
    </row>
    <row r="2725" spans="1:9">
      <c r="A2725" t="s">
        <v>200</v>
      </c>
      <c r="B2725" t="s">
        <v>200</v>
      </c>
      <c r="C2725">
        <v>1186</v>
      </c>
      <c r="D2725" t="s">
        <v>200</v>
      </c>
      <c r="E2725">
        <v>1186</v>
      </c>
      <c r="F2725" s="3">
        <v>1.4E-3</v>
      </c>
      <c r="G2725" s="3">
        <v>0.75539999999999996</v>
      </c>
      <c r="H2725" s="3">
        <v>2.0000000000000001E-4</v>
      </c>
      <c r="I2725" s="3">
        <v>0.24299999999999999</v>
      </c>
    </row>
    <row r="2727" spans="1:9" ht="60">
      <c r="A2727" s="22" t="s">
        <v>682</v>
      </c>
    </row>
    <row r="2728" spans="1:9">
      <c r="A2728" t="s">
        <v>185</v>
      </c>
      <c r="B2728" t="s">
        <v>186</v>
      </c>
      <c r="C2728" t="s">
        <v>192</v>
      </c>
      <c r="D2728" t="s">
        <v>184</v>
      </c>
      <c r="E2728" t="s">
        <v>193</v>
      </c>
      <c r="F2728" t="s">
        <v>257</v>
      </c>
      <c r="G2728" t="s">
        <v>226</v>
      </c>
      <c r="H2728" t="s">
        <v>247</v>
      </c>
      <c r="I2728" t="s">
        <v>227</v>
      </c>
    </row>
    <row r="2729" spans="1:9">
      <c r="A2729" t="s">
        <v>195</v>
      </c>
      <c r="B2729" t="s">
        <v>202</v>
      </c>
      <c r="C2729">
        <v>226</v>
      </c>
      <c r="D2729" t="s">
        <v>194</v>
      </c>
      <c r="E2729">
        <v>1186</v>
      </c>
      <c r="F2729" s="3">
        <v>4.8999999999999998E-3</v>
      </c>
      <c r="G2729" s="3">
        <v>0.73229999999999995</v>
      </c>
      <c r="I2729" s="3">
        <v>0.26279999999999998</v>
      </c>
    </row>
    <row r="2730" spans="1:9">
      <c r="A2730" t="s">
        <v>195</v>
      </c>
      <c r="B2730" t="s">
        <v>204</v>
      </c>
      <c r="C2730">
        <v>153</v>
      </c>
      <c r="D2730" t="s">
        <v>194</v>
      </c>
      <c r="E2730">
        <v>1186</v>
      </c>
      <c r="G2730" s="3">
        <v>0.77510000000000001</v>
      </c>
      <c r="H2730" s="3">
        <v>1.9E-3</v>
      </c>
      <c r="I2730" s="3">
        <v>0.223</v>
      </c>
    </row>
    <row r="2731" spans="1:9">
      <c r="A2731" t="s">
        <v>195</v>
      </c>
      <c r="B2731" t="s">
        <v>205</v>
      </c>
      <c r="C2731">
        <v>145</v>
      </c>
      <c r="D2731" t="s">
        <v>194</v>
      </c>
      <c r="E2731">
        <v>1186</v>
      </c>
      <c r="G2731" s="3">
        <v>0.72629999999999995</v>
      </c>
      <c r="I2731" s="3">
        <v>0.2737</v>
      </c>
    </row>
    <row r="2732" spans="1:9">
      <c r="A2732" t="s">
        <v>199</v>
      </c>
      <c r="B2732" t="s">
        <v>202</v>
      </c>
      <c r="C2732">
        <v>220</v>
      </c>
      <c r="D2732" t="s">
        <v>194</v>
      </c>
      <c r="E2732">
        <v>1186</v>
      </c>
      <c r="G2732" s="3">
        <v>0.75129999999999997</v>
      </c>
      <c r="I2732" s="3">
        <v>0.2487</v>
      </c>
    </row>
    <row r="2733" spans="1:9">
      <c r="A2733" t="s">
        <v>199</v>
      </c>
      <c r="B2733" t="s">
        <v>204</v>
      </c>
      <c r="C2733">
        <v>175</v>
      </c>
      <c r="D2733" t="s">
        <v>194</v>
      </c>
      <c r="E2733">
        <v>1186</v>
      </c>
      <c r="G2733" s="3">
        <v>0.84060000000000001</v>
      </c>
      <c r="I2733" s="3">
        <v>0.15939999999999999</v>
      </c>
    </row>
    <row r="2734" spans="1:9">
      <c r="A2734" t="s">
        <v>199</v>
      </c>
      <c r="B2734" t="s">
        <v>205</v>
      </c>
      <c r="C2734">
        <v>248</v>
      </c>
      <c r="D2734" t="s">
        <v>194</v>
      </c>
      <c r="E2734">
        <v>1186</v>
      </c>
      <c r="G2734" s="3">
        <v>0.74529999999999996</v>
      </c>
      <c r="I2734" s="3">
        <v>0.25469999999999998</v>
      </c>
    </row>
    <row r="2735" spans="1:9">
      <c r="A2735" t="s">
        <v>200</v>
      </c>
      <c r="B2735" t="s">
        <v>200</v>
      </c>
      <c r="C2735">
        <v>1186</v>
      </c>
      <c r="D2735" t="s">
        <v>200</v>
      </c>
      <c r="E2735">
        <v>1186</v>
      </c>
      <c r="F2735" s="3">
        <v>1.4E-3</v>
      </c>
      <c r="G2735" s="3">
        <v>0.75539999999999996</v>
      </c>
      <c r="H2735" s="3">
        <v>2.0000000000000001E-4</v>
      </c>
      <c r="I2735" s="3">
        <v>0.24299999999999999</v>
      </c>
    </row>
    <row r="2737" spans="1:9" ht="60">
      <c r="A2737" s="22" t="s">
        <v>683</v>
      </c>
    </row>
    <row r="2738" spans="1:9">
      <c r="A2738" t="s">
        <v>185</v>
      </c>
      <c r="B2738" t="s">
        <v>186</v>
      </c>
      <c r="C2738" t="s">
        <v>192</v>
      </c>
      <c r="D2738" t="s">
        <v>184</v>
      </c>
      <c r="E2738" t="s">
        <v>193</v>
      </c>
      <c r="F2738" t="s">
        <v>257</v>
      </c>
      <c r="G2738" t="s">
        <v>226</v>
      </c>
      <c r="H2738" t="s">
        <v>247</v>
      </c>
      <c r="I2738" t="s">
        <v>227</v>
      </c>
    </row>
    <row r="2739" spans="1:9">
      <c r="A2739" t="s">
        <v>195</v>
      </c>
      <c r="B2739" t="s">
        <v>207</v>
      </c>
      <c r="C2739">
        <v>113</v>
      </c>
      <c r="D2739" t="s">
        <v>194</v>
      </c>
      <c r="E2739">
        <v>1186</v>
      </c>
      <c r="G2739" s="3">
        <v>0.66990000000000005</v>
      </c>
      <c r="I2739" s="3">
        <v>0.3301</v>
      </c>
    </row>
    <row r="2740" spans="1:9">
      <c r="A2740" t="s">
        <v>195</v>
      </c>
      <c r="B2740" t="s">
        <v>209</v>
      </c>
      <c r="C2740">
        <v>422</v>
      </c>
      <c r="D2740" t="s">
        <v>194</v>
      </c>
      <c r="E2740">
        <v>1186</v>
      </c>
      <c r="F2740" s="3">
        <v>4.1000000000000003E-3</v>
      </c>
      <c r="G2740" s="3">
        <v>0.7601</v>
      </c>
      <c r="H2740" s="3">
        <v>5.0000000000000001E-4</v>
      </c>
      <c r="I2740" s="3">
        <v>0.23530000000000001</v>
      </c>
    </row>
    <row r="2741" spans="1:9">
      <c r="A2741" t="s">
        <v>199</v>
      </c>
      <c r="B2741" t="s">
        <v>207</v>
      </c>
      <c r="C2741">
        <v>101</v>
      </c>
      <c r="D2741" t="s">
        <v>194</v>
      </c>
      <c r="E2741">
        <v>1186</v>
      </c>
      <c r="G2741" s="3">
        <v>0.51719999999999999</v>
      </c>
      <c r="I2741" s="3">
        <v>0.48280000000000001</v>
      </c>
    </row>
    <row r="2742" spans="1:9">
      <c r="A2742" t="s">
        <v>199</v>
      </c>
      <c r="B2742" t="s">
        <v>209</v>
      </c>
      <c r="C2742">
        <v>550</v>
      </c>
      <c r="D2742" t="s">
        <v>194</v>
      </c>
      <c r="E2742">
        <v>1186</v>
      </c>
      <c r="G2742" s="3">
        <v>0.80689999999999995</v>
      </c>
      <c r="I2742" s="3">
        <v>0.19309999999999999</v>
      </c>
    </row>
    <row r="2743" spans="1:9">
      <c r="A2743" t="s">
        <v>200</v>
      </c>
      <c r="B2743" t="s">
        <v>200</v>
      </c>
      <c r="C2743">
        <v>1186</v>
      </c>
      <c r="D2743" t="s">
        <v>200</v>
      </c>
      <c r="E2743">
        <v>1186</v>
      </c>
      <c r="F2743" s="3">
        <v>1.4E-3</v>
      </c>
      <c r="G2743" s="3">
        <v>0.75539999999999996</v>
      </c>
      <c r="H2743" s="3">
        <v>2.0000000000000001E-4</v>
      </c>
      <c r="I2743" s="3">
        <v>0.24299999999999999</v>
      </c>
    </row>
    <row r="2745" spans="1:9" ht="60">
      <c r="A2745" s="22" t="s">
        <v>684</v>
      </c>
    </row>
    <row r="2746" spans="1:9">
      <c r="A2746" t="s">
        <v>185</v>
      </c>
      <c r="B2746" t="s">
        <v>192</v>
      </c>
      <c r="C2746" t="s">
        <v>184</v>
      </c>
      <c r="D2746" t="s">
        <v>193</v>
      </c>
      <c r="E2746" t="s">
        <v>257</v>
      </c>
      <c r="F2746" t="s">
        <v>226</v>
      </c>
      <c r="G2746" t="s">
        <v>247</v>
      </c>
      <c r="H2746" t="s">
        <v>227</v>
      </c>
    </row>
    <row r="2747" spans="1:9">
      <c r="A2747" t="s">
        <v>195</v>
      </c>
      <c r="B2747">
        <v>535</v>
      </c>
      <c r="C2747" t="s">
        <v>194</v>
      </c>
      <c r="D2747">
        <v>1186</v>
      </c>
      <c r="E2747" s="3">
        <v>3.2000000000000002E-3</v>
      </c>
      <c r="F2747" s="3">
        <v>0.74039999999999995</v>
      </c>
      <c r="G2747" s="3">
        <v>4.0000000000000002E-4</v>
      </c>
      <c r="H2747" s="3">
        <v>0.25600000000000001</v>
      </c>
    </row>
    <row r="2748" spans="1:9">
      <c r="A2748" t="s">
        <v>199</v>
      </c>
      <c r="B2748">
        <v>651</v>
      </c>
      <c r="C2748" t="s">
        <v>194</v>
      </c>
      <c r="D2748">
        <v>1186</v>
      </c>
      <c r="F2748" s="3">
        <v>0.76739999999999997</v>
      </c>
      <c r="H2748" s="3">
        <v>0.2326</v>
      </c>
    </row>
    <row r="2749" spans="1:9">
      <c r="A2749" t="s">
        <v>200</v>
      </c>
      <c r="B2749">
        <v>1186</v>
      </c>
      <c r="C2749" t="s">
        <v>200</v>
      </c>
      <c r="D2749">
        <v>1186</v>
      </c>
      <c r="E2749" s="3">
        <v>1.4E-3</v>
      </c>
      <c r="F2749" s="3">
        <v>0.75539999999999996</v>
      </c>
      <c r="G2749" s="3">
        <v>2.0000000000000001E-4</v>
      </c>
      <c r="H2749" s="3">
        <v>0.24299999999999999</v>
      </c>
    </row>
    <row r="2751" spans="1:9" ht="60">
      <c r="A2751" s="22" t="s">
        <v>685</v>
      </c>
    </row>
    <row r="2752" spans="1:9">
      <c r="A2752" t="s">
        <v>185</v>
      </c>
      <c r="B2752" t="s">
        <v>186</v>
      </c>
      <c r="C2752" t="s">
        <v>192</v>
      </c>
      <c r="D2752" t="s">
        <v>184</v>
      </c>
      <c r="E2752" t="s">
        <v>193</v>
      </c>
      <c r="F2752" t="s">
        <v>257</v>
      </c>
      <c r="G2752" t="s">
        <v>226</v>
      </c>
      <c r="H2752" t="s">
        <v>247</v>
      </c>
      <c r="I2752" t="s">
        <v>227</v>
      </c>
    </row>
    <row r="2753" spans="1:9">
      <c r="A2753" t="s">
        <v>195</v>
      </c>
      <c r="B2753" t="s">
        <v>212</v>
      </c>
      <c r="C2753">
        <v>422</v>
      </c>
      <c r="D2753" t="s">
        <v>194</v>
      </c>
      <c r="E2753">
        <v>1186</v>
      </c>
      <c r="F2753" s="3">
        <v>3.8999999999999998E-3</v>
      </c>
      <c r="G2753" s="3">
        <v>0.75239999999999996</v>
      </c>
      <c r="H2753" s="3">
        <v>5.0000000000000001E-4</v>
      </c>
      <c r="I2753" s="3">
        <v>0.2432</v>
      </c>
    </row>
    <row r="2754" spans="1:9">
      <c r="A2754" t="s">
        <v>195</v>
      </c>
      <c r="B2754" t="s">
        <v>215</v>
      </c>
      <c r="C2754">
        <v>113</v>
      </c>
      <c r="D2754" t="s">
        <v>194</v>
      </c>
      <c r="E2754">
        <v>1186</v>
      </c>
      <c r="G2754" s="3">
        <v>0.68330000000000002</v>
      </c>
      <c r="I2754" s="3">
        <v>0.31669999999999998</v>
      </c>
    </row>
    <row r="2755" spans="1:9">
      <c r="A2755" t="s">
        <v>199</v>
      </c>
      <c r="B2755" t="s">
        <v>212</v>
      </c>
      <c r="C2755">
        <v>503</v>
      </c>
      <c r="D2755" t="s">
        <v>194</v>
      </c>
      <c r="E2755">
        <v>1186</v>
      </c>
      <c r="G2755" s="3">
        <v>0.77539999999999998</v>
      </c>
      <c r="I2755" s="3">
        <v>0.22459999999999999</v>
      </c>
    </row>
    <row r="2756" spans="1:9">
      <c r="A2756" t="s">
        <v>199</v>
      </c>
      <c r="B2756" t="s">
        <v>215</v>
      </c>
      <c r="C2756">
        <v>148</v>
      </c>
      <c r="D2756" t="s">
        <v>194</v>
      </c>
      <c r="E2756">
        <v>1186</v>
      </c>
      <c r="G2756" s="3">
        <v>0.73270000000000002</v>
      </c>
      <c r="I2756" s="3">
        <v>0.26729999999999998</v>
      </c>
    </row>
    <row r="2757" spans="1:9">
      <c r="A2757" t="s">
        <v>200</v>
      </c>
      <c r="B2757" t="s">
        <v>200</v>
      </c>
      <c r="C2757">
        <v>1186</v>
      </c>
      <c r="D2757" t="s">
        <v>200</v>
      </c>
      <c r="E2757">
        <v>1186</v>
      </c>
      <c r="F2757" s="3">
        <v>1.4E-3</v>
      </c>
      <c r="G2757" s="3">
        <v>0.75539999999999996</v>
      </c>
      <c r="H2757" s="3">
        <v>2.0000000000000001E-4</v>
      </c>
      <c r="I2757" s="3">
        <v>0.24299999999999999</v>
      </c>
    </row>
    <row r="2759" spans="1:9" ht="60">
      <c r="A2759" s="22" t="s">
        <v>686</v>
      </c>
    </row>
    <row r="2760" spans="1:9">
      <c r="A2760" t="s">
        <v>185</v>
      </c>
      <c r="B2760" t="s">
        <v>186</v>
      </c>
      <c r="C2760" t="s">
        <v>192</v>
      </c>
      <c r="D2760" t="s">
        <v>184</v>
      </c>
      <c r="E2760" t="s">
        <v>193</v>
      </c>
      <c r="F2760" t="s">
        <v>257</v>
      </c>
      <c r="G2760" t="s">
        <v>226</v>
      </c>
      <c r="H2760" t="s">
        <v>247</v>
      </c>
      <c r="I2760" t="s">
        <v>227</v>
      </c>
    </row>
    <row r="2761" spans="1:9">
      <c r="A2761" t="s">
        <v>195</v>
      </c>
      <c r="B2761" t="s">
        <v>304</v>
      </c>
      <c r="C2761">
        <v>150</v>
      </c>
      <c r="D2761" t="s">
        <v>194</v>
      </c>
      <c r="E2761">
        <v>1186</v>
      </c>
      <c r="G2761" s="3">
        <v>0.77490000000000003</v>
      </c>
      <c r="H2761" s="3">
        <v>1.6999999999999999E-3</v>
      </c>
      <c r="I2761" s="3">
        <v>0.2235</v>
      </c>
    </row>
    <row r="2762" spans="1:9">
      <c r="A2762" t="s">
        <v>195</v>
      </c>
      <c r="B2762" t="s">
        <v>305</v>
      </c>
      <c r="C2762">
        <v>370</v>
      </c>
      <c r="D2762" t="s">
        <v>194</v>
      </c>
      <c r="E2762">
        <v>1186</v>
      </c>
      <c r="F2762" s="3">
        <v>4.4000000000000003E-3</v>
      </c>
      <c r="G2762" s="3">
        <v>0.73019999999999996</v>
      </c>
      <c r="I2762" s="3">
        <v>0.26540000000000002</v>
      </c>
    </row>
    <row r="2763" spans="1:9" s="25" customFormat="1">
      <c r="A2763" s="25" t="s">
        <v>195</v>
      </c>
      <c r="B2763" s="25" t="s">
        <v>306</v>
      </c>
      <c r="C2763" s="25">
        <v>5</v>
      </c>
      <c r="D2763" s="25" t="s">
        <v>194</v>
      </c>
      <c r="E2763" s="25">
        <v>1186</v>
      </c>
      <c r="G2763" s="26">
        <v>0.6633</v>
      </c>
      <c r="I2763" s="26">
        <v>0.3367</v>
      </c>
    </row>
    <row r="2764" spans="1:9" s="25" customFormat="1">
      <c r="A2764" s="25" t="s">
        <v>195</v>
      </c>
      <c r="B2764" s="25" t="s">
        <v>307</v>
      </c>
      <c r="C2764" s="25">
        <v>10</v>
      </c>
      <c r="D2764" s="25" t="s">
        <v>194</v>
      </c>
      <c r="E2764" s="25">
        <v>1186</v>
      </c>
      <c r="G2764" s="26">
        <v>0.7046</v>
      </c>
      <c r="I2764" s="26">
        <v>0.2954</v>
      </c>
    </row>
    <row r="2765" spans="1:9">
      <c r="A2765" t="s">
        <v>199</v>
      </c>
      <c r="B2765" t="s">
        <v>304</v>
      </c>
      <c r="C2765">
        <v>84</v>
      </c>
      <c r="D2765" t="s">
        <v>194</v>
      </c>
      <c r="E2765">
        <v>1186</v>
      </c>
      <c r="G2765" s="3">
        <v>0.67469999999999997</v>
      </c>
      <c r="I2765" s="3">
        <v>0.32529999999999998</v>
      </c>
    </row>
    <row r="2766" spans="1:9">
      <c r="A2766" t="s">
        <v>199</v>
      </c>
      <c r="B2766" t="s">
        <v>305</v>
      </c>
      <c r="C2766">
        <v>547</v>
      </c>
      <c r="D2766" t="s">
        <v>194</v>
      </c>
      <c r="E2766">
        <v>1186</v>
      </c>
      <c r="G2766" s="3">
        <v>0.77029999999999998</v>
      </c>
      <c r="I2766" s="3">
        <v>0.22969999999999999</v>
      </c>
    </row>
    <row r="2767" spans="1:9" s="25" customFormat="1">
      <c r="A2767" s="25" t="s">
        <v>199</v>
      </c>
      <c r="B2767" s="25" t="s">
        <v>306</v>
      </c>
      <c r="C2767" s="25">
        <v>4</v>
      </c>
      <c r="D2767" s="25" t="s">
        <v>194</v>
      </c>
      <c r="E2767" s="25">
        <v>1186</v>
      </c>
      <c r="G2767" s="26">
        <v>1</v>
      </c>
    </row>
    <row r="2768" spans="1:9" s="25" customFormat="1">
      <c r="A2768" s="25" t="s">
        <v>199</v>
      </c>
      <c r="B2768" s="25" t="s">
        <v>307</v>
      </c>
      <c r="C2768" s="25">
        <v>16</v>
      </c>
      <c r="D2768" s="25" t="s">
        <v>194</v>
      </c>
      <c r="E2768" s="25">
        <v>1186</v>
      </c>
      <c r="G2768" s="26">
        <v>0.99750000000000005</v>
      </c>
      <c r="I2768" s="26">
        <v>2.5000000000000001E-3</v>
      </c>
    </row>
    <row r="2769" spans="1:9">
      <c r="A2769" t="s">
        <v>200</v>
      </c>
      <c r="B2769" t="s">
        <v>200</v>
      </c>
      <c r="C2769">
        <v>1186</v>
      </c>
      <c r="D2769" t="s">
        <v>200</v>
      </c>
      <c r="E2769">
        <v>1186</v>
      </c>
      <c r="F2769" s="3">
        <v>1.4E-3</v>
      </c>
      <c r="G2769" s="3">
        <v>0.75539999999999996</v>
      </c>
      <c r="H2769" s="3">
        <v>2.0000000000000001E-4</v>
      </c>
      <c r="I2769" s="3">
        <v>0.24299999999999999</v>
      </c>
    </row>
    <row r="2771" spans="1:9" ht="60">
      <c r="A2771" s="22" t="s">
        <v>687</v>
      </c>
    </row>
    <row r="2772" spans="1:9">
      <c r="A2772" t="s">
        <v>185</v>
      </c>
      <c r="B2772" t="s">
        <v>186</v>
      </c>
      <c r="C2772" t="s">
        <v>192</v>
      </c>
      <c r="D2772" t="s">
        <v>184</v>
      </c>
      <c r="E2772" t="s">
        <v>193</v>
      </c>
      <c r="F2772" t="s">
        <v>257</v>
      </c>
      <c r="G2772" t="s">
        <v>226</v>
      </c>
      <c r="H2772" t="s">
        <v>247</v>
      </c>
      <c r="I2772" t="s">
        <v>227</v>
      </c>
    </row>
    <row r="2773" spans="1:9">
      <c r="A2773" t="s">
        <v>195</v>
      </c>
      <c r="B2773" t="s">
        <v>351</v>
      </c>
      <c r="C2773">
        <v>161</v>
      </c>
      <c r="D2773" t="s">
        <v>194</v>
      </c>
      <c r="E2773">
        <v>1186</v>
      </c>
      <c r="G2773" s="3">
        <v>0.73560000000000003</v>
      </c>
      <c r="H2773" s="3">
        <v>1.6000000000000001E-3</v>
      </c>
      <c r="I2773" s="3">
        <v>0.26279999999999998</v>
      </c>
    </row>
    <row r="2774" spans="1:9">
      <c r="A2774" t="s">
        <v>195</v>
      </c>
      <c r="B2774" t="s">
        <v>352</v>
      </c>
      <c r="C2774">
        <v>126</v>
      </c>
      <c r="D2774" t="s">
        <v>194</v>
      </c>
      <c r="E2774">
        <v>1186</v>
      </c>
      <c r="F2774" s="3">
        <v>1.4800000000000001E-2</v>
      </c>
      <c r="G2774" s="3">
        <v>0.75480000000000003</v>
      </c>
      <c r="I2774" s="3">
        <v>0.23039999999999999</v>
      </c>
    </row>
    <row r="2775" spans="1:9">
      <c r="A2775" t="s">
        <v>195</v>
      </c>
      <c r="B2775" t="s">
        <v>353</v>
      </c>
      <c r="C2775">
        <v>114</v>
      </c>
      <c r="D2775" t="s">
        <v>194</v>
      </c>
      <c r="E2775">
        <v>1186</v>
      </c>
      <c r="G2775" s="3">
        <v>0.70199999999999996</v>
      </c>
      <c r="I2775" s="3">
        <v>0.29799999999999999</v>
      </c>
    </row>
    <row r="2776" spans="1:9">
      <c r="A2776" t="s">
        <v>195</v>
      </c>
      <c r="B2776" t="s">
        <v>354</v>
      </c>
      <c r="C2776">
        <v>85</v>
      </c>
      <c r="D2776" t="s">
        <v>194</v>
      </c>
      <c r="E2776">
        <v>1186</v>
      </c>
      <c r="G2776" s="3">
        <v>0.75460000000000005</v>
      </c>
      <c r="I2776" s="3">
        <v>0.24540000000000001</v>
      </c>
    </row>
    <row r="2777" spans="1:9">
      <c r="A2777" t="s">
        <v>199</v>
      </c>
      <c r="B2777" t="s">
        <v>351</v>
      </c>
      <c r="C2777">
        <v>153</v>
      </c>
      <c r="D2777" t="s">
        <v>194</v>
      </c>
      <c r="E2777">
        <v>1186</v>
      </c>
      <c r="G2777" s="3">
        <v>0.77580000000000005</v>
      </c>
      <c r="I2777" s="3">
        <v>0.22420000000000001</v>
      </c>
    </row>
    <row r="2778" spans="1:9">
      <c r="A2778" t="s">
        <v>199</v>
      </c>
      <c r="B2778" t="s">
        <v>352</v>
      </c>
      <c r="C2778">
        <v>106</v>
      </c>
      <c r="D2778" t="s">
        <v>194</v>
      </c>
      <c r="E2778">
        <v>1186</v>
      </c>
      <c r="G2778" s="3">
        <v>0.63880000000000003</v>
      </c>
      <c r="I2778" s="3">
        <v>0.36120000000000002</v>
      </c>
    </row>
    <row r="2779" spans="1:9">
      <c r="A2779" t="s">
        <v>199</v>
      </c>
      <c r="B2779" t="s">
        <v>353</v>
      </c>
      <c r="C2779">
        <v>144</v>
      </c>
      <c r="D2779" t="s">
        <v>194</v>
      </c>
      <c r="E2779">
        <v>1186</v>
      </c>
      <c r="G2779" s="3">
        <v>0.80659999999999998</v>
      </c>
      <c r="I2779" s="3">
        <v>0.19339999999999999</v>
      </c>
    </row>
    <row r="2780" spans="1:9">
      <c r="A2780" t="s">
        <v>199</v>
      </c>
      <c r="B2780" t="s">
        <v>354</v>
      </c>
      <c r="C2780">
        <v>155</v>
      </c>
      <c r="D2780" t="s">
        <v>194</v>
      </c>
      <c r="E2780">
        <v>1186</v>
      </c>
      <c r="G2780" s="3">
        <v>0.74850000000000005</v>
      </c>
      <c r="I2780" s="3">
        <v>0.2515</v>
      </c>
    </row>
    <row r="2781" spans="1:9">
      <c r="A2781" t="s">
        <v>200</v>
      </c>
      <c r="B2781" t="s">
        <v>200</v>
      </c>
      <c r="C2781">
        <v>1186</v>
      </c>
      <c r="D2781" t="s">
        <v>200</v>
      </c>
      <c r="E2781">
        <v>1186</v>
      </c>
      <c r="F2781" s="3">
        <v>1.4E-3</v>
      </c>
      <c r="G2781" s="3">
        <v>0.75539999999999996</v>
      </c>
      <c r="H2781" s="3">
        <v>2.0000000000000001E-4</v>
      </c>
      <c r="I2781" s="3">
        <v>0.24299999999999999</v>
      </c>
    </row>
    <row r="2783" spans="1:9" ht="60">
      <c r="A2783" s="22" t="s">
        <v>688</v>
      </c>
    </row>
    <row r="2784" spans="1:9">
      <c r="A2784" t="s">
        <v>185</v>
      </c>
      <c r="B2784" t="s">
        <v>186</v>
      </c>
      <c r="C2784" t="s">
        <v>192</v>
      </c>
      <c r="D2784" t="s">
        <v>184</v>
      </c>
      <c r="E2784" t="s">
        <v>193</v>
      </c>
      <c r="F2784" t="s">
        <v>257</v>
      </c>
      <c r="G2784" t="s">
        <v>226</v>
      </c>
      <c r="H2784" t="s">
        <v>247</v>
      </c>
      <c r="I2784" t="s">
        <v>227</v>
      </c>
    </row>
    <row r="2785" spans="1:9">
      <c r="A2785" t="s">
        <v>195</v>
      </c>
      <c r="B2785" t="s">
        <v>217</v>
      </c>
      <c r="C2785">
        <v>235</v>
      </c>
      <c r="D2785" t="s">
        <v>194</v>
      </c>
      <c r="E2785">
        <v>1186</v>
      </c>
      <c r="G2785" s="3">
        <v>0.70860000000000001</v>
      </c>
      <c r="I2785" s="3">
        <v>0.29139999999999999</v>
      </c>
    </row>
    <row r="2786" spans="1:9">
      <c r="A2786" t="s">
        <v>195</v>
      </c>
      <c r="B2786" t="s">
        <v>219</v>
      </c>
      <c r="C2786">
        <v>245</v>
      </c>
      <c r="D2786" t="s">
        <v>194</v>
      </c>
      <c r="E2786">
        <v>1186</v>
      </c>
      <c r="G2786" s="3">
        <v>0.7742</v>
      </c>
      <c r="H2786" s="3">
        <v>1E-3</v>
      </c>
      <c r="I2786" s="3">
        <v>0.2248</v>
      </c>
    </row>
    <row r="2787" spans="1:9">
      <c r="A2787" t="s">
        <v>195</v>
      </c>
      <c r="B2787" t="s">
        <v>220</v>
      </c>
      <c r="C2787">
        <v>54</v>
      </c>
      <c r="D2787" t="s">
        <v>194</v>
      </c>
      <c r="E2787">
        <v>1186</v>
      </c>
      <c r="F2787" s="3">
        <v>2.6200000000000001E-2</v>
      </c>
      <c r="G2787" s="3">
        <v>0.73819999999999997</v>
      </c>
      <c r="I2787" s="3">
        <v>0.2356</v>
      </c>
    </row>
    <row r="2788" spans="1:9">
      <c r="A2788" t="s">
        <v>199</v>
      </c>
      <c r="B2788" t="s">
        <v>217</v>
      </c>
      <c r="C2788">
        <v>389</v>
      </c>
      <c r="D2788" t="s">
        <v>194</v>
      </c>
      <c r="E2788">
        <v>1186</v>
      </c>
      <c r="G2788" s="3">
        <v>0.75490000000000002</v>
      </c>
      <c r="I2788" s="3">
        <v>0.24510000000000001</v>
      </c>
    </row>
    <row r="2789" spans="1:9">
      <c r="A2789" t="s">
        <v>199</v>
      </c>
      <c r="B2789" t="s">
        <v>219</v>
      </c>
      <c r="C2789">
        <v>185</v>
      </c>
      <c r="D2789" t="s">
        <v>194</v>
      </c>
      <c r="E2789">
        <v>1186</v>
      </c>
      <c r="G2789" s="3">
        <v>0.72789999999999999</v>
      </c>
      <c r="I2789" s="3">
        <v>0.27210000000000001</v>
      </c>
    </row>
    <row r="2790" spans="1:9">
      <c r="A2790" t="s">
        <v>199</v>
      </c>
      <c r="B2790" t="s">
        <v>220</v>
      </c>
      <c r="C2790">
        <v>77</v>
      </c>
      <c r="D2790" t="s">
        <v>194</v>
      </c>
      <c r="E2790">
        <v>1186</v>
      </c>
      <c r="G2790" s="3">
        <v>0.89800000000000002</v>
      </c>
      <c r="I2790" s="3">
        <v>0.10199999999999999</v>
      </c>
    </row>
    <row r="2791" spans="1:9">
      <c r="A2791" t="s">
        <v>200</v>
      </c>
      <c r="B2791" t="s">
        <v>200</v>
      </c>
      <c r="C2791">
        <v>1186</v>
      </c>
      <c r="D2791" t="s">
        <v>200</v>
      </c>
      <c r="E2791">
        <v>1186</v>
      </c>
      <c r="F2791" s="3">
        <v>1.4E-3</v>
      </c>
      <c r="G2791" s="3">
        <v>0.75539999999999996</v>
      </c>
      <c r="H2791" s="3">
        <v>2.0000000000000001E-4</v>
      </c>
      <c r="I2791" s="3">
        <v>0.24299999999999999</v>
      </c>
    </row>
    <row r="2793" spans="1:9" ht="45">
      <c r="A2793" s="22" t="s">
        <v>689</v>
      </c>
    </row>
    <row r="2794" spans="1:9">
      <c r="A2794" t="s">
        <v>185</v>
      </c>
      <c r="B2794" t="s">
        <v>186</v>
      </c>
      <c r="C2794" t="s">
        <v>192</v>
      </c>
      <c r="D2794" t="s">
        <v>184</v>
      </c>
      <c r="E2794" t="s">
        <v>193</v>
      </c>
      <c r="F2794" t="s">
        <v>257</v>
      </c>
      <c r="G2794" t="s">
        <v>226</v>
      </c>
      <c r="H2794" t="s">
        <v>247</v>
      </c>
      <c r="I2794" t="s">
        <v>227</v>
      </c>
    </row>
    <row r="2795" spans="1:9">
      <c r="A2795" t="s">
        <v>195</v>
      </c>
      <c r="B2795" t="s">
        <v>196</v>
      </c>
      <c r="C2795">
        <v>69</v>
      </c>
      <c r="D2795" t="s">
        <v>194</v>
      </c>
      <c r="E2795">
        <v>551</v>
      </c>
      <c r="F2795" s="3">
        <v>5.6899999999999999E-2</v>
      </c>
      <c r="G2795" s="3">
        <v>0.83230000000000004</v>
      </c>
      <c r="I2795" s="3">
        <v>0.1108</v>
      </c>
    </row>
    <row r="2796" spans="1:9">
      <c r="A2796" t="s">
        <v>195</v>
      </c>
      <c r="B2796" t="s">
        <v>198</v>
      </c>
      <c r="C2796">
        <v>165</v>
      </c>
      <c r="D2796" t="s">
        <v>194</v>
      </c>
      <c r="E2796">
        <v>551</v>
      </c>
      <c r="F2796" s="3">
        <v>6.4999999999999997E-3</v>
      </c>
      <c r="G2796" s="3">
        <v>0.93</v>
      </c>
      <c r="H2796" s="3">
        <v>2.5000000000000001E-3</v>
      </c>
      <c r="I2796" s="3">
        <v>6.0999999999999999E-2</v>
      </c>
    </row>
    <row r="2797" spans="1:9">
      <c r="A2797" t="s">
        <v>199</v>
      </c>
      <c r="B2797" t="s">
        <v>196</v>
      </c>
      <c r="C2797">
        <v>111</v>
      </c>
      <c r="D2797" t="s">
        <v>194</v>
      </c>
      <c r="E2797">
        <v>551</v>
      </c>
      <c r="G2797" s="3">
        <v>0.94679999999999997</v>
      </c>
      <c r="I2797" s="3">
        <v>5.3199999999999997E-2</v>
      </c>
    </row>
    <row r="2798" spans="1:9">
      <c r="A2798" t="s">
        <v>199</v>
      </c>
      <c r="B2798" t="s">
        <v>198</v>
      </c>
      <c r="C2798">
        <v>203</v>
      </c>
      <c r="D2798" t="s">
        <v>194</v>
      </c>
      <c r="E2798">
        <v>551</v>
      </c>
      <c r="F2798" s="3">
        <v>1.1000000000000001E-3</v>
      </c>
      <c r="G2798" s="3">
        <v>0.98450000000000004</v>
      </c>
      <c r="I2798" s="3">
        <v>1.44E-2</v>
      </c>
    </row>
    <row r="2799" spans="1:9">
      <c r="A2799" t="s">
        <v>200</v>
      </c>
      <c r="B2799" t="s">
        <v>200</v>
      </c>
      <c r="C2799">
        <v>551</v>
      </c>
      <c r="D2799" t="s">
        <v>200</v>
      </c>
      <c r="E2799">
        <v>551</v>
      </c>
      <c r="F2799" s="3">
        <v>7.7999999999999996E-3</v>
      </c>
      <c r="G2799" s="3">
        <v>0.94840000000000002</v>
      </c>
      <c r="H2799" s="3">
        <v>8.0000000000000004E-4</v>
      </c>
      <c r="I2799" s="3">
        <v>4.3099999999999999E-2</v>
      </c>
    </row>
    <row r="2801" spans="1:9" ht="60">
      <c r="A2801" s="22" t="s">
        <v>690</v>
      </c>
    </row>
    <row r="2802" spans="1:9">
      <c r="A2802" t="s">
        <v>185</v>
      </c>
      <c r="B2802" t="s">
        <v>186</v>
      </c>
      <c r="C2802" t="s">
        <v>192</v>
      </c>
      <c r="D2802" t="s">
        <v>184</v>
      </c>
      <c r="E2802" t="s">
        <v>193</v>
      </c>
      <c r="F2802" t="s">
        <v>257</v>
      </c>
      <c r="G2802" t="s">
        <v>226</v>
      </c>
      <c r="H2802" t="s">
        <v>247</v>
      </c>
      <c r="I2802" t="s">
        <v>227</v>
      </c>
    </row>
    <row r="2803" spans="1:9">
      <c r="A2803" t="s">
        <v>195</v>
      </c>
      <c r="B2803" t="s">
        <v>202</v>
      </c>
      <c r="C2803">
        <v>160</v>
      </c>
      <c r="D2803" t="s">
        <v>194</v>
      </c>
      <c r="E2803">
        <v>551</v>
      </c>
      <c r="F2803" s="3">
        <v>2.3300000000000001E-2</v>
      </c>
      <c r="G2803" s="3">
        <v>0.90439999999999998</v>
      </c>
      <c r="H2803" s="3">
        <v>2.3999999999999998E-3</v>
      </c>
      <c r="I2803" s="3">
        <v>6.9900000000000004E-2</v>
      </c>
    </row>
    <row r="2804" spans="1:9">
      <c r="A2804" t="s">
        <v>195</v>
      </c>
      <c r="B2804" t="s">
        <v>204</v>
      </c>
      <c r="C2804">
        <v>52</v>
      </c>
      <c r="D2804" t="s">
        <v>194</v>
      </c>
      <c r="E2804">
        <v>551</v>
      </c>
      <c r="G2804" s="3">
        <v>0.93979999999999997</v>
      </c>
      <c r="I2804" s="3">
        <v>6.0199999999999997E-2</v>
      </c>
    </row>
    <row r="2805" spans="1:9" s="25" customFormat="1">
      <c r="A2805" s="25" t="s">
        <v>195</v>
      </c>
      <c r="B2805" s="25" t="s">
        <v>205</v>
      </c>
      <c r="C2805" s="25">
        <v>22</v>
      </c>
      <c r="D2805" s="25" t="s">
        <v>194</v>
      </c>
      <c r="E2805" s="25">
        <v>551</v>
      </c>
      <c r="G2805" s="26">
        <v>0.78900000000000003</v>
      </c>
      <c r="I2805" s="26">
        <v>0.21099999999999999</v>
      </c>
    </row>
    <row r="2806" spans="1:9">
      <c r="A2806" t="s">
        <v>199</v>
      </c>
      <c r="B2806" t="s">
        <v>202</v>
      </c>
      <c r="C2806">
        <v>200</v>
      </c>
      <c r="D2806" t="s">
        <v>194</v>
      </c>
      <c r="E2806">
        <v>551</v>
      </c>
      <c r="G2806" s="3">
        <v>0.98060000000000003</v>
      </c>
      <c r="I2806" s="3">
        <v>1.9400000000000001E-2</v>
      </c>
    </row>
    <row r="2807" spans="1:9">
      <c r="A2807" t="s">
        <v>199</v>
      </c>
      <c r="B2807" t="s">
        <v>204</v>
      </c>
      <c r="C2807">
        <v>67</v>
      </c>
      <c r="D2807" t="s">
        <v>194</v>
      </c>
      <c r="E2807">
        <v>551</v>
      </c>
      <c r="G2807" s="3">
        <v>0.96050000000000002</v>
      </c>
      <c r="I2807" s="3">
        <v>3.95E-2</v>
      </c>
    </row>
    <row r="2808" spans="1:9">
      <c r="A2808" t="s">
        <v>199</v>
      </c>
      <c r="B2808" t="s">
        <v>205</v>
      </c>
      <c r="C2808">
        <v>47</v>
      </c>
      <c r="D2808" t="s">
        <v>194</v>
      </c>
      <c r="E2808">
        <v>551</v>
      </c>
      <c r="F2808" s="3">
        <v>1.4800000000000001E-2</v>
      </c>
      <c r="G2808" s="3">
        <v>0.94369999999999998</v>
      </c>
      <c r="I2808" s="3">
        <v>4.1500000000000002E-2</v>
      </c>
    </row>
    <row r="2809" spans="1:9">
      <c r="A2809" t="s">
        <v>200</v>
      </c>
      <c r="B2809" t="s">
        <v>200</v>
      </c>
      <c r="C2809">
        <v>551</v>
      </c>
      <c r="D2809" t="s">
        <v>200</v>
      </c>
      <c r="E2809">
        <v>551</v>
      </c>
      <c r="F2809" s="3">
        <v>7.7999999999999996E-3</v>
      </c>
      <c r="G2809" s="3">
        <v>0.94840000000000002</v>
      </c>
      <c r="H2809" s="3">
        <v>8.0000000000000004E-4</v>
      </c>
      <c r="I2809" s="3">
        <v>4.3099999999999999E-2</v>
      </c>
    </row>
    <row r="2811" spans="1:9" ht="60">
      <c r="A2811" s="22" t="s">
        <v>691</v>
      </c>
    </row>
    <row r="2812" spans="1:9">
      <c r="A2812" t="s">
        <v>185</v>
      </c>
      <c r="B2812" t="s">
        <v>186</v>
      </c>
      <c r="C2812" t="s">
        <v>192</v>
      </c>
      <c r="D2812" t="s">
        <v>184</v>
      </c>
      <c r="E2812" t="s">
        <v>193</v>
      </c>
      <c r="F2812" t="s">
        <v>257</v>
      </c>
      <c r="G2812" t="s">
        <v>226</v>
      </c>
      <c r="H2812" t="s">
        <v>247</v>
      </c>
      <c r="I2812" t="s">
        <v>227</v>
      </c>
    </row>
    <row r="2813" spans="1:9">
      <c r="A2813" t="s">
        <v>195</v>
      </c>
      <c r="B2813" t="s">
        <v>207</v>
      </c>
      <c r="C2813">
        <v>51</v>
      </c>
      <c r="D2813" t="s">
        <v>194</v>
      </c>
      <c r="E2813">
        <v>551</v>
      </c>
      <c r="F2813" s="3">
        <v>8.4400000000000003E-2</v>
      </c>
      <c r="G2813" s="3">
        <v>0.84160000000000001</v>
      </c>
      <c r="I2813" s="3">
        <v>7.3999999999999996E-2</v>
      </c>
    </row>
    <row r="2814" spans="1:9">
      <c r="A2814" t="s">
        <v>195</v>
      </c>
      <c r="B2814" t="s">
        <v>209</v>
      </c>
      <c r="C2814">
        <v>185</v>
      </c>
      <c r="D2814" t="s">
        <v>194</v>
      </c>
      <c r="E2814">
        <v>551</v>
      </c>
      <c r="G2814" s="3">
        <v>0.92569999999999997</v>
      </c>
      <c r="H2814" s="3">
        <v>2.3999999999999998E-3</v>
      </c>
      <c r="I2814" s="3">
        <v>7.1900000000000006E-2</v>
      </c>
    </row>
    <row r="2815" spans="1:9">
      <c r="A2815" t="s">
        <v>199</v>
      </c>
      <c r="B2815" t="s">
        <v>207</v>
      </c>
      <c r="C2815">
        <v>36</v>
      </c>
      <c r="D2815" t="s">
        <v>194</v>
      </c>
      <c r="E2815">
        <v>551</v>
      </c>
      <c r="G2815" s="3">
        <v>0.90969999999999995</v>
      </c>
      <c r="I2815" s="3">
        <v>9.0300000000000005E-2</v>
      </c>
    </row>
    <row r="2816" spans="1:9">
      <c r="A2816" t="s">
        <v>199</v>
      </c>
      <c r="B2816" t="s">
        <v>209</v>
      </c>
      <c r="C2816">
        <v>279</v>
      </c>
      <c r="D2816" t="s">
        <v>194</v>
      </c>
      <c r="E2816">
        <v>551</v>
      </c>
      <c r="F2816" s="3">
        <v>1E-3</v>
      </c>
      <c r="G2816" s="3">
        <v>0.98470000000000002</v>
      </c>
      <c r="I2816" s="3">
        <v>1.43E-2</v>
      </c>
    </row>
    <row r="2817" spans="1:9">
      <c r="A2817" t="s">
        <v>200</v>
      </c>
      <c r="B2817" t="s">
        <v>200</v>
      </c>
      <c r="C2817">
        <v>551</v>
      </c>
      <c r="D2817" t="s">
        <v>200</v>
      </c>
      <c r="E2817">
        <v>551</v>
      </c>
      <c r="F2817" s="3">
        <v>7.7999999999999996E-3</v>
      </c>
      <c r="G2817" s="3">
        <v>0.94840000000000002</v>
      </c>
      <c r="H2817" s="3">
        <v>8.0000000000000004E-4</v>
      </c>
      <c r="I2817" s="3">
        <v>4.3099999999999999E-2</v>
      </c>
    </row>
    <row r="2819" spans="1:9" ht="60">
      <c r="A2819" s="22" t="s">
        <v>692</v>
      </c>
    </row>
    <row r="2820" spans="1:9">
      <c r="A2820" t="s">
        <v>185</v>
      </c>
      <c r="B2820" t="s">
        <v>192</v>
      </c>
      <c r="C2820" t="s">
        <v>184</v>
      </c>
      <c r="D2820" t="s">
        <v>193</v>
      </c>
      <c r="E2820" t="s">
        <v>257</v>
      </c>
      <c r="F2820" t="s">
        <v>226</v>
      </c>
      <c r="G2820" t="s">
        <v>247</v>
      </c>
      <c r="H2820" t="s">
        <v>227</v>
      </c>
    </row>
    <row r="2821" spans="1:9">
      <c r="A2821" t="s">
        <v>195</v>
      </c>
      <c r="B2821">
        <v>236</v>
      </c>
      <c r="C2821" t="s">
        <v>194</v>
      </c>
      <c r="D2821">
        <v>551</v>
      </c>
      <c r="E2821" s="3">
        <v>1.83E-2</v>
      </c>
      <c r="F2821" s="3">
        <v>0.90749999999999997</v>
      </c>
      <c r="G2821" s="3">
        <v>1.9E-3</v>
      </c>
      <c r="H2821" s="3">
        <v>7.2400000000000006E-2</v>
      </c>
    </row>
    <row r="2822" spans="1:9">
      <c r="A2822" t="s">
        <v>199</v>
      </c>
      <c r="B2822">
        <v>315</v>
      </c>
      <c r="C2822" t="s">
        <v>194</v>
      </c>
      <c r="D2822">
        <v>551</v>
      </c>
      <c r="E2822" s="3">
        <v>8.0000000000000004E-4</v>
      </c>
      <c r="F2822" s="3">
        <v>0.97560000000000002</v>
      </c>
      <c r="H2822" s="3">
        <v>2.35E-2</v>
      </c>
    </row>
    <row r="2823" spans="1:9">
      <c r="A2823" t="s">
        <v>200</v>
      </c>
      <c r="B2823">
        <v>551</v>
      </c>
      <c r="C2823" t="s">
        <v>200</v>
      </c>
      <c r="D2823">
        <v>551</v>
      </c>
      <c r="E2823" s="3">
        <v>7.7999999999999996E-3</v>
      </c>
      <c r="F2823" s="3">
        <v>0.94840000000000002</v>
      </c>
      <c r="G2823" s="3">
        <v>8.0000000000000004E-4</v>
      </c>
      <c r="H2823" s="3">
        <v>4.3099999999999999E-2</v>
      </c>
    </row>
    <row r="2825" spans="1:9" ht="45">
      <c r="A2825" s="22" t="s">
        <v>693</v>
      </c>
    </row>
    <row r="2826" spans="1:9">
      <c r="A2826" t="s">
        <v>185</v>
      </c>
      <c r="B2826" t="s">
        <v>186</v>
      </c>
      <c r="C2826" t="s">
        <v>192</v>
      </c>
      <c r="D2826" t="s">
        <v>184</v>
      </c>
      <c r="E2826" t="s">
        <v>193</v>
      </c>
      <c r="F2826" t="s">
        <v>257</v>
      </c>
      <c r="G2826" t="s">
        <v>226</v>
      </c>
      <c r="H2826" t="s">
        <v>247</v>
      </c>
      <c r="I2826" t="s">
        <v>227</v>
      </c>
    </row>
    <row r="2827" spans="1:9">
      <c r="A2827" t="s">
        <v>195</v>
      </c>
      <c r="B2827" t="s">
        <v>212</v>
      </c>
      <c r="C2827">
        <v>186</v>
      </c>
      <c r="D2827" t="s">
        <v>194</v>
      </c>
      <c r="E2827">
        <v>551</v>
      </c>
      <c r="F2827" s="3">
        <v>2.1600000000000001E-2</v>
      </c>
      <c r="G2827" s="3">
        <v>0.91830000000000001</v>
      </c>
      <c r="I2827" s="3">
        <v>6.0100000000000001E-2</v>
      </c>
    </row>
    <row r="2828" spans="1:9">
      <c r="A2828" t="s">
        <v>195</v>
      </c>
      <c r="B2828" t="s">
        <v>215</v>
      </c>
      <c r="C2828">
        <v>50</v>
      </c>
      <c r="D2828" t="s">
        <v>194</v>
      </c>
      <c r="E2828">
        <v>551</v>
      </c>
      <c r="G2828" s="3">
        <v>0.84860000000000002</v>
      </c>
      <c r="H2828" s="3">
        <v>1.21E-2</v>
      </c>
      <c r="I2828" s="3">
        <v>0.13930000000000001</v>
      </c>
    </row>
    <row r="2829" spans="1:9">
      <c r="A2829" t="s">
        <v>199</v>
      </c>
      <c r="B2829" t="s">
        <v>212</v>
      </c>
      <c r="C2829">
        <v>246</v>
      </c>
      <c r="D2829" t="s">
        <v>194</v>
      </c>
      <c r="E2829">
        <v>551</v>
      </c>
      <c r="F2829" s="3">
        <v>1E-3</v>
      </c>
      <c r="G2829" s="3">
        <v>0.98580000000000001</v>
      </c>
      <c r="I2829" s="3">
        <v>1.32E-2</v>
      </c>
    </row>
    <row r="2830" spans="1:9">
      <c r="A2830" t="s">
        <v>199</v>
      </c>
      <c r="B2830" t="s">
        <v>215</v>
      </c>
      <c r="C2830">
        <v>69</v>
      </c>
      <c r="D2830" t="s">
        <v>194</v>
      </c>
      <c r="E2830">
        <v>551</v>
      </c>
      <c r="G2830" s="3">
        <v>0.92720000000000002</v>
      </c>
      <c r="I2830" s="3">
        <v>7.2800000000000004E-2</v>
      </c>
    </row>
    <row r="2831" spans="1:9">
      <c r="A2831" t="s">
        <v>200</v>
      </c>
      <c r="B2831" t="s">
        <v>200</v>
      </c>
      <c r="C2831">
        <v>551</v>
      </c>
      <c r="D2831" t="s">
        <v>200</v>
      </c>
      <c r="E2831">
        <v>551</v>
      </c>
      <c r="F2831" s="3">
        <v>7.7999999999999996E-3</v>
      </c>
      <c r="G2831" s="3">
        <v>0.94840000000000002</v>
      </c>
      <c r="H2831" s="3">
        <v>8.0000000000000004E-4</v>
      </c>
      <c r="I2831" s="3">
        <v>4.3099999999999999E-2</v>
      </c>
    </row>
    <row r="2833" spans="1:9" ht="60">
      <c r="A2833" s="22" t="s">
        <v>694</v>
      </c>
    </row>
    <row r="2834" spans="1:9">
      <c r="A2834" t="s">
        <v>185</v>
      </c>
      <c r="B2834" t="s">
        <v>186</v>
      </c>
      <c r="C2834" t="s">
        <v>192</v>
      </c>
      <c r="D2834" t="s">
        <v>184</v>
      </c>
      <c r="E2834" t="s">
        <v>193</v>
      </c>
      <c r="F2834" t="s">
        <v>257</v>
      </c>
      <c r="G2834" t="s">
        <v>226</v>
      </c>
      <c r="H2834" t="s">
        <v>247</v>
      </c>
      <c r="I2834" t="s">
        <v>227</v>
      </c>
    </row>
    <row r="2835" spans="1:9">
      <c r="A2835" t="s">
        <v>195</v>
      </c>
      <c r="B2835" t="s">
        <v>304</v>
      </c>
      <c r="C2835">
        <v>54</v>
      </c>
      <c r="D2835" t="s">
        <v>194</v>
      </c>
      <c r="E2835">
        <v>551</v>
      </c>
      <c r="G2835" s="3">
        <v>0.89259999999999995</v>
      </c>
      <c r="I2835" s="3">
        <v>0.1074</v>
      </c>
    </row>
    <row r="2836" spans="1:9">
      <c r="A2836" t="s">
        <v>195</v>
      </c>
      <c r="B2836" t="s">
        <v>305</v>
      </c>
      <c r="C2836">
        <v>173</v>
      </c>
      <c r="D2836" t="s">
        <v>194</v>
      </c>
      <c r="E2836">
        <v>551</v>
      </c>
      <c r="F2836" s="3">
        <v>2.47E-2</v>
      </c>
      <c r="G2836" s="3">
        <v>0.91549999999999998</v>
      </c>
      <c r="H2836" s="3">
        <v>2.5000000000000001E-3</v>
      </c>
      <c r="I2836" s="3">
        <v>5.7299999999999997E-2</v>
      </c>
    </row>
    <row r="2837" spans="1:9" s="25" customFormat="1">
      <c r="A2837" s="25" t="s">
        <v>195</v>
      </c>
      <c r="B2837" s="25" t="s">
        <v>306</v>
      </c>
      <c r="C2837" s="25">
        <v>4</v>
      </c>
      <c r="D2837" s="25" t="s">
        <v>194</v>
      </c>
      <c r="E2837" s="25">
        <v>551</v>
      </c>
      <c r="G2837" s="26">
        <v>0.31659999999999999</v>
      </c>
      <c r="I2837" s="26">
        <v>0.68340000000000001</v>
      </c>
    </row>
    <row r="2838" spans="1:9" s="25" customFormat="1">
      <c r="A2838" s="25" t="s">
        <v>195</v>
      </c>
      <c r="B2838" s="25" t="s">
        <v>307</v>
      </c>
      <c r="C2838" s="25">
        <v>5</v>
      </c>
      <c r="D2838" s="25" t="s">
        <v>194</v>
      </c>
      <c r="E2838" s="25">
        <v>551</v>
      </c>
      <c r="G2838" s="26">
        <v>1</v>
      </c>
    </row>
    <row r="2839" spans="1:9">
      <c r="A2839" t="s">
        <v>199</v>
      </c>
      <c r="B2839" t="s">
        <v>304</v>
      </c>
      <c r="C2839">
        <v>37</v>
      </c>
      <c r="D2839" t="s">
        <v>194</v>
      </c>
      <c r="E2839">
        <v>551</v>
      </c>
      <c r="G2839" s="3">
        <v>0.98799999999999999</v>
      </c>
      <c r="I2839" s="3">
        <v>1.2E-2</v>
      </c>
    </row>
    <row r="2840" spans="1:9">
      <c r="A2840" t="s">
        <v>199</v>
      </c>
      <c r="B2840" t="s">
        <v>305</v>
      </c>
      <c r="C2840">
        <v>270</v>
      </c>
      <c r="D2840" t="s">
        <v>194</v>
      </c>
      <c r="E2840">
        <v>551</v>
      </c>
      <c r="F2840" s="3">
        <v>8.9999999999999998E-4</v>
      </c>
      <c r="G2840" s="3">
        <v>0.97470000000000001</v>
      </c>
      <c r="I2840" s="3">
        <v>2.4400000000000002E-2</v>
      </c>
    </row>
    <row r="2841" spans="1:9" s="25" customFormat="1">
      <c r="A2841" s="25" t="s">
        <v>199</v>
      </c>
      <c r="B2841" s="25" t="s">
        <v>306</v>
      </c>
      <c r="C2841" s="25">
        <v>2</v>
      </c>
      <c r="D2841" s="25" t="s">
        <v>194</v>
      </c>
      <c r="E2841" s="25">
        <v>551</v>
      </c>
      <c r="G2841" s="26">
        <v>1</v>
      </c>
    </row>
    <row r="2842" spans="1:9" s="25" customFormat="1">
      <c r="A2842" s="25" t="s">
        <v>199</v>
      </c>
      <c r="B2842" s="25" t="s">
        <v>307</v>
      </c>
      <c r="C2842" s="25">
        <v>6</v>
      </c>
      <c r="D2842" s="25" t="s">
        <v>194</v>
      </c>
      <c r="E2842" s="25">
        <v>551</v>
      </c>
      <c r="G2842" s="26">
        <v>0.96040000000000003</v>
      </c>
      <c r="I2842" s="26">
        <v>3.9600000000000003E-2</v>
      </c>
    </row>
    <row r="2843" spans="1:9">
      <c r="A2843" t="s">
        <v>200</v>
      </c>
      <c r="B2843" t="s">
        <v>200</v>
      </c>
      <c r="C2843">
        <v>551</v>
      </c>
      <c r="D2843" t="s">
        <v>200</v>
      </c>
      <c r="E2843">
        <v>551</v>
      </c>
      <c r="F2843" s="3">
        <v>7.7999999999999996E-3</v>
      </c>
      <c r="G2843" s="3">
        <v>0.94840000000000002</v>
      </c>
      <c r="H2843" s="3">
        <v>8.0000000000000004E-4</v>
      </c>
      <c r="I2843" s="3">
        <v>4.3099999999999999E-2</v>
      </c>
    </row>
    <row r="2845" spans="1:9" ht="60">
      <c r="A2845" s="22" t="s">
        <v>695</v>
      </c>
    </row>
    <row r="2846" spans="1:9">
      <c r="A2846" t="s">
        <v>185</v>
      </c>
      <c r="B2846" t="s">
        <v>186</v>
      </c>
      <c r="C2846" t="s">
        <v>192</v>
      </c>
      <c r="D2846" t="s">
        <v>184</v>
      </c>
      <c r="E2846" t="s">
        <v>193</v>
      </c>
      <c r="F2846" t="s">
        <v>257</v>
      </c>
      <c r="G2846" t="s">
        <v>226</v>
      </c>
      <c r="H2846" t="s">
        <v>247</v>
      </c>
      <c r="I2846" t="s">
        <v>227</v>
      </c>
    </row>
    <row r="2847" spans="1:9">
      <c r="A2847" t="s">
        <v>195</v>
      </c>
      <c r="B2847" t="s">
        <v>351</v>
      </c>
      <c r="C2847">
        <v>57</v>
      </c>
      <c r="D2847" t="s">
        <v>194</v>
      </c>
      <c r="E2847">
        <v>551</v>
      </c>
      <c r="G2847" s="3">
        <v>0.97060000000000002</v>
      </c>
      <c r="I2847" s="3">
        <v>2.9399999999999999E-2</v>
      </c>
    </row>
    <row r="2848" spans="1:9">
      <c r="A2848" t="s">
        <v>195</v>
      </c>
      <c r="B2848" t="s">
        <v>352</v>
      </c>
      <c r="C2848">
        <v>49</v>
      </c>
      <c r="D2848" t="s">
        <v>194</v>
      </c>
      <c r="E2848">
        <v>551</v>
      </c>
      <c r="F2848" s="3">
        <v>7.0800000000000002E-2</v>
      </c>
      <c r="G2848" s="3">
        <v>0.81699999999999995</v>
      </c>
      <c r="I2848" s="3">
        <v>0.11219999999999999</v>
      </c>
    </row>
    <row r="2849" spans="1:9">
      <c r="A2849" t="s">
        <v>195</v>
      </c>
      <c r="B2849" t="s">
        <v>353</v>
      </c>
      <c r="C2849">
        <v>60</v>
      </c>
      <c r="D2849" t="s">
        <v>194</v>
      </c>
      <c r="E2849">
        <v>551</v>
      </c>
      <c r="F2849" s="3">
        <v>2.5600000000000001E-2</v>
      </c>
      <c r="G2849" s="3">
        <v>0.88490000000000002</v>
      </c>
      <c r="I2849" s="3">
        <v>8.9499999999999996E-2</v>
      </c>
    </row>
    <row r="2850" spans="1:9">
      <c r="A2850" t="s">
        <v>195</v>
      </c>
      <c r="B2850" t="s">
        <v>354</v>
      </c>
      <c r="C2850">
        <v>49</v>
      </c>
      <c r="D2850" t="s">
        <v>194</v>
      </c>
      <c r="E2850">
        <v>551</v>
      </c>
      <c r="G2850" s="3">
        <v>0.93610000000000004</v>
      </c>
      <c r="I2850" s="3">
        <v>6.3899999999999998E-2</v>
      </c>
    </row>
    <row r="2851" spans="1:9">
      <c r="A2851" t="s">
        <v>199</v>
      </c>
      <c r="B2851" t="s">
        <v>351</v>
      </c>
      <c r="C2851">
        <v>54</v>
      </c>
      <c r="D2851" t="s">
        <v>194</v>
      </c>
      <c r="E2851">
        <v>551</v>
      </c>
      <c r="F2851" s="3">
        <v>4.1999999999999997E-3</v>
      </c>
      <c r="G2851" s="3">
        <v>0.94059999999999999</v>
      </c>
      <c r="I2851" s="3">
        <v>5.5300000000000002E-2</v>
      </c>
    </row>
    <row r="2852" spans="1:9">
      <c r="A2852" t="s">
        <v>199</v>
      </c>
      <c r="B2852" t="s">
        <v>352</v>
      </c>
      <c r="C2852">
        <v>38</v>
      </c>
      <c r="D2852" t="s">
        <v>194</v>
      </c>
      <c r="E2852">
        <v>551</v>
      </c>
      <c r="G2852" s="3">
        <v>0.89749999999999996</v>
      </c>
      <c r="I2852" s="3">
        <v>0.10249999999999999</v>
      </c>
    </row>
    <row r="2853" spans="1:9">
      <c r="A2853" t="s">
        <v>199</v>
      </c>
      <c r="B2853" t="s">
        <v>353</v>
      </c>
      <c r="C2853">
        <v>79</v>
      </c>
      <c r="D2853" t="s">
        <v>194</v>
      </c>
      <c r="E2853">
        <v>551</v>
      </c>
      <c r="G2853" s="3">
        <v>0.98729999999999996</v>
      </c>
      <c r="I2853" s="3">
        <v>1.2699999999999999E-2</v>
      </c>
    </row>
    <row r="2854" spans="1:9">
      <c r="A2854" t="s">
        <v>199</v>
      </c>
      <c r="B2854" t="s">
        <v>354</v>
      </c>
      <c r="C2854">
        <v>98</v>
      </c>
      <c r="D2854" t="s">
        <v>194</v>
      </c>
      <c r="E2854">
        <v>551</v>
      </c>
      <c r="F2854" s="3">
        <v>8.9999999999999998E-4</v>
      </c>
      <c r="G2854" s="3">
        <v>0.99450000000000005</v>
      </c>
      <c r="I2854" s="3">
        <v>4.5999999999999999E-3</v>
      </c>
    </row>
    <row r="2855" spans="1:9">
      <c r="A2855" t="s">
        <v>200</v>
      </c>
      <c r="B2855" t="s">
        <v>200</v>
      </c>
      <c r="C2855">
        <v>551</v>
      </c>
      <c r="D2855" t="s">
        <v>200</v>
      </c>
      <c r="E2855">
        <v>551</v>
      </c>
      <c r="F2855" s="3">
        <v>7.7999999999999996E-3</v>
      </c>
      <c r="G2855" s="3">
        <v>0.94840000000000002</v>
      </c>
      <c r="H2855" s="3">
        <v>8.0000000000000004E-4</v>
      </c>
      <c r="I2855" s="3">
        <v>4.3099999999999999E-2</v>
      </c>
    </row>
    <row r="2857" spans="1:9" ht="60">
      <c r="A2857" s="22" t="s">
        <v>696</v>
      </c>
    </row>
    <row r="2858" spans="1:9">
      <c r="A2858" t="s">
        <v>185</v>
      </c>
      <c r="B2858" t="s">
        <v>186</v>
      </c>
      <c r="C2858" t="s">
        <v>192</v>
      </c>
      <c r="D2858" t="s">
        <v>184</v>
      </c>
      <c r="E2858" t="s">
        <v>193</v>
      </c>
      <c r="F2858" t="s">
        <v>257</v>
      </c>
      <c r="G2858" t="s">
        <v>226</v>
      </c>
      <c r="H2858" t="s">
        <v>247</v>
      </c>
      <c r="I2858" t="s">
        <v>227</v>
      </c>
    </row>
    <row r="2859" spans="1:9">
      <c r="A2859" t="s">
        <v>195</v>
      </c>
      <c r="B2859" t="s">
        <v>217</v>
      </c>
      <c r="C2859">
        <v>115</v>
      </c>
      <c r="D2859" t="s">
        <v>194</v>
      </c>
      <c r="E2859">
        <v>551</v>
      </c>
      <c r="F2859" s="3">
        <v>3.0099999999999998E-2</v>
      </c>
      <c r="G2859" s="3">
        <v>0.92879999999999996</v>
      </c>
      <c r="I2859" s="3">
        <v>4.1200000000000001E-2</v>
      </c>
    </row>
    <row r="2860" spans="1:9">
      <c r="A2860" t="s">
        <v>195</v>
      </c>
      <c r="B2860" t="s">
        <v>219</v>
      </c>
      <c r="C2860">
        <v>89</v>
      </c>
      <c r="D2860" t="s">
        <v>194</v>
      </c>
      <c r="E2860">
        <v>551</v>
      </c>
      <c r="F2860" s="3">
        <v>1.2699999999999999E-2</v>
      </c>
      <c r="G2860" s="3">
        <v>0.87770000000000004</v>
      </c>
      <c r="H2860" s="3">
        <v>4.7999999999999996E-3</v>
      </c>
      <c r="I2860" s="3">
        <v>0.10489999999999999</v>
      </c>
    </row>
    <row r="2861" spans="1:9">
      <c r="A2861" t="s">
        <v>195</v>
      </c>
      <c r="B2861" t="s">
        <v>220</v>
      </c>
      <c r="C2861">
        <v>32</v>
      </c>
      <c r="D2861" t="s">
        <v>194</v>
      </c>
      <c r="E2861">
        <v>551</v>
      </c>
      <c r="G2861" s="3">
        <v>0.92149999999999999</v>
      </c>
      <c r="I2861" s="3">
        <v>7.85E-2</v>
      </c>
    </row>
    <row r="2862" spans="1:9">
      <c r="A2862" t="s">
        <v>199</v>
      </c>
      <c r="B2862" t="s">
        <v>217</v>
      </c>
      <c r="C2862">
        <v>199</v>
      </c>
      <c r="D2862" t="s">
        <v>194</v>
      </c>
      <c r="E2862">
        <v>551</v>
      </c>
      <c r="F2862" s="3">
        <v>5.9999999999999995E-4</v>
      </c>
      <c r="G2862" s="3">
        <v>0.97319999999999995</v>
      </c>
      <c r="I2862" s="3">
        <v>2.6200000000000001E-2</v>
      </c>
    </row>
    <row r="2863" spans="1:9">
      <c r="A2863" t="s">
        <v>199</v>
      </c>
      <c r="B2863" t="s">
        <v>219</v>
      </c>
      <c r="C2863">
        <v>75</v>
      </c>
      <c r="D2863" t="s">
        <v>194</v>
      </c>
      <c r="E2863">
        <v>551</v>
      </c>
      <c r="G2863" s="3">
        <v>0.9819</v>
      </c>
      <c r="I2863" s="3">
        <v>1.8100000000000002E-2</v>
      </c>
    </row>
    <row r="2864" spans="1:9">
      <c r="A2864" t="s">
        <v>199</v>
      </c>
      <c r="B2864" t="s">
        <v>220</v>
      </c>
      <c r="C2864">
        <v>41</v>
      </c>
      <c r="D2864" t="s">
        <v>194</v>
      </c>
      <c r="E2864">
        <v>551</v>
      </c>
      <c r="F2864" s="3">
        <v>3.0000000000000001E-3</v>
      </c>
      <c r="G2864" s="3">
        <v>0.98060000000000003</v>
      </c>
      <c r="I2864" s="3">
        <v>1.6400000000000001E-2</v>
      </c>
    </row>
    <row r="2865" spans="1:9">
      <c r="A2865" t="s">
        <v>200</v>
      </c>
      <c r="B2865" t="s">
        <v>200</v>
      </c>
      <c r="C2865">
        <v>551</v>
      </c>
      <c r="D2865" t="s">
        <v>200</v>
      </c>
      <c r="E2865">
        <v>551</v>
      </c>
      <c r="F2865" s="3">
        <v>7.7999999999999996E-3</v>
      </c>
      <c r="G2865" s="3">
        <v>0.94840000000000002</v>
      </c>
      <c r="H2865" s="3">
        <v>8.0000000000000004E-4</v>
      </c>
      <c r="I2865" s="3">
        <v>4.3099999999999999E-2</v>
      </c>
    </row>
    <row r="2867" spans="1:9" ht="45">
      <c r="A2867" s="22" t="s">
        <v>697</v>
      </c>
    </row>
    <row r="2868" spans="1:9">
      <c r="A2868" t="s">
        <v>185</v>
      </c>
      <c r="B2868" t="s">
        <v>186</v>
      </c>
      <c r="C2868" t="s">
        <v>192</v>
      </c>
      <c r="D2868" t="s">
        <v>184</v>
      </c>
      <c r="E2868" t="s">
        <v>193</v>
      </c>
      <c r="F2868" t="s">
        <v>257</v>
      </c>
      <c r="G2868" t="s">
        <v>226</v>
      </c>
      <c r="H2868" t="s">
        <v>247</v>
      </c>
      <c r="I2868" t="s">
        <v>227</v>
      </c>
    </row>
    <row r="2869" spans="1:9">
      <c r="A2869" t="s">
        <v>195</v>
      </c>
      <c r="B2869" t="s">
        <v>196</v>
      </c>
      <c r="C2869">
        <v>162</v>
      </c>
      <c r="D2869" t="s">
        <v>194</v>
      </c>
      <c r="E2869">
        <v>917</v>
      </c>
      <c r="F2869" s="3">
        <v>9.2999999999999992E-3</v>
      </c>
      <c r="G2869" s="3">
        <v>0.85899999999999999</v>
      </c>
      <c r="H2869" s="3">
        <v>4.8999999999999998E-3</v>
      </c>
      <c r="I2869" s="3">
        <v>0.1268</v>
      </c>
    </row>
    <row r="2870" spans="1:9">
      <c r="A2870" t="s">
        <v>195</v>
      </c>
      <c r="B2870" t="s">
        <v>198</v>
      </c>
      <c r="C2870">
        <v>249</v>
      </c>
      <c r="D2870" t="s">
        <v>194</v>
      </c>
      <c r="E2870">
        <v>917</v>
      </c>
      <c r="F2870" s="3">
        <v>1.18E-2</v>
      </c>
      <c r="G2870" s="3">
        <v>0.84299999999999997</v>
      </c>
      <c r="H2870" s="3">
        <v>2.5000000000000001E-3</v>
      </c>
      <c r="I2870" s="3">
        <v>0.14269999999999999</v>
      </c>
    </row>
    <row r="2871" spans="1:9">
      <c r="A2871" t="s">
        <v>199</v>
      </c>
      <c r="B2871" t="s">
        <v>196</v>
      </c>
      <c r="C2871">
        <v>185</v>
      </c>
      <c r="D2871" t="s">
        <v>194</v>
      </c>
      <c r="E2871">
        <v>917</v>
      </c>
      <c r="G2871" s="3">
        <v>0.88580000000000003</v>
      </c>
      <c r="I2871" s="3">
        <v>0.1142</v>
      </c>
    </row>
    <row r="2872" spans="1:9">
      <c r="A2872" t="s">
        <v>199</v>
      </c>
      <c r="B2872" t="s">
        <v>198</v>
      </c>
      <c r="C2872">
        <v>303</v>
      </c>
      <c r="D2872" t="s">
        <v>194</v>
      </c>
      <c r="E2872">
        <v>917</v>
      </c>
      <c r="G2872" s="3">
        <v>0.95750000000000002</v>
      </c>
      <c r="I2872" s="3">
        <v>4.2500000000000003E-2</v>
      </c>
    </row>
    <row r="2873" spans="1:9">
      <c r="A2873" t="s">
        <v>200</v>
      </c>
      <c r="B2873" t="s">
        <v>200</v>
      </c>
      <c r="C2873">
        <v>917</v>
      </c>
      <c r="D2873" t="s">
        <v>200</v>
      </c>
      <c r="E2873">
        <v>917</v>
      </c>
      <c r="F2873" s="3">
        <v>5.1999999999999998E-3</v>
      </c>
      <c r="G2873" s="3">
        <v>0.89939999999999998</v>
      </c>
      <c r="H2873" s="3">
        <v>1.5E-3</v>
      </c>
      <c r="I2873" s="3">
        <v>9.4E-2</v>
      </c>
    </row>
    <row r="2875" spans="1:9" ht="60">
      <c r="A2875" s="22" t="s">
        <v>698</v>
      </c>
    </row>
    <row r="2876" spans="1:9">
      <c r="A2876" t="s">
        <v>185</v>
      </c>
      <c r="B2876" t="s">
        <v>186</v>
      </c>
      <c r="C2876" t="s">
        <v>192</v>
      </c>
      <c r="D2876" t="s">
        <v>184</v>
      </c>
      <c r="E2876" t="s">
        <v>193</v>
      </c>
      <c r="F2876" t="s">
        <v>257</v>
      </c>
      <c r="G2876" t="s">
        <v>226</v>
      </c>
      <c r="H2876" t="s">
        <v>247</v>
      </c>
      <c r="I2876" t="s">
        <v>227</v>
      </c>
    </row>
    <row r="2877" spans="1:9">
      <c r="A2877" t="s">
        <v>195</v>
      </c>
      <c r="B2877" t="s">
        <v>202</v>
      </c>
      <c r="C2877">
        <v>138</v>
      </c>
      <c r="D2877" t="s">
        <v>194</v>
      </c>
      <c r="E2877">
        <v>917</v>
      </c>
      <c r="F2877" s="3">
        <v>1.54E-2</v>
      </c>
      <c r="G2877" s="3">
        <v>0.85699999999999998</v>
      </c>
      <c r="H2877" s="3">
        <v>3.2000000000000002E-3</v>
      </c>
      <c r="I2877" s="3">
        <v>0.1244</v>
      </c>
    </row>
    <row r="2878" spans="1:9">
      <c r="A2878" t="s">
        <v>195</v>
      </c>
      <c r="B2878" t="s">
        <v>204</v>
      </c>
      <c r="C2878">
        <v>135</v>
      </c>
      <c r="D2878" t="s">
        <v>194</v>
      </c>
      <c r="E2878">
        <v>917</v>
      </c>
      <c r="G2878" s="3">
        <v>0.87949999999999995</v>
      </c>
      <c r="I2878" s="3">
        <v>0.1205</v>
      </c>
    </row>
    <row r="2879" spans="1:9">
      <c r="A2879" t="s">
        <v>195</v>
      </c>
      <c r="B2879" t="s">
        <v>205</v>
      </c>
      <c r="C2879">
        <v>138</v>
      </c>
      <c r="D2879" t="s">
        <v>194</v>
      </c>
      <c r="E2879">
        <v>917</v>
      </c>
      <c r="F2879" s="3">
        <v>1.54E-2</v>
      </c>
      <c r="G2879" s="3">
        <v>0.76119999999999999</v>
      </c>
      <c r="H2879" s="3">
        <v>8.0000000000000002E-3</v>
      </c>
      <c r="I2879" s="3">
        <v>0.21540000000000001</v>
      </c>
    </row>
    <row r="2880" spans="1:9">
      <c r="A2880" t="s">
        <v>199</v>
      </c>
      <c r="B2880" t="s">
        <v>202</v>
      </c>
      <c r="C2880">
        <v>97</v>
      </c>
      <c r="D2880" t="s">
        <v>194</v>
      </c>
      <c r="E2880">
        <v>917</v>
      </c>
      <c r="G2880" s="3">
        <v>0.9516</v>
      </c>
      <c r="I2880" s="3">
        <v>4.8399999999999999E-2</v>
      </c>
    </row>
    <row r="2881" spans="1:9">
      <c r="A2881" t="s">
        <v>199</v>
      </c>
      <c r="B2881" t="s">
        <v>204</v>
      </c>
      <c r="C2881">
        <v>156</v>
      </c>
      <c r="D2881" t="s">
        <v>194</v>
      </c>
      <c r="E2881">
        <v>917</v>
      </c>
      <c r="G2881" s="3">
        <v>0.92059999999999997</v>
      </c>
      <c r="I2881" s="3">
        <v>7.9399999999999998E-2</v>
      </c>
    </row>
    <row r="2882" spans="1:9">
      <c r="A2882" t="s">
        <v>199</v>
      </c>
      <c r="B2882" t="s">
        <v>205</v>
      </c>
      <c r="C2882">
        <v>235</v>
      </c>
      <c r="D2882" t="s">
        <v>194</v>
      </c>
      <c r="E2882">
        <v>917</v>
      </c>
      <c r="G2882" s="3">
        <v>0.9546</v>
      </c>
      <c r="I2882" s="3">
        <v>4.5400000000000003E-2</v>
      </c>
    </row>
    <row r="2883" spans="1:9">
      <c r="A2883" t="s">
        <v>200</v>
      </c>
      <c r="B2883" t="s">
        <v>200</v>
      </c>
      <c r="C2883">
        <v>917</v>
      </c>
      <c r="D2883" t="s">
        <v>200</v>
      </c>
      <c r="E2883">
        <v>917</v>
      </c>
      <c r="F2883" s="3">
        <v>5.1999999999999998E-3</v>
      </c>
      <c r="G2883" s="3">
        <v>0.89939999999999998</v>
      </c>
      <c r="H2883" s="3">
        <v>1.5E-3</v>
      </c>
      <c r="I2883" s="3">
        <v>9.4E-2</v>
      </c>
    </row>
    <row r="2885" spans="1:9" ht="60">
      <c r="A2885" s="22" t="s">
        <v>699</v>
      </c>
    </row>
    <row r="2886" spans="1:9">
      <c r="A2886" t="s">
        <v>185</v>
      </c>
      <c r="B2886" t="s">
        <v>186</v>
      </c>
      <c r="C2886" t="s">
        <v>192</v>
      </c>
      <c r="D2886" t="s">
        <v>184</v>
      </c>
      <c r="E2886" t="s">
        <v>193</v>
      </c>
      <c r="F2886" t="s">
        <v>257</v>
      </c>
      <c r="G2886" t="s">
        <v>226</v>
      </c>
      <c r="H2886" t="s">
        <v>247</v>
      </c>
      <c r="I2886" t="s">
        <v>227</v>
      </c>
    </row>
    <row r="2887" spans="1:9">
      <c r="A2887" t="s">
        <v>195</v>
      </c>
      <c r="B2887" t="s">
        <v>207</v>
      </c>
      <c r="C2887">
        <v>86</v>
      </c>
      <c r="D2887" t="s">
        <v>194</v>
      </c>
      <c r="E2887">
        <v>917</v>
      </c>
      <c r="G2887" s="3">
        <v>0.8135</v>
      </c>
      <c r="I2887" s="3">
        <v>0.1865</v>
      </c>
    </row>
    <row r="2888" spans="1:9">
      <c r="A2888" t="s">
        <v>195</v>
      </c>
      <c r="B2888" t="s">
        <v>209</v>
      </c>
      <c r="C2888">
        <v>335</v>
      </c>
      <c r="D2888" t="s">
        <v>194</v>
      </c>
      <c r="E2888">
        <v>917</v>
      </c>
      <c r="F2888" s="3">
        <v>1.37E-2</v>
      </c>
      <c r="G2888" s="3">
        <v>0.85640000000000005</v>
      </c>
      <c r="H2888" s="3">
        <v>3.8999999999999998E-3</v>
      </c>
      <c r="I2888" s="3">
        <v>0.12609999999999999</v>
      </c>
    </row>
    <row r="2889" spans="1:9">
      <c r="A2889" t="s">
        <v>199</v>
      </c>
      <c r="B2889" t="s">
        <v>207</v>
      </c>
      <c r="C2889">
        <v>86</v>
      </c>
      <c r="D2889" t="s">
        <v>194</v>
      </c>
      <c r="E2889">
        <v>917</v>
      </c>
      <c r="G2889" s="3">
        <v>0.88009999999999999</v>
      </c>
      <c r="I2889" s="3">
        <v>0.11990000000000001</v>
      </c>
    </row>
    <row r="2890" spans="1:9">
      <c r="A2890" t="s">
        <v>199</v>
      </c>
      <c r="B2890" t="s">
        <v>209</v>
      </c>
      <c r="C2890">
        <v>410</v>
      </c>
      <c r="D2890" t="s">
        <v>194</v>
      </c>
      <c r="E2890">
        <v>917</v>
      </c>
      <c r="G2890" s="3">
        <v>0.9587</v>
      </c>
      <c r="I2890" s="3">
        <v>4.1300000000000003E-2</v>
      </c>
    </row>
    <row r="2891" spans="1:9">
      <c r="A2891" t="s">
        <v>200</v>
      </c>
      <c r="B2891" t="s">
        <v>200</v>
      </c>
      <c r="C2891">
        <v>917</v>
      </c>
      <c r="D2891" t="s">
        <v>200</v>
      </c>
      <c r="E2891">
        <v>917</v>
      </c>
      <c r="F2891" s="3">
        <v>5.1999999999999998E-3</v>
      </c>
      <c r="G2891" s="3">
        <v>0.89939999999999998</v>
      </c>
      <c r="H2891" s="3">
        <v>1.5E-3</v>
      </c>
      <c r="I2891" s="3">
        <v>9.4E-2</v>
      </c>
    </row>
    <row r="2893" spans="1:9" ht="60">
      <c r="A2893" s="22" t="s">
        <v>700</v>
      </c>
    </row>
    <row r="2894" spans="1:9">
      <c r="A2894" t="s">
        <v>185</v>
      </c>
      <c r="B2894" t="s">
        <v>192</v>
      </c>
      <c r="C2894" t="s">
        <v>184</v>
      </c>
      <c r="D2894" t="s">
        <v>193</v>
      </c>
      <c r="E2894" t="s">
        <v>257</v>
      </c>
      <c r="F2894" t="s">
        <v>226</v>
      </c>
      <c r="G2894" t="s">
        <v>247</v>
      </c>
      <c r="H2894" t="s">
        <v>227</v>
      </c>
    </row>
    <row r="2895" spans="1:9">
      <c r="A2895" t="s">
        <v>195</v>
      </c>
      <c r="B2895">
        <v>421</v>
      </c>
      <c r="C2895" t="s">
        <v>194</v>
      </c>
      <c r="D2895">
        <v>917</v>
      </c>
      <c r="E2895" s="3">
        <v>1.11E-2</v>
      </c>
      <c r="F2895" s="3">
        <v>0.84809999999999997</v>
      </c>
      <c r="G2895" s="3">
        <v>3.0999999999999999E-3</v>
      </c>
      <c r="H2895" s="3">
        <v>0.13769999999999999</v>
      </c>
    </row>
    <row r="2896" spans="1:9">
      <c r="A2896" t="s">
        <v>199</v>
      </c>
      <c r="B2896">
        <v>496</v>
      </c>
      <c r="C2896" t="s">
        <v>194</v>
      </c>
      <c r="D2896">
        <v>917</v>
      </c>
      <c r="F2896" s="3">
        <v>0.94440000000000002</v>
      </c>
      <c r="H2896" s="3">
        <v>5.5599999999999997E-2</v>
      </c>
    </row>
    <row r="2897" spans="1:9">
      <c r="A2897" t="s">
        <v>200</v>
      </c>
      <c r="B2897">
        <v>917</v>
      </c>
      <c r="C2897" t="s">
        <v>200</v>
      </c>
      <c r="D2897">
        <v>917</v>
      </c>
      <c r="E2897" s="3">
        <v>5.1999999999999998E-3</v>
      </c>
      <c r="F2897" s="3">
        <v>0.89939999999999998</v>
      </c>
      <c r="G2897" s="3">
        <v>1.5E-3</v>
      </c>
      <c r="H2897" s="3">
        <v>9.4E-2</v>
      </c>
    </row>
    <row r="2899" spans="1:9" ht="45">
      <c r="A2899" s="22" t="s">
        <v>701</v>
      </c>
    </row>
    <row r="2900" spans="1:9">
      <c r="A2900" t="s">
        <v>185</v>
      </c>
      <c r="B2900" t="s">
        <v>186</v>
      </c>
      <c r="C2900" t="s">
        <v>192</v>
      </c>
      <c r="D2900" t="s">
        <v>184</v>
      </c>
      <c r="E2900" t="s">
        <v>193</v>
      </c>
      <c r="F2900" t="s">
        <v>257</v>
      </c>
      <c r="G2900" t="s">
        <v>226</v>
      </c>
      <c r="H2900" t="s">
        <v>247</v>
      </c>
      <c r="I2900" t="s">
        <v>227</v>
      </c>
    </row>
    <row r="2901" spans="1:9">
      <c r="A2901" t="s">
        <v>195</v>
      </c>
      <c r="B2901" t="s">
        <v>212</v>
      </c>
      <c r="C2901">
        <v>328</v>
      </c>
      <c r="D2901" t="s">
        <v>194</v>
      </c>
      <c r="E2901">
        <v>917</v>
      </c>
      <c r="F2901" s="3">
        <v>1.37E-2</v>
      </c>
      <c r="G2901" s="3">
        <v>0.86250000000000004</v>
      </c>
      <c r="H2901" s="3">
        <v>1.6000000000000001E-3</v>
      </c>
      <c r="I2901" s="3">
        <v>0.1222</v>
      </c>
    </row>
    <row r="2902" spans="1:9">
      <c r="A2902" t="s">
        <v>195</v>
      </c>
      <c r="B2902" t="s">
        <v>215</v>
      </c>
      <c r="C2902">
        <v>93</v>
      </c>
      <c r="D2902" t="s">
        <v>194</v>
      </c>
      <c r="E2902">
        <v>917</v>
      </c>
      <c r="G2902" s="3">
        <v>0.78800000000000003</v>
      </c>
      <c r="H2902" s="3">
        <v>9.2999999999999992E-3</v>
      </c>
      <c r="I2902" s="3">
        <v>0.20269999999999999</v>
      </c>
    </row>
    <row r="2903" spans="1:9">
      <c r="A2903" t="s">
        <v>199</v>
      </c>
      <c r="B2903" t="s">
        <v>212</v>
      </c>
      <c r="C2903">
        <v>379</v>
      </c>
      <c r="D2903" t="s">
        <v>194</v>
      </c>
      <c r="E2903">
        <v>917</v>
      </c>
      <c r="G2903" s="3">
        <v>0.96699999999999997</v>
      </c>
      <c r="I2903" s="3">
        <v>3.3000000000000002E-2</v>
      </c>
    </row>
    <row r="2904" spans="1:9">
      <c r="A2904" t="s">
        <v>199</v>
      </c>
      <c r="B2904" t="s">
        <v>215</v>
      </c>
      <c r="C2904">
        <v>117</v>
      </c>
      <c r="D2904" t="s">
        <v>194</v>
      </c>
      <c r="E2904">
        <v>917</v>
      </c>
      <c r="G2904" s="3">
        <v>0.85229999999999995</v>
      </c>
      <c r="I2904" s="3">
        <v>0.1477</v>
      </c>
    </row>
    <row r="2905" spans="1:9">
      <c r="A2905" t="s">
        <v>200</v>
      </c>
      <c r="B2905" t="s">
        <v>200</v>
      </c>
      <c r="C2905">
        <v>917</v>
      </c>
      <c r="D2905" t="s">
        <v>200</v>
      </c>
      <c r="E2905">
        <v>917</v>
      </c>
      <c r="F2905" s="3">
        <v>5.1999999999999998E-3</v>
      </c>
      <c r="G2905" s="3">
        <v>0.89939999999999998</v>
      </c>
      <c r="H2905" s="3">
        <v>1.5E-3</v>
      </c>
      <c r="I2905" s="3">
        <v>9.4E-2</v>
      </c>
    </row>
    <row r="2907" spans="1:9" ht="60">
      <c r="A2907" s="22" t="s">
        <v>702</v>
      </c>
    </row>
    <row r="2908" spans="1:9">
      <c r="A2908" t="s">
        <v>185</v>
      </c>
      <c r="B2908" t="s">
        <v>186</v>
      </c>
      <c r="C2908" t="s">
        <v>192</v>
      </c>
      <c r="D2908" t="s">
        <v>184</v>
      </c>
      <c r="E2908" t="s">
        <v>193</v>
      </c>
      <c r="F2908" t="s">
        <v>257</v>
      </c>
      <c r="G2908" t="s">
        <v>226</v>
      </c>
      <c r="H2908" t="s">
        <v>247</v>
      </c>
      <c r="I2908" t="s">
        <v>227</v>
      </c>
    </row>
    <row r="2909" spans="1:9">
      <c r="A2909" t="s">
        <v>195</v>
      </c>
      <c r="B2909" t="s">
        <v>304</v>
      </c>
      <c r="C2909">
        <v>124</v>
      </c>
      <c r="D2909" t="s">
        <v>194</v>
      </c>
      <c r="E2909">
        <v>917</v>
      </c>
      <c r="F2909" s="3">
        <v>9.7000000000000003E-3</v>
      </c>
      <c r="G2909" s="3">
        <v>0.85370000000000001</v>
      </c>
      <c r="I2909" s="3">
        <v>0.1366</v>
      </c>
    </row>
    <row r="2910" spans="1:9">
      <c r="A2910" t="s">
        <v>195</v>
      </c>
      <c r="B2910" t="s">
        <v>305</v>
      </c>
      <c r="C2910">
        <v>283</v>
      </c>
      <c r="D2910" t="s">
        <v>194</v>
      </c>
      <c r="E2910">
        <v>917</v>
      </c>
      <c r="F2910" s="3">
        <v>1.23E-2</v>
      </c>
      <c r="G2910" s="3">
        <v>0.83760000000000001</v>
      </c>
      <c r="H2910" s="3">
        <v>4.4999999999999997E-3</v>
      </c>
      <c r="I2910" s="3">
        <v>0.14560000000000001</v>
      </c>
    </row>
    <row r="2911" spans="1:9" s="25" customFormat="1">
      <c r="A2911" s="25" t="s">
        <v>195</v>
      </c>
      <c r="B2911" s="25" t="s">
        <v>306</v>
      </c>
      <c r="C2911" s="25">
        <v>4</v>
      </c>
      <c r="D2911" s="25" t="s">
        <v>194</v>
      </c>
      <c r="E2911" s="25">
        <v>917</v>
      </c>
      <c r="G2911" s="26">
        <v>1</v>
      </c>
    </row>
    <row r="2912" spans="1:9" s="25" customFormat="1">
      <c r="A2912" s="25" t="s">
        <v>195</v>
      </c>
      <c r="B2912" s="25" t="s">
        <v>307</v>
      </c>
      <c r="C2912" s="25">
        <v>10</v>
      </c>
      <c r="D2912" s="25" t="s">
        <v>194</v>
      </c>
      <c r="E2912" s="25">
        <v>917</v>
      </c>
      <c r="G2912" s="26">
        <v>0.97660000000000002</v>
      </c>
      <c r="I2912" s="26">
        <v>2.3400000000000001E-2</v>
      </c>
    </row>
    <row r="2913" spans="1:9">
      <c r="A2913" t="s">
        <v>199</v>
      </c>
      <c r="B2913" t="s">
        <v>304</v>
      </c>
      <c r="C2913">
        <v>64</v>
      </c>
      <c r="D2913" t="s">
        <v>194</v>
      </c>
      <c r="E2913">
        <v>917</v>
      </c>
      <c r="G2913" s="3">
        <v>0.94679999999999997</v>
      </c>
      <c r="I2913" s="3">
        <v>5.3199999999999997E-2</v>
      </c>
    </row>
    <row r="2914" spans="1:9">
      <c r="A2914" t="s">
        <v>199</v>
      </c>
      <c r="B2914" t="s">
        <v>305</v>
      </c>
      <c r="C2914">
        <v>417</v>
      </c>
      <c r="D2914" t="s">
        <v>194</v>
      </c>
      <c r="E2914">
        <v>917</v>
      </c>
      <c r="G2914" s="3">
        <v>0.9425</v>
      </c>
      <c r="I2914" s="3">
        <v>5.7500000000000002E-2</v>
      </c>
    </row>
    <row r="2915" spans="1:9" s="25" customFormat="1">
      <c r="A2915" s="25" t="s">
        <v>199</v>
      </c>
      <c r="B2915" s="25" t="s">
        <v>306</v>
      </c>
      <c r="C2915" s="25">
        <v>3</v>
      </c>
      <c r="D2915" s="25" t="s">
        <v>194</v>
      </c>
      <c r="E2915" s="25">
        <v>917</v>
      </c>
      <c r="G2915" s="26">
        <v>1</v>
      </c>
    </row>
    <row r="2916" spans="1:9" s="25" customFormat="1">
      <c r="A2916" s="25" t="s">
        <v>199</v>
      </c>
      <c r="B2916" s="25" t="s">
        <v>307</v>
      </c>
      <c r="C2916" s="25">
        <v>12</v>
      </c>
      <c r="D2916" s="25" t="s">
        <v>194</v>
      </c>
      <c r="E2916" s="25">
        <v>917</v>
      </c>
      <c r="G2916" s="26">
        <v>1</v>
      </c>
    </row>
    <row r="2917" spans="1:9">
      <c r="A2917" t="s">
        <v>200</v>
      </c>
      <c r="B2917" t="s">
        <v>200</v>
      </c>
      <c r="C2917">
        <v>917</v>
      </c>
      <c r="D2917" t="s">
        <v>200</v>
      </c>
      <c r="E2917">
        <v>917</v>
      </c>
      <c r="F2917" s="3">
        <v>5.1999999999999998E-3</v>
      </c>
      <c r="G2917" s="3">
        <v>0.89939999999999998</v>
      </c>
      <c r="H2917" s="3">
        <v>1.5E-3</v>
      </c>
      <c r="I2917" s="3">
        <v>9.4E-2</v>
      </c>
    </row>
    <row r="2919" spans="1:9" ht="60">
      <c r="A2919" s="22" t="s">
        <v>703</v>
      </c>
    </row>
    <row r="2920" spans="1:9">
      <c r="A2920" t="s">
        <v>185</v>
      </c>
      <c r="B2920" t="s">
        <v>186</v>
      </c>
      <c r="C2920" t="s">
        <v>192</v>
      </c>
      <c r="D2920" t="s">
        <v>184</v>
      </c>
      <c r="E2920" t="s">
        <v>193</v>
      </c>
      <c r="F2920" t="s">
        <v>257</v>
      </c>
      <c r="G2920" t="s">
        <v>226</v>
      </c>
      <c r="H2920" t="s">
        <v>247</v>
      </c>
      <c r="I2920" t="s">
        <v>227</v>
      </c>
    </row>
    <row r="2921" spans="1:9">
      <c r="A2921" t="s">
        <v>195</v>
      </c>
      <c r="B2921" t="s">
        <v>351</v>
      </c>
      <c r="C2921">
        <v>134</v>
      </c>
      <c r="D2921" t="s">
        <v>194</v>
      </c>
      <c r="E2921">
        <v>917</v>
      </c>
      <c r="F2921" s="3">
        <v>4.5999999999999999E-3</v>
      </c>
      <c r="G2921" s="3">
        <v>0.85450000000000004</v>
      </c>
      <c r="H2921" s="3">
        <v>5.1000000000000004E-3</v>
      </c>
      <c r="I2921" s="3">
        <v>0.1358</v>
      </c>
    </row>
    <row r="2922" spans="1:9">
      <c r="A2922" t="s">
        <v>195</v>
      </c>
      <c r="B2922" t="s">
        <v>352</v>
      </c>
      <c r="C2922">
        <v>104</v>
      </c>
      <c r="D2922" t="s">
        <v>194</v>
      </c>
      <c r="E2922">
        <v>917</v>
      </c>
      <c r="F2922" s="3">
        <v>3.1899999999999998E-2</v>
      </c>
      <c r="G2922" s="3">
        <v>0.83230000000000004</v>
      </c>
      <c r="I2922" s="3">
        <v>0.1358</v>
      </c>
    </row>
    <row r="2923" spans="1:9">
      <c r="A2923" t="s">
        <v>195</v>
      </c>
      <c r="B2923" t="s">
        <v>353</v>
      </c>
      <c r="C2923">
        <v>86</v>
      </c>
      <c r="D2923" t="s">
        <v>194</v>
      </c>
      <c r="E2923">
        <v>917</v>
      </c>
      <c r="F2923" s="3">
        <v>5.1000000000000004E-3</v>
      </c>
      <c r="G2923" s="3">
        <v>0.78600000000000003</v>
      </c>
      <c r="I2923" s="3">
        <v>0.2089</v>
      </c>
    </row>
    <row r="2924" spans="1:9">
      <c r="A2924" t="s">
        <v>195</v>
      </c>
      <c r="B2924" t="s">
        <v>354</v>
      </c>
      <c r="C2924">
        <v>57</v>
      </c>
      <c r="D2924" t="s">
        <v>194</v>
      </c>
      <c r="E2924">
        <v>917</v>
      </c>
      <c r="F2924" s="3">
        <v>7.1000000000000004E-3</v>
      </c>
      <c r="G2924" s="3">
        <v>0.88380000000000003</v>
      </c>
      <c r="I2924" s="3">
        <v>0.1091</v>
      </c>
    </row>
    <row r="2925" spans="1:9">
      <c r="A2925" t="s">
        <v>199</v>
      </c>
      <c r="B2925" t="s">
        <v>351</v>
      </c>
      <c r="C2925">
        <v>127</v>
      </c>
      <c r="D2925" t="s">
        <v>194</v>
      </c>
      <c r="E2925">
        <v>917</v>
      </c>
      <c r="G2925" s="3">
        <v>0.83450000000000002</v>
      </c>
      <c r="I2925" s="3">
        <v>0.16550000000000001</v>
      </c>
    </row>
    <row r="2926" spans="1:9">
      <c r="A2926" t="s">
        <v>199</v>
      </c>
      <c r="B2926" t="s">
        <v>352</v>
      </c>
      <c r="C2926">
        <v>89</v>
      </c>
      <c r="D2926" t="s">
        <v>194</v>
      </c>
      <c r="E2926">
        <v>917</v>
      </c>
      <c r="G2926" s="3">
        <v>0.85460000000000003</v>
      </c>
      <c r="I2926" s="3">
        <v>0.1454</v>
      </c>
    </row>
    <row r="2927" spans="1:9">
      <c r="A2927" t="s">
        <v>199</v>
      </c>
      <c r="B2927" t="s">
        <v>353</v>
      </c>
      <c r="C2927">
        <v>110</v>
      </c>
      <c r="D2927" t="s">
        <v>194</v>
      </c>
      <c r="E2927">
        <v>917</v>
      </c>
      <c r="G2927" s="3">
        <v>0.92910000000000004</v>
      </c>
      <c r="I2927" s="3">
        <v>7.0900000000000005E-2</v>
      </c>
    </row>
    <row r="2928" spans="1:9">
      <c r="A2928" t="s">
        <v>199</v>
      </c>
      <c r="B2928" t="s">
        <v>354</v>
      </c>
      <c r="C2928">
        <v>100</v>
      </c>
      <c r="D2928" t="s">
        <v>194</v>
      </c>
      <c r="E2928">
        <v>917</v>
      </c>
      <c r="G2928" s="3">
        <v>0.99380000000000002</v>
      </c>
      <c r="I2928" s="3">
        <v>6.1999999999999998E-3</v>
      </c>
    </row>
    <row r="2929" spans="1:9">
      <c r="A2929" t="s">
        <v>200</v>
      </c>
      <c r="B2929" t="s">
        <v>200</v>
      </c>
      <c r="C2929">
        <v>917</v>
      </c>
      <c r="D2929" t="s">
        <v>200</v>
      </c>
      <c r="E2929">
        <v>917</v>
      </c>
      <c r="F2929" s="3">
        <v>5.1999999999999998E-3</v>
      </c>
      <c r="G2929" s="3">
        <v>0.89939999999999998</v>
      </c>
      <c r="H2929" s="3">
        <v>1.5E-3</v>
      </c>
      <c r="I2929" s="3">
        <v>9.4E-2</v>
      </c>
    </row>
    <row r="2931" spans="1:9" ht="60">
      <c r="A2931" s="22" t="s">
        <v>704</v>
      </c>
    </row>
    <row r="2932" spans="1:9">
      <c r="A2932" t="s">
        <v>185</v>
      </c>
      <c r="B2932" t="s">
        <v>186</v>
      </c>
      <c r="C2932" t="s">
        <v>192</v>
      </c>
      <c r="D2932" t="s">
        <v>184</v>
      </c>
      <c r="E2932" t="s">
        <v>193</v>
      </c>
      <c r="F2932" t="s">
        <v>257</v>
      </c>
      <c r="G2932" t="s">
        <v>226</v>
      </c>
      <c r="H2932" t="s">
        <v>247</v>
      </c>
      <c r="I2932" t="s">
        <v>227</v>
      </c>
    </row>
    <row r="2933" spans="1:9">
      <c r="A2933" t="s">
        <v>195</v>
      </c>
      <c r="B2933" t="s">
        <v>217</v>
      </c>
      <c r="C2933">
        <v>183</v>
      </c>
      <c r="D2933" t="s">
        <v>194</v>
      </c>
      <c r="E2933">
        <v>917</v>
      </c>
      <c r="F2933" s="3">
        <v>1.8200000000000001E-2</v>
      </c>
      <c r="G2933" s="3">
        <v>0.84309999999999996</v>
      </c>
      <c r="I2933" s="3">
        <v>0.13869999999999999</v>
      </c>
    </row>
    <row r="2934" spans="1:9">
      <c r="A2934" t="s">
        <v>195</v>
      </c>
      <c r="B2934" t="s">
        <v>219</v>
      </c>
      <c r="C2934">
        <v>201</v>
      </c>
      <c r="D2934" t="s">
        <v>194</v>
      </c>
      <c r="E2934">
        <v>917</v>
      </c>
      <c r="F2934" s="3">
        <v>5.8999999999999999E-3</v>
      </c>
      <c r="G2934" s="3">
        <v>0.8448</v>
      </c>
      <c r="H2934" s="3">
        <v>7.3000000000000001E-3</v>
      </c>
      <c r="I2934" s="3">
        <v>0.1421</v>
      </c>
    </row>
    <row r="2935" spans="1:9">
      <c r="A2935" t="s">
        <v>195</v>
      </c>
      <c r="B2935" t="s">
        <v>220</v>
      </c>
      <c r="C2935">
        <v>36</v>
      </c>
      <c r="D2935" t="s">
        <v>194</v>
      </c>
      <c r="E2935">
        <v>917</v>
      </c>
      <c r="G2935" s="3">
        <v>0.88570000000000004</v>
      </c>
      <c r="I2935" s="3">
        <v>0.1143</v>
      </c>
    </row>
    <row r="2936" spans="1:9">
      <c r="A2936" t="s">
        <v>199</v>
      </c>
      <c r="B2936" t="s">
        <v>217</v>
      </c>
      <c r="C2936">
        <v>294</v>
      </c>
      <c r="D2936" t="s">
        <v>194</v>
      </c>
      <c r="E2936">
        <v>917</v>
      </c>
      <c r="G2936" s="3">
        <v>0.94269999999999998</v>
      </c>
      <c r="I2936" s="3">
        <v>5.7299999999999997E-2</v>
      </c>
    </row>
    <row r="2937" spans="1:9">
      <c r="A2937" t="s">
        <v>199</v>
      </c>
      <c r="B2937" t="s">
        <v>219</v>
      </c>
      <c r="C2937">
        <v>147</v>
      </c>
      <c r="D2937" t="s">
        <v>194</v>
      </c>
      <c r="E2937">
        <v>917</v>
      </c>
      <c r="G2937" s="3">
        <v>0.92579999999999996</v>
      </c>
      <c r="I2937" s="3">
        <v>7.4200000000000002E-2</v>
      </c>
    </row>
    <row r="2938" spans="1:9">
      <c r="A2938" t="s">
        <v>199</v>
      </c>
      <c r="B2938" t="s">
        <v>220</v>
      </c>
      <c r="C2938">
        <v>55</v>
      </c>
      <c r="D2938" t="s">
        <v>194</v>
      </c>
      <c r="E2938">
        <v>917</v>
      </c>
      <c r="G2938" s="3">
        <v>0.9869</v>
      </c>
      <c r="I2938" s="3">
        <v>1.3100000000000001E-2</v>
      </c>
    </row>
    <row r="2939" spans="1:9">
      <c r="A2939" t="s">
        <v>200</v>
      </c>
      <c r="B2939" t="s">
        <v>200</v>
      </c>
      <c r="C2939">
        <v>917</v>
      </c>
      <c r="D2939" t="s">
        <v>200</v>
      </c>
      <c r="E2939">
        <v>917</v>
      </c>
      <c r="F2939" s="3">
        <v>5.1999999999999998E-3</v>
      </c>
      <c r="G2939" s="3">
        <v>0.89939999999999998</v>
      </c>
      <c r="H2939" s="3">
        <v>1.5E-3</v>
      </c>
      <c r="I2939" s="3">
        <v>9.4E-2</v>
      </c>
    </row>
    <row r="2941" spans="1:9" ht="45">
      <c r="A2941" s="22" t="s">
        <v>705</v>
      </c>
    </row>
    <row r="2942" spans="1:9">
      <c r="A2942" t="s">
        <v>185</v>
      </c>
      <c r="B2942" t="s">
        <v>186</v>
      </c>
      <c r="C2942" t="s">
        <v>192</v>
      </c>
      <c r="D2942" t="s">
        <v>184</v>
      </c>
      <c r="E2942" t="s">
        <v>193</v>
      </c>
      <c r="F2942" t="s">
        <v>257</v>
      </c>
      <c r="G2942" t="s">
        <v>226</v>
      </c>
      <c r="H2942" t="s">
        <v>227</v>
      </c>
    </row>
    <row r="2943" spans="1:9">
      <c r="A2943" t="s">
        <v>195</v>
      </c>
      <c r="B2943" t="s">
        <v>196</v>
      </c>
      <c r="C2943">
        <v>194</v>
      </c>
      <c r="D2943" t="s">
        <v>194</v>
      </c>
      <c r="E2943">
        <v>1186</v>
      </c>
      <c r="F2943" s="3">
        <v>5.1999999999999998E-3</v>
      </c>
      <c r="G2943" s="3">
        <v>0.61939999999999995</v>
      </c>
      <c r="H2943" s="3">
        <v>0.37540000000000001</v>
      </c>
    </row>
    <row r="2944" spans="1:9">
      <c r="A2944" t="s">
        <v>195</v>
      </c>
      <c r="B2944" t="s">
        <v>198</v>
      </c>
      <c r="C2944">
        <v>330</v>
      </c>
      <c r="D2944" t="s">
        <v>194</v>
      </c>
      <c r="E2944">
        <v>1186</v>
      </c>
      <c r="F2944" s="3">
        <v>1.5800000000000002E-2</v>
      </c>
      <c r="G2944" s="3">
        <v>0.60909999999999997</v>
      </c>
      <c r="H2944" s="3">
        <v>0.37509999999999999</v>
      </c>
    </row>
    <row r="2945" spans="1:8">
      <c r="A2945" t="s">
        <v>199</v>
      </c>
      <c r="B2945" t="s">
        <v>196</v>
      </c>
      <c r="C2945">
        <v>250</v>
      </c>
      <c r="D2945" t="s">
        <v>194</v>
      </c>
      <c r="E2945">
        <v>1186</v>
      </c>
      <c r="G2945" s="3">
        <v>0.56840000000000002</v>
      </c>
      <c r="H2945" s="3">
        <v>0.43159999999999998</v>
      </c>
    </row>
    <row r="2946" spans="1:8">
      <c r="A2946" t="s">
        <v>199</v>
      </c>
      <c r="B2946" t="s">
        <v>198</v>
      </c>
      <c r="C2946">
        <v>393</v>
      </c>
      <c r="D2946" t="s">
        <v>194</v>
      </c>
      <c r="E2946">
        <v>1186</v>
      </c>
      <c r="F2946" s="3">
        <v>7.7999999999999996E-3</v>
      </c>
      <c r="G2946" s="3">
        <v>0.62919999999999998</v>
      </c>
      <c r="H2946" s="3">
        <v>0.36299999999999999</v>
      </c>
    </row>
    <row r="2947" spans="1:8">
      <c r="A2947" t="s">
        <v>200</v>
      </c>
      <c r="B2947" t="s">
        <v>200</v>
      </c>
      <c r="C2947">
        <v>1186</v>
      </c>
      <c r="D2947" t="s">
        <v>200</v>
      </c>
      <c r="E2947">
        <v>1186</v>
      </c>
      <c r="F2947" s="3">
        <v>9.1000000000000004E-3</v>
      </c>
      <c r="G2947" s="3">
        <v>0.61409999999999998</v>
      </c>
      <c r="H2947" s="3">
        <v>0.37680000000000002</v>
      </c>
    </row>
    <row r="2949" spans="1:8" ht="60">
      <c r="A2949" s="22" t="s">
        <v>706</v>
      </c>
    </row>
    <row r="2950" spans="1:8">
      <c r="A2950" t="s">
        <v>185</v>
      </c>
      <c r="B2950" t="s">
        <v>186</v>
      </c>
      <c r="C2950" t="s">
        <v>192</v>
      </c>
      <c r="D2950" t="s">
        <v>184</v>
      </c>
      <c r="E2950" t="s">
        <v>193</v>
      </c>
      <c r="F2950" t="s">
        <v>257</v>
      </c>
      <c r="G2950" t="s">
        <v>226</v>
      </c>
      <c r="H2950" t="s">
        <v>227</v>
      </c>
    </row>
    <row r="2951" spans="1:8">
      <c r="A2951" t="s">
        <v>195</v>
      </c>
      <c r="B2951" t="s">
        <v>202</v>
      </c>
      <c r="C2951">
        <v>226</v>
      </c>
      <c r="D2951" t="s">
        <v>194</v>
      </c>
      <c r="E2951">
        <v>1186</v>
      </c>
      <c r="F2951" s="3">
        <v>1.5800000000000002E-2</v>
      </c>
      <c r="G2951" s="3">
        <v>0.69689999999999996</v>
      </c>
      <c r="H2951" s="3">
        <v>0.2873</v>
      </c>
    </row>
    <row r="2952" spans="1:8">
      <c r="A2952" t="s">
        <v>195</v>
      </c>
      <c r="B2952" t="s">
        <v>204</v>
      </c>
      <c r="C2952">
        <v>153</v>
      </c>
      <c r="D2952" t="s">
        <v>194</v>
      </c>
      <c r="E2952">
        <v>1186</v>
      </c>
      <c r="F2952" s="3">
        <v>7.7999999999999996E-3</v>
      </c>
      <c r="G2952" s="3">
        <v>0.52880000000000005</v>
      </c>
      <c r="H2952" s="3">
        <v>0.46339999999999998</v>
      </c>
    </row>
    <row r="2953" spans="1:8">
      <c r="A2953" t="s">
        <v>195</v>
      </c>
      <c r="B2953" t="s">
        <v>205</v>
      </c>
      <c r="C2953">
        <v>145</v>
      </c>
      <c r="D2953" t="s">
        <v>194</v>
      </c>
      <c r="E2953">
        <v>1186</v>
      </c>
      <c r="F2953" s="3">
        <v>7.1000000000000004E-3</v>
      </c>
      <c r="G2953" s="3">
        <v>0.2828</v>
      </c>
      <c r="H2953" s="3">
        <v>0.71009999999999995</v>
      </c>
    </row>
    <row r="2954" spans="1:8">
      <c r="A2954" t="s">
        <v>199</v>
      </c>
      <c r="B2954" t="s">
        <v>202</v>
      </c>
      <c r="C2954">
        <v>220</v>
      </c>
      <c r="D2954" t="s">
        <v>194</v>
      </c>
      <c r="E2954">
        <v>1186</v>
      </c>
      <c r="F2954" s="3">
        <v>6.6E-3</v>
      </c>
      <c r="G2954" s="3">
        <v>0.68</v>
      </c>
      <c r="H2954" s="3">
        <v>0.3135</v>
      </c>
    </row>
    <row r="2955" spans="1:8">
      <c r="A2955" t="s">
        <v>199</v>
      </c>
      <c r="B2955" t="s">
        <v>204</v>
      </c>
      <c r="C2955">
        <v>175</v>
      </c>
      <c r="D2955" t="s">
        <v>194</v>
      </c>
      <c r="E2955">
        <v>1186</v>
      </c>
      <c r="F2955" s="3">
        <v>8.6999999999999994E-3</v>
      </c>
      <c r="G2955" s="3">
        <v>0.59609999999999996</v>
      </c>
      <c r="H2955" s="3">
        <v>0.3952</v>
      </c>
    </row>
    <row r="2956" spans="1:8">
      <c r="A2956" t="s">
        <v>199</v>
      </c>
      <c r="B2956" t="s">
        <v>205</v>
      </c>
      <c r="C2956">
        <v>248</v>
      </c>
      <c r="D2956" t="s">
        <v>194</v>
      </c>
      <c r="E2956">
        <v>1186</v>
      </c>
      <c r="F2956" s="3">
        <v>1.6000000000000001E-3</v>
      </c>
      <c r="G2956" s="3">
        <v>0.41420000000000001</v>
      </c>
      <c r="H2956" s="3">
        <v>0.58420000000000005</v>
      </c>
    </row>
    <row r="2957" spans="1:8">
      <c r="A2957" t="s">
        <v>200</v>
      </c>
      <c r="B2957" t="s">
        <v>200</v>
      </c>
      <c r="C2957">
        <v>1186</v>
      </c>
      <c r="D2957" t="s">
        <v>200</v>
      </c>
      <c r="E2957">
        <v>1186</v>
      </c>
      <c r="F2957" s="3">
        <v>9.1000000000000004E-3</v>
      </c>
      <c r="G2957" s="3">
        <v>0.61409999999999998</v>
      </c>
      <c r="H2957" s="3">
        <v>0.37680000000000002</v>
      </c>
    </row>
    <row r="2959" spans="1:8" ht="60">
      <c r="A2959" s="22" t="s">
        <v>707</v>
      </c>
    </row>
    <row r="2960" spans="1:8">
      <c r="A2960" t="s">
        <v>185</v>
      </c>
      <c r="B2960" t="s">
        <v>186</v>
      </c>
      <c r="C2960" t="s">
        <v>192</v>
      </c>
      <c r="D2960" t="s">
        <v>184</v>
      </c>
      <c r="E2960" t="s">
        <v>193</v>
      </c>
      <c r="F2960" t="s">
        <v>257</v>
      </c>
      <c r="G2960" t="s">
        <v>226</v>
      </c>
      <c r="H2960" t="s">
        <v>227</v>
      </c>
    </row>
    <row r="2961" spans="1:8">
      <c r="A2961" t="s">
        <v>195</v>
      </c>
      <c r="B2961" t="s">
        <v>207</v>
      </c>
      <c r="C2961">
        <v>113</v>
      </c>
      <c r="D2961" t="s">
        <v>194</v>
      </c>
      <c r="E2961">
        <v>1186</v>
      </c>
      <c r="F2961" s="3">
        <v>3.15E-2</v>
      </c>
      <c r="G2961" s="3">
        <v>0.53029999999999999</v>
      </c>
      <c r="H2961" s="3">
        <v>0.43830000000000002</v>
      </c>
    </row>
    <row r="2962" spans="1:8">
      <c r="A2962" t="s">
        <v>195</v>
      </c>
      <c r="B2962" t="s">
        <v>209</v>
      </c>
      <c r="C2962">
        <v>422</v>
      </c>
      <c r="D2962" t="s">
        <v>194</v>
      </c>
      <c r="E2962">
        <v>1186</v>
      </c>
      <c r="F2962" s="3">
        <v>7.7999999999999996E-3</v>
      </c>
      <c r="G2962" s="3">
        <v>0.63480000000000003</v>
      </c>
      <c r="H2962" s="3">
        <v>0.35749999999999998</v>
      </c>
    </row>
    <row r="2963" spans="1:8">
      <c r="A2963" t="s">
        <v>199</v>
      </c>
      <c r="B2963" t="s">
        <v>207</v>
      </c>
      <c r="C2963">
        <v>101</v>
      </c>
      <c r="D2963" t="s">
        <v>194</v>
      </c>
      <c r="E2963">
        <v>1186</v>
      </c>
      <c r="G2963" s="3">
        <v>0.57130000000000003</v>
      </c>
      <c r="H2963" s="3">
        <v>0.42870000000000003</v>
      </c>
    </row>
    <row r="2964" spans="1:8">
      <c r="A2964" t="s">
        <v>199</v>
      </c>
      <c r="B2964" t="s">
        <v>209</v>
      </c>
      <c r="C2964">
        <v>550</v>
      </c>
      <c r="D2964" t="s">
        <v>194</v>
      </c>
      <c r="E2964">
        <v>1186</v>
      </c>
      <c r="F2964" s="3">
        <v>7.0000000000000001E-3</v>
      </c>
      <c r="G2964" s="3">
        <v>0.62290000000000001</v>
      </c>
      <c r="H2964" s="3">
        <v>0.37009999999999998</v>
      </c>
    </row>
    <row r="2965" spans="1:8">
      <c r="A2965" t="s">
        <v>200</v>
      </c>
      <c r="B2965" t="s">
        <v>200</v>
      </c>
      <c r="C2965">
        <v>1186</v>
      </c>
      <c r="D2965" t="s">
        <v>200</v>
      </c>
      <c r="E2965">
        <v>1186</v>
      </c>
      <c r="F2965" s="3">
        <v>9.1000000000000004E-3</v>
      </c>
      <c r="G2965" s="3">
        <v>0.61409999999999998</v>
      </c>
      <c r="H2965" s="3">
        <v>0.37680000000000002</v>
      </c>
    </row>
    <row r="2967" spans="1:8" ht="60">
      <c r="A2967" s="22" t="s">
        <v>708</v>
      </c>
    </row>
    <row r="2968" spans="1:8">
      <c r="A2968" t="s">
        <v>185</v>
      </c>
      <c r="B2968" t="s">
        <v>192</v>
      </c>
      <c r="C2968" t="s">
        <v>184</v>
      </c>
      <c r="D2968" t="s">
        <v>193</v>
      </c>
      <c r="E2968" t="s">
        <v>257</v>
      </c>
      <c r="F2968" t="s">
        <v>226</v>
      </c>
      <c r="G2968" t="s">
        <v>227</v>
      </c>
    </row>
    <row r="2969" spans="1:8">
      <c r="A2969" t="s">
        <v>195</v>
      </c>
      <c r="B2969">
        <v>535</v>
      </c>
      <c r="C2969" t="s">
        <v>194</v>
      </c>
      <c r="D2969">
        <v>1186</v>
      </c>
      <c r="E2969" s="3">
        <v>1.29E-2</v>
      </c>
      <c r="F2969" s="3">
        <v>0.6119</v>
      </c>
      <c r="G2969" s="3">
        <v>0.37509999999999999</v>
      </c>
    </row>
    <row r="2970" spans="1:8">
      <c r="A2970" t="s">
        <v>199</v>
      </c>
      <c r="B2970">
        <v>651</v>
      </c>
      <c r="C2970" t="s">
        <v>194</v>
      </c>
      <c r="D2970">
        <v>1186</v>
      </c>
      <c r="E2970" s="3">
        <v>6.1000000000000004E-3</v>
      </c>
      <c r="F2970" s="3">
        <v>0.6159</v>
      </c>
      <c r="G2970" s="3">
        <v>0.378</v>
      </c>
    </row>
    <row r="2971" spans="1:8">
      <c r="A2971" t="s">
        <v>200</v>
      </c>
      <c r="B2971">
        <v>1186</v>
      </c>
      <c r="C2971" t="s">
        <v>200</v>
      </c>
      <c r="D2971">
        <v>1186</v>
      </c>
      <c r="E2971" s="3">
        <v>9.1000000000000004E-3</v>
      </c>
      <c r="F2971" s="3">
        <v>0.61409999999999998</v>
      </c>
      <c r="G2971" s="3">
        <v>0.37680000000000002</v>
      </c>
    </row>
    <row r="2973" spans="1:8" ht="45">
      <c r="A2973" s="22" t="s">
        <v>709</v>
      </c>
    </row>
    <row r="2974" spans="1:8">
      <c r="A2974" t="s">
        <v>185</v>
      </c>
      <c r="B2974" t="s">
        <v>186</v>
      </c>
      <c r="C2974" t="s">
        <v>192</v>
      </c>
      <c r="D2974" t="s">
        <v>184</v>
      </c>
      <c r="E2974" t="s">
        <v>193</v>
      </c>
      <c r="F2974" t="s">
        <v>257</v>
      </c>
      <c r="G2974" t="s">
        <v>226</v>
      </c>
      <c r="H2974" t="s">
        <v>227</v>
      </c>
    </row>
    <row r="2975" spans="1:8">
      <c r="A2975" t="s">
        <v>195</v>
      </c>
      <c r="B2975" t="s">
        <v>212</v>
      </c>
      <c r="C2975">
        <v>422</v>
      </c>
      <c r="D2975" t="s">
        <v>194</v>
      </c>
      <c r="E2975">
        <v>1186</v>
      </c>
      <c r="F2975" s="3">
        <v>1.2699999999999999E-2</v>
      </c>
      <c r="G2975" s="3">
        <v>0.64529999999999998</v>
      </c>
      <c r="H2975" s="3">
        <v>0.34200000000000003</v>
      </c>
    </row>
    <row r="2976" spans="1:8">
      <c r="A2976" t="s">
        <v>195</v>
      </c>
      <c r="B2976" t="s">
        <v>215</v>
      </c>
      <c r="C2976">
        <v>113</v>
      </c>
      <c r="D2976" t="s">
        <v>194</v>
      </c>
      <c r="E2976">
        <v>1186</v>
      </c>
      <c r="F2976" s="3">
        <v>1.43E-2</v>
      </c>
      <c r="G2976" s="3">
        <v>0.45390000000000003</v>
      </c>
      <c r="H2976" s="3">
        <v>0.53180000000000005</v>
      </c>
    </row>
    <row r="2977" spans="1:8">
      <c r="A2977" t="s">
        <v>199</v>
      </c>
      <c r="B2977" t="s">
        <v>212</v>
      </c>
      <c r="C2977">
        <v>503</v>
      </c>
      <c r="D2977" t="s">
        <v>194</v>
      </c>
      <c r="E2977">
        <v>1186</v>
      </c>
      <c r="F2977" s="3">
        <v>7.4999999999999997E-3</v>
      </c>
      <c r="G2977" s="3">
        <v>0.63100000000000001</v>
      </c>
      <c r="H2977" s="3">
        <v>0.36149999999999999</v>
      </c>
    </row>
    <row r="2978" spans="1:8">
      <c r="A2978" t="s">
        <v>199</v>
      </c>
      <c r="B2978" t="s">
        <v>215</v>
      </c>
      <c r="C2978">
        <v>148</v>
      </c>
      <c r="D2978" t="s">
        <v>194</v>
      </c>
      <c r="E2978">
        <v>1186</v>
      </c>
      <c r="G2978" s="3">
        <v>0.54990000000000006</v>
      </c>
      <c r="H2978" s="3">
        <v>0.4501</v>
      </c>
    </row>
    <row r="2979" spans="1:8">
      <c r="A2979" t="s">
        <v>200</v>
      </c>
      <c r="B2979" t="s">
        <v>200</v>
      </c>
      <c r="C2979">
        <v>1186</v>
      </c>
      <c r="D2979" t="s">
        <v>200</v>
      </c>
      <c r="E2979">
        <v>1186</v>
      </c>
      <c r="F2979" s="3">
        <v>9.1000000000000004E-3</v>
      </c>
      <c r="G2979" s="3">
        <v>0.61409999999999998</v>
      </c>
      <c r="H2979" s="3">
        <v>0.37680000000000002</v>
      </c>
    </row>
    <row r="2981" spans="1:8" ht="60">
      <c r="A2981" s="22" t="s">
        <v>710</v>
      </c>
    </row>
    <row r="2982" spans="1:8">
      <c r="A2982" t="s">
        <v>185</v>
      </c>
      <c r="B2982" t="s">
        <v>186</v>
      </c>
      <c r="C2982" t="s">
        <v>192</v>
      </c>
      <c r="D2982" t="s">
        <v>184</v>
      </c>
      <c r="E2982" t="s">
        <v>193</v>
      </c>
      <c r="F2982" t="s">
        <v>257</v>
      </c>
      <c r="G2982" t="s">
        <v>226</v>
      </c>
      <c r="H2982" t="s">
        <v>227</v>
      </c>
    </row>
    <row r="2983" spans="1:8">
      <c r="A2983" t="s">
        <v>195</v>
      </c>
      <c r="B2983" t="s">
        <v>304</v>
      </c>
      <c r="C2983">
        <v>150</v>
      </c>
      <c r="D2983" t="s">
        <v>194</v>
      </c>
      <c r="E2983">
        <v>1186</v>
      </c>
      <c r="F2983" s="3">
        <v>3.4000000000000002E-2</v>
      </c>
      <c r="G2983" s="3">
        <v>0.69099999999999995</v>
      </c>
      <c r="H2983" s="3">
        <v>0.27500000000000002</v>
      </c>
    </row>
    <row r="2984" spans="1:8">
      <c r="A2984" t="s">
        <v>195</v>
      </c>
      <c r="B2984" t="s">
        <v>305</v>
      </c>
      <c r="C2984">
        <v>370</v>
      </c>
      <c r="D2984" t="s">
        <v>194</v>
      </c>
      <c r="E2984">
        <v>1186</v>
      </c>
      <c r="F2984" s="3">
        <v>4.5999999999999999E-3</v>
      </c>
      <c r="G2984" s="3">
        <v>0.57540000000000002</v>
      </c>
      <c r="H2984" s="3">
        <v>0.42</v>
      </c>
    </row>
    <row r="2985" spans="1:8" s="25" customFormat="1">
      <c r="A2985" s="25" t="s">
        <v>195</v>
      </c>
      <c r="B2985" s="25" t="s">
        <v>306</v>
      </c>
      <c r="C2985" s="25">
        <v>5</v>
      </c>
      <c r="D2985" s="25" t="s">
        <v>194</v>
      </c>
      <c r="E2985" s="25">
        <v>1186</v>
      </c>
      <c r="G2985" s="26">
        <v>1.46E-2</v>
      </c>
      <c r="H2985" s="26">
        <v>0.98540000000000005</v>
      </c>
    </row>
    <row r="2986" spans="1:8" s="25" customFormat="1">
      <c r="A2986" s="25" t="s">
        <v>195</v>
      </c>
      <c r="B2986" s="25" t="s">
        <v>307</v>
      </c>
      <c r="C2986" s="25">
        <v>10</v>
      </c>
      <c r="D2986" s="25" t="s">
        <v>194</v>
      </c>
      <c r="E2986" s="25">
        <v>1186</v>
      </c>
      <c r="F2986" s="26">
        <v>4.2299999999999997E-2</v>
      </c>
      <c r="G2986" s="26">
        <v>0.9577</v>
      </c>
    </row>
    <row r="2987" spans="1:8">
      <c r="A2987" t="s">
        <v>199</v>
      </c>
      <c r="B2987" t="s">
        <v>304</v>
      </c>
      <c r="C2987">
        <v>84</v>
      </c>
      <c r="D2987" t="s">
        <v>194</v>
      </c>
      <c r="E2987">
        <v>1186</v>
      </c>
      <c r="G2987" s="3">
        <v>0.7077</v>
      </c>
      <c r="H2987" s="3">
        <v>0.2923</v>
      </c>
    </row>
    <row r="2988" spans="1:8">
      <c r="A2988" t="s">
        <v>199</v>
      </c>
      <c r="B2988" t="s">
        <v>305</v>
      </c>
      <c r="C2988">
        <v>547</v>
      </c>
      <c r="D2988" t="s">
        <v>194</v>
      </c>
      <c r="E2988">
        <v>1186</v>
      </c>
      <c r="F2988" s="3">
        <v>6.8999999999999999E-3</v>
      </c>
      <c r="G2988" s="3">
        <v>0.59840000000000004</v>
      </c>
      <c r="H2988" s="3">
        <v>0.3947</v>
      </c>
    </row>
    <row r="2989" spans="1:8" s="25" customFormat="1">
      <c r="A2989" s="25" t="s">
        <v>199</v>
      </c>
      <c r="B2989" s="25" t="s">
        <v>306</v>
      </c>
      <c r="C2989" s="25">
        <v>4</v>
      </c>
      <c r="D2989" s="25" t="s">
        <v>194</v>
      </c>
      <c r="E2989" s="25">
        <v>1186</v>
      </c>
      <c r="G2989" s="26">
        <v>0.77249999999999996</v>
      </c>
      <c r="H2989" s="26">
        <v>0.22750000000000001</v>
      </c>
    </row>
    <row r="2990" spans="1:8" s="25" customFormat="1">
      <c r="A2990" s="25" t="s">
        <v>199</v>
      </c>
      <c r="B2990" s="25" t="s">
        <v>307</v>
      </c>
      <c r="C2990" s="25">
        <v>16</v>
      </c>
      <c r="D2990" s="25" t="s">
        <v>194</v>
      </c>
      <c r="E2990" s="25">
        <v>1186</v>
      </c>
      <c r="G2990" s="26">
        <v>0.93930000000000002</v>
      </c>
      <c r="H2990" s="26">
        <v>6.0699999999999997E-2</v>
      </c>
    </row>
    <row r="2991" spans="1:8">
      <c r="A2991" t="s">
        <v>200</v>
      </c>
      <c r="B2991" t="s">
        <v>200</v>
      </c>
      <c r="C2991">
        <v>1186</v>
      </c>
      <c r="D2991" t="s">
        <v>200</v>
      </c>
      <c r="E2991">
        <v>1186</v>
      </c>
      <c r="F2991" s="3">
        <v>9.1000000000000004E-3</v>
      </c>
      <c r="G2991" s="3">
        <v>0.61409999999999998</v>
      </c>
      <c r="H2991" s="3">
        <v>0.37680000000000002</v>
      </c>
    </row>
    <row r="2993" spans="1:8" ht="60">
      <c r="A2993" s="22" t="s">
        <v>711</v>
      </c>
    </row>
    <row r="2994" spans="1:8">
      <c r="A2994" t="s">
        <v>185</v>
      </c>
      <c r="B2994" t="s">
        <v>186</v>
      </c>
      <c r="C2994" t="s">
        <v>192</v>
      </c>
      <c r="D2994" t="s">
        <v>184</v>
      </c>
      <c r="E2994" t="s">
        <v>193</v>
      </c>
      <c r="F2994" t="s">
        <v>257</v>
      </c>
      <c r="G2994" t="s">
        <v>226</v>
      </c>
      <c r="H2994" t="s">
        <v>227</v>
      </c>
    </row>
    <row r="2995" spans="1:8">
      <c r="A2995" t="s">
        <v>195</v>
      </c>
      <c r="B2995" t="s">
        <v>351</v>
      </c>
      <c r="C2995">
        <v>161</v>
      </c>
      <c r="D2995" t="s">
        <v>194</v>
      </c>
      <c r="E2995">
        <v>1186</v>
      </c>
      <c r="F2995" s="3">
        <v>2.3999999999999998E-3</v>
      </c>
      <c r="G2995" s="3">
        <v>0.60980000000000001</v>
      </c>
      <c r="H2995" s="3">
        <v>0.38779999999999998</v>
      </c>
    </row>
    <row r="2996" spans="1:8">
      <c r="A2996" t="s">
        <v>195</v>
      </c>
      <c r="B2996" t="s">
        <v>352</v>
      </c>
      <c r="C2996">
        <v>126</v>
      </c>
      <c r="D2996" t="s">
        <v>194</v>
      </c>
      <c r="E2996">
        <v>1186</v>
      </c>
      <c r="F2996" s="3">
        <v>8.3999999999999995E-3</v>
      </c>
      <c r="G2996" s="3">
        <v>0.48859999999999998</v>
      </c>
      <c r="H2996" s="3">
        <v>0.503</v>
      </c>
    </row>
    <row r="2997" spans="1:8">
      <c r="A2997" t="s">
        <v>195</v>
      </c>
      <c r="B2997" t="s">
        <v>353</v>
      </c>
      <c r="C2997">
        <v>114</v>
      </c>
      <c r="D2997" t="s">
        <v>194</v>
      </c>
      <c r="E2997">
        <v>1186</v>
      </c>
      <c r="F2997" s="3">
        <v>1.4800000000000001E-2</v>
      </c>
      <c r="G2997" s="3">
        <v>0.68379999999999996</v>
      </c>
      <c r="H2997" s="3">
        <v>0.3014</v>
      </c>
    </row>
    <row r="2998" spans="1:8">
      <c r="A2998" t="s">
        <v>195</v>
      </c>
      <c r="B2998" t="s">
        <v>354</v>
      </c>
      <c r="C2998">
        <v>85</v>
      </c>
      <c r="D2998" t="s">
        <v>194</v>
      </c>
      <c r="E2998">
        <v>1186</v>
      </c>
      <c r="F2998" s="3">
        <v>1.4200000000000001E-2</v>
      </c>
      <c r="G2998" s="3">
        <v>0.70979999999999999</v>
      </c>
      <c r="H2998" s="3">
        <v>0.27600000000000002</v>
      </c>
    </row>
    <row r="2999" spans="1:8">
      <c r="A2999" t="s">
        <v>199</v>
      </c>
      <c r="B2999" t="s">
        <v>351</v>
      </c>
      <c r="C2999">
        <v>153</v>
      </c>
      <c r="D2999" t="s">
        <v>194</v>
      </c>
      <c r="E2999">
        <v>1186</v>
      </c>
      <c r="G2999" s="3">
        <v>0.60240000000000005</v>
      </c>
      <c r="H2999" s="3">
        <v>0.39760000000000001</v>
      </c>
    </row>
    <row r="3000" spans="1:8">
      <c r="A3000" t="s">
        <v>199</v>
      </c>
      <c r="B3000" t="s">
        <v>352</v>
      </c>
      <c r="C3000">
        <v>106</v>
      </c>
      <c r="D3000" t="s">
        <v>194</v>
      </c>
      <c r="E3000">
        <v>1186</v>
      </c>
      <c r="G3000" s="3">
        <v>0.625</v>
      </c>
      <c r="H3000" s="3">
        <v>0.375</v>
      </c>
    </row>
    <row r="3001" spans="1:8">
      <c r="A3001" t="s">
        <v>199</v>
      </c>
      <c r="B3001" t="s">
        <v>353</v>
      </c>
      <c r="C3001">
        <v>144</v>
      </c>
      <c r="D3001" t="s">
        <v>194</v>
      </c>
      <c r="E3001">
        <v>1186</v>
      </c>
      <c r="F3001" s="3">
        <v>7.9000000000000008E-3</v>
      </c>
      <c r="G3001" s="3">
        <v>0.64970000000000006</v>
      </c>
      <c r="H3001" s="3">
        <v>0.34239999999999998</v>
      </c>
    </row>
    <row r="3002" spans="1:8">
      <c r="A3002" t="s">
        <v>199</v>
      </c>
      <c r="B3002" t="s">
        <v>354</v>
      </c>
      <c r="C3002">
        <v>155</v>
      </c>
      <c r="D3002" t="s">
        <v>194</v>
      </c>
      <c r="E3002">
        <v>1186</v>
      </c>
      <c r="F3002" s="3">
        <v>9.9000000000000008E-3</v>
      </c>
      <c r="G3002" s="3">
        <v>0.59179999999999999</v>
      </c>
      <c r="H3002" s="3">
        <v>0.39829999999999999</v>
      </c>
    </row>
    <row r="3003" spans="1:8">
      <c r="A3003" t="s">
        <v>200</v>
      </c>
      <c r="B3003" t="s">
        <v>200</v>
      </c>
      <c r="C3003">
        <v>1186</v>
      </c>
      <c r="D3003" t="s">
        <v>200</v>
      </c>
      <c r="E3003">
        <v>1186</v>
      </c>
      <c r="F3003" s="3">
        <v>9.1000000000000004E-3</v>
      </c>
      <c r="G3003" s="3">
        <v>0.61409999999999998</v>
      </c>
      <c r="H3003" s="3">
        <v>0.37680000000000002</v>
      </c>
    </row>
    <row r="3005" spans="1:8" ht="60">
      <c r="A3005" s="22" t="s">
        <v>712</v>
      </c>
    </row>
    <row r="3006" spans="1:8">
      <c r="A3006" t="s">
        <v>185</v>
      </c>
      <c r="B3006" t="s">
        <v>186</v>
      </c>
      <c r="C3006" t="s">
        <v>192</v>
      </c>
      <c r="D3006" t="s">
        <v>184</v>
      </c>
      <c r="E3006" t="s">
        <v>193</v>
      </c>
      <c r="F3006" t="s">
        <v>257</v>
      </c>
      <c r="G3006" t="s">
        <v>226</v>
      </c>
      <c r="H3006" t="s">
        <v>227</v>
      </c>
    </row>
    <row r="3007" spans="1:8">
      <c r="A3007" t="s">
        <v>195</v>
      </c>
      <c r="B3007" t="s">
        <v>217</v>
      </c>
      <c r="C3007">
        <v>235</v>
      </c>
      <c r="D3007" t="s">
        <v>194</v>
      </c>
      <c r="E3007">
        <v>1186</v>
      </c>
      <c r="F3007" s="3">
        <v>9.7999999999999997E-3</v>
      </c>
      <c r="G3007" s="3">
        <v>0.51929999999999998</v>
      </c>
      <c r="H3007" s="3">
        <v>0.47089999999999999</v>
      </c>
    </row>
    <row r="3008" spans="1:8">
      <c r="A3008" t="s">
        <v>195</v>
      </c>
      <c r="B3008" t="s">
        <v>219</v>
      </c>
      <c r="C3008">
        <v>245</v>
      </c>
      <c r="D3008" t="s">
        <v>194</v>
      </c>
      <c r="E3008">
        <v>1186</v>
      </c>
      <c r="F3008" s="3">
        <v>1.9900000000000001E-2</v>
      </c>
      <c r="G3008" s="3">
        <v>0.67390000000000005</v>
      </c>
      <c r="H3008" s="3">
        <v>0.30620000000000003</v>
      </c>
    </row>
    <row r="3009" spans="1:10">
      <c r="A3009" t="s">
        <v>195</v>
      </c>
      <c r="B3009" t="s">
        <v>220</v>
      </c>
      <c r="C3009">
        <v>54</v>
      </c>
      <c r="D3009" t="s">
        <v>194</v>
      </c>
      <c r="E3009">
        <v>1186</v>
      </c>
      <c r="G3009" s="3">
        <v>0.73540000000000005</v>
      </c>
      <c r="H3009" s="3">
        <v>0.2646</v>
      </c>
    </row>
    <row r="3010" spans="1:10">
      <c r="A3010" t="s">
        <v>199</v>
      </c>
      <c r="B3010" t="s">
        <v>217</v>
      </c>
      <c r="C3010">
        <v>389</v>
      </c>
      <c r="D3010" t="s">
        <v>194</v>
      </c>
      <c r="E3010">
        <v>1186</v>
      </c>
      <c r="F3010" s="3">
        <v>8.8999999999999999E-3</v>
      </c>
      <c r="G3010" s="3">
        <v>0.60740000000000005</v>
      </c>
      <c r="H3010" s="3">
        <v>0.38369999999999999</v>
      </c>
    </row>
    <row r="3011" spans="1:10">
      <c r="A3011" t="s">
        <v>199</v>
      </c>
      <c r="B3011" t="s">
        <v>219</v>
      </c>
      <c r="C3011">
        <v>185</v>
      </c>
      <c r="D3011" t="s">
        <v>194</v>
      </c>
      <c r="E3011">
        <v>1186</v>
      </c>
      <c r="G3011" s="3">
        <v>0.6734</v>
      </c>
      <c r="H3011" s="3">
        <v>0.3266</v>
      </c>
    </row>
    <row r="3012" spans="1:10">
      <c r="A3012" t="s">
        <v>199</v>
      </c>
      <c r="B3012" t="s">
        <v>220</v>
      </c>
      <c r="C3012">
        <v>77</v>
      </c>
      <c r="D3012" t="s">
        <v>194</v>
      </c>
      <c r="E3012">
        <v>1186</v>
      </c>
      <c r="G3012" s="3">
        <v>0.57379999999999998</v>
      </c>
      <c r="H3012" s="3">
        <v>0.42620000000000002</v>
      </c>
    </row>
    <row r="3013" spans="1:10">
      <c r="A3013" t="s">
        <v>200</v>
      </c>
      <c r="B3013" t="s">
        <v>200</v>
      </c>
      <c r="C3013">
        <v>1186</v>
      </c>
      <c r="D3013" t="s">
        <v>200</v>
      </c>
      <c r="E3013">
        <v>1186</v>
      </c>
      <c r="F3013" s="3">
        <v>9.1000000000000004E-3</v>
      </c>
      <c r="G3013" s="3">
        <v>0.61409999999999998</v>
      </c>
      <c r="H3013" s="3">
        <v>0.37680000000000002</v>
      </c>
    </row>
    <row r="3015" spans="1:10" ht="45">
      <c r="A3015" s="22" t="s">
        <v>713</v>
      </c>
    </row>
    <row r="3016" spans="1:10">
      <c r="A3016" t="s">
        <v>184</v>
      </c>
      <c r="B3016" t="s">
        <v>185</v>
      </c>
      <c r="C3016" t="s">
        <v>186</v>
      </c>
      <c r="D3016" t="s">
        <v>187</v>
      </c>
      <c r="E3016" t="s">
        <v>188</v>
      </c>
      <c r="F3016" t="s">
        <v>189</v>
      </c>
      <c r="G3016" t="s">
        <v>190</v>
      </c>
      <c r="H3016" t="s">
        <v>191</v>
      </c>
      <c r="I3016" t="s">
        <v>192</v>
      </c>
      <c r="J3016" t="s">
        <v>193</v>
      </c>
    </row>
    <row r="3017" spans="1:10">
      <c r="A3017" t="s">
        <v>194</v>
      </c>
      <c r="B3017" t="s">
        <v>195</v>
      </c>
      <c r="C3017" t="s">
        <v>196</v>
      </c>
      <c r="D3017" t="s">
        <v>197</v>
      </c>
      <c r="E3017">
        <v>11.174198148580389</v>
      </c>
      <c r="F3017">
        <v>7</v>
      </c>
      <c r="G3017">
        <v>0</v>
      </c>
      <c r="H3017">
        <v>56</v>
      </c>
      <c r="I3017">
        <v>194</v>
      </c>
      <c r="J3017">
        <v>1186</v>
      </c>
    </row>
    <row r="3018" spans="1:10">
      <c r="A3018" t="s">
        <v>194</v>
      </c>
      <c r="B3018" t="s">
        <v>195</v>
      </c>
      <c r="C3018" t="s">
        <v>198</v>
      </c>
      <c r="D3018" t="s">
        <v>197</v>
      </c>
      <c r="E3018">
        <v>9.6561504315107971</v>
      </c>
      <c r="F3018">
        <v>8</v>
      </c>
      <c r="G3018">
        <v>0</v>
      </c>
      <c r="H3018">
        <v>56</v>
      </c>
      <c r="I3018">
        <v>330</v>
      </c>
      <c r="J3018">
        <v>1186</v>
      </c>
    </row>
    <row r="3019" spans="1:10">
      <c r="A3019" t="s">
        <v>194</v>
      </c>
      <c r="B3019" t="s">
        <v>199</v>
      </c>
      <c r="C3019" t="s">
        <v>196</v>
      </c>
      <c r="D3019" t="s">
        <v>197</v>
      </c>
      <c r="E3019">
        <v>9.8672146472497797</v>
      </c>
      <c r="F3019">
        <v>10</v>
      </c>
      <c r="G3019">
        <v>0</v>
      </c>
      <c r="H3019">
        <v>42</v>
      </c>
      <c r="I3019">
        <v>250</v>
      </c>
      <c r="J3019">
        <v>1186</v>
      </c>
    </row>
    <row r="3020" spans="1:10">
      <c r="A3020" t="s">
        <v>194</v>
      </c>
      <c r="B3020" t="s">
        <v>199</v>
      </c>
      <c r="C3020" t="s">
        <v>198</v>
      </c>
      <c r="D3020" t="s">
        <v>197</v>
      </c>
      <c r="E3020">
        <v>10.54916477172713</v>
      </c>
      <c r="F3020">
        <v>9</v>
      </c>
      <c r="G3020">
        <v>0</v>
      </c>
      <c r="H3020">
        <v>59</v>
      </c>
      <c r="I3020">
        <v>393</v>
      </c>
      <c r="J3020">
        <v>1186</v>
      </c>
    </row>
    <row r="3021" spans="1:10">
      <c r="A3021" t="s">
        <v>200</v>
      </c>
      <c r="B3021" t="s">
        <v>200</v>
      </c>
      <c r="C3021" t="s">
        <v>200</v>
      </c>
      <c r="D3021" t="s">
        <v>200</v>
      </c>
      <c r="E3021">
        <v>10.244468620342451</v>
      </c>
      <c r="F3021">
        <v>8</v>
      </c>
      <c r="G3021">
        <v>0</v>
      </c>
      <c r="H3021">
        <v>59</v>
      </c>
      <c r="I3021">
        <v>1186</v>
      </c>
      <c r="J3021">
        <v>1186</v>
      </c>
    </row>
    <row r="3023" spans="1:10" ht="45">
      <c r="A3023" s="22" t="s">
        <v>714</v>
      </c>
    </row>
    <row r="3024" spans="1:10">
      <c r="A3024" t="s">
        <v>184</v>
      </c>
      <c r="B3024" t="s">
        <v>185</v>
      </c>
      <c r="C3024" t="s">
        <v>186</v>
      </c>
      <c r="D3024" t="s">
        <v>187</v>
      </c>
      <c r="E3024" t="s">
        <v>188</v>
      </c>
      <c r="F3024" t="s">
        <v>189</v>
      </c>
      <c r="G3024" t="s">
        <v>190</v>
      </c>
      <c r="H3024" t="s">
        <v>191</v>
      </c>
      <c r="I3024" t="s">
        <v>192</v>
      </c>
      <c r="J3024" t="s">
        <v>193</v>
      </c>
    </row>
    <row r="3025" spans="1:10">
      <c r="A3025" t="s">
        <v>194</v>
      </c>
      <c r="B3025" t="s">
        <v>195</v>
      </c>
      <c r="C3025" t="s">
        <v>202</v>
      </c>
      <c r="D3025" t="s">
        <v>203</v>
      </c>
      <c r="E3025">
        <v>9.6223994133924204</v>
      </c>
      <c r="F3025">
        <v>8</v>
      </c>
      <c r="G3025">
        <v>0</v>
      </c>
      <c r="H3025">
        <v>56</v>
      </c>
      <c r="I3025">
        <v>226</v>
      </c>
      <c r="J3025">
        <v>1186</v>
      </c>
    </row>
    <row r="3026" spans="1:10">
      <c r="A3026" t="s">
        <v>194</v>
      </c>
      <c r="B3026" t="s">
        <v>195</v>
      </c>
      <c r="C3026" t="s">
        <v>204</v>
      </c>
      <c r="D3026" t="s">
        <v>203</v>
      </c>
      <c r="E3026">
        <v>10.54989512120102</v>
      </c>
      <c r="F3026">
        <v>7</v>
      </c>
      <c r="G3026">
        <v>0</v>
      </c>
      <c r="H3026">
        <v>56</v>
      </c>
      <c r="I3026">
        <v>153</v>
      </c>
      <c r="J3026">
        <v>1186</v>
      </c>
    </row>
    <row r="3027" spans="1:10">
      <c r="A3027" t="s">
        <v>194</v>
      </c>
      <c r="B3027" t="s">
        <v>195</v>
      </c>
      <c r="C3027" t="s">
        <v>205</v>
      </c>
      <c r="D3027" t="s">
        <v>203</v>
      </c>
      <c r="E3027">
        <v>11.543661119268871</v>
      </c>
      <c r="F3027">
        <v>7</v>
      </c>
      <c r="G3027">
        <v>0</v>
      </c>
      <c r="H3027">
        <v>50</v>
      </c>
      <c r="I3027">
        <v>145</v>
      </c>
      <c r="J3027">
        <v>1186</v>
      </c>
    </row>
    <row r="3028" spans="1:10">
      <c r="A3028" t="s">
        <v>194</v>
      </c>
      <c r="B3028" t="s">
        <v>199</v>
      </c>
      <c r="C3028" t="s">
        <v>202</v>
      </c>
      <c r="D3028" t="s">
        <v>203</v>
      </c>
      <c r="E3028">
        <v>11.253886968291569</v>
      </c>
      <c r="F3028">
        <v>10</v>
      </c>
      <c r="G3028">
        <v>0</v>
      </c>
      <c r="H3028">
        <v>50</v>
      </c>
      <c r="I3028">
        <v>220</v>
      </c>
      <c r="J3028">
        <v>1186</v>
      </c>
    </row>
    <row r="3029" spans="1:10">
      <c r="A3029" t="s">
        <v>194</v>
      </c>
      <c r="B3029" t="s">
        <v>199</v>
      </c>
      <c r="C3029" t="s">
        <v>204</v>
      </c>
      <c r="D3029" t="s">
        <v>203</v>
      </c>
      <c r="E3029">
        <v>8.3984892529530626</v>
      </c>
      <c r="F3029">
        <v>5</v>
      </c>
      <c r="G3029">
        <v>0</v>
      </c>
      <c r="H3029">
        <v>59</v>
      </c>
      <c r="I3029">
        <v>175</v>
      </c>
      <c r="J3029">
        <v>1186</v>
      </c>
    </row>
    <row r="3030" spans="1:10">
      <c r="A3030" t="s">
        <v>194</v>
      </c>
      <c r="B3030" t="s">
        <v>199</v>
      </c>
      <c r="C3030" t="s">
        <v>205</v>
      </c>
      <c r="D3030" t="s">
        <v>203</v>
      </c>
      <c r="E3030">
        <v>9.5638606363681529</v>
      </c>
      <c r="F3030">
        <v>7</v>
      </c>
      <c r="G3030">
        <v>0</v>
      </c>
      <c r="H3030">
        <v>59</v>
      </c>
      <c r="I3030">
        <v>248</v>
      </c>
      <c r="J3030">
        <v>1186</v>
      </c>
    </row>
    <row r="3031" spans="1:10">
      <c r="A3031" t="s">
        <v>200</v>
      </c>
      <c r="B3031" t="s">
        <v>200</v>
      </c>
      <c r="C3031" t="s">
        <v>200</v>
      </c>
      <c r="D3031" t="s">
        <v>200</v>
      </c>
      <c r="E3031">
        <v>10.244468620342451</v>
      </c>
      <c r="F3031">
        <v>8</v>
      </c>
      <c r="G3031">
        <v>0</v>
      </c>
      <c r="H3031">
        <v>59</v>
      </c>
      <c r="I3031">
        <v>1186</v>
      </c>
      <c r="J3031">
        <v>1186</v>
      </c>
    </row>
    <row r="3033" spans="1:10" ht="45">
      <c r="A3033" s="22" t="s">
        <v>715</v>
      </c>
    </row>
    <row r="3034" spans="1:10">
      <c r="A3034" t="s">
        <v>184</v>
      </c>
      <c r="B3034" t="s">
        <v>185</v>
      </c>
      <c r="C3034" t="s">
        <v>186</v>
      </c>
      <c r="D3034" t="s">
        <v>187</v>
      </c>
      <c r="E3034" t="s">
        <v>188</v>
      </c>
      <c r="F3034" t="s">
        <v>189</v>
      </c>
      <c r="G3034" t="s">
        <v>190</v>
      </c>
      <c r="H3034" t="s">
        <v>191</v>
      </c>
      <c r="I3034" t="s">
        <v>192</v>
      </c>
      <c r="J3034" t="s">
        <v>193</v>
      </c>
    </row>
    <row r="3035" spans="1:10">
      <c r="A3035" t="s">
        <v>194</v>
      </c>
      <c r="B3035" t="s">
        <v>195</v>
      </c>
      <c r="C3035" t="s">
        <v>207</v>
      </c>
      <c r="D3035" t="s">
        <v>208</v>
      </c>
      <c r="E3035">
        <v>9.8052261143862793</v>
      </c>
      <c r="F3035">
        <v>10</v>
      </c>
      <c r="G3035">
        <v>0</v>
      </c>
      <c r="H3035">
        <v>56</v>
      </c>
      <c r="I3035">
        <v>113</v>
      </c>
      <c r="J3035">
        <v>1186</v>
      </c>
    </row>
    <row r="3036" spans="1:10">
      <c r="A3036" t="s">
        <v>194</v>
      </c>
      <c r="B3036" t="s">
        <v>195</v>
      </c>
      <c r="C3036" t="s">
        <v>209</v>
      </c>
      <c r="D3036" t="s">
        <v>208</v>
      </c>
      <c r="E3036">
        <v>10.126530511791779</v>
      </c>
      <c r="F3036">
        <v>7</v>
      </c>
      <c r="G3036">
        <v>0</v>
      </c>
      <c r="H3036">
        <v>56</v>
      </c>
      <c r="I3036">
        <v>422</v>
      </c>
      <c r="J3036">
        <v>1186</v>
      </c>
    </row>
    <row r="3037" spans="1:10">
      <c r="A3037" t="s">
        <v>194</v>
      </c>
      <c r="B3037" t="s">
        <v>199</v>
      </c>
      <c r="C3037" t="s">
        <v>207</v>
      </c>
      <c r="D3037" t="s">
        <v>208</v>
      </c>
      <c r="E3037">
        <v>13.1834788397069</v>
      </c>
      <c r="F3037">
        <v>8</v>
      </c>
      <c r="G3037">
        <v>0</v>
      </c>
      <c r="H3037">
        <v>50</v>
      </c>
      <c r="I3037">
        <v>101</v>
      </c>
      <c r="J3037">
        <v>1186</v>
      </c>
    </row>
    <row r="3038" spans="1:10">
      <c r="A3038" t="s">
        <v>194</v>
      </c>
      <c r="B3038" t="s">
        <v>199</v>
      </c>
      <c r="C3038" t="s">
        <v>209</v>
      </c>
      <c r="D3038" t="s">
        <v>208</v>
      </c>
      <c r="E3038">
        <v>9.9555499017079523</v>
      </c>
      <c r="F3038">
        <v>9</v>
      </c>
      <c r="G3038">
        <v>0</v>
      </c>
      <c r="H3038">
        <v>59</v>
      </c>
      <c r="I3038">
        <v>550</v>
      </c>
      <c r="J3038">
        <v>1186</v>
      </c>
    </row>
    <row r="3039" spans="1:10">
      <c r="A3039" t="s">
        <v>200</v>
      </c>
      <c r="B3039" t="s">
        <v>200</v>
      </c>
      <c r="C3039" t="s">
        <v>200</v>
      </c>
      <c r="D3039" t="s">
        <v>200</v>
      </c>
      <c r="E3039">
        <v>10.244468620342451</v>
      </c>
      <c r="F3039">
        <v>8</v>
      </c>
      <c r="G3039">
        <v>0</v>
      </c>
      <c r="H3039">
        <v>59</v>
      </c>
      <c r="I3039">
        <v>1186</v>
      </c>
      <c r="J3039">
        <v>1186</v>
      </c>
    </row>
    <row r="3041" spans="1:10" ht="45">
      <c r="A3041" s="22" t="s">
        <v>716</v>
      </c>
    </row>
    <row r="3042" spans="1:10">
      <c r="A3042" t="s">
        <v>184</v>
      </c>
      <c r="B3042" t="s">
        <v>185</v>
      </c>
      <c r="C3042" t="s">
        <v>188</v>
      </c>
      <c r="D3042" t="s">
        <v>189</v>
      </c>
      <c r="E3042" t="s">
        <v>190</v>
      </c>
      <c r="F3042" t="s">
        <v>191</v>
      </c>
      <c r="G3042" t="s">
        <v>192</v>
      </c>
      <c r="H3042" t="s">
        <v>193</v>
      </c>
    </row>
    <row r="3043" spans="1:10">
      <c r="A3043" t="s">
        <v>194</v>
      </c>
      <c r="B3043" t="s">
        <v>195</v>
      </c>
      <c r="C3043">
        <v>10.05617184956867</v>
      </c>
      <c r="D3043">
        <v>8</v>
      </c>
      <c r="E3043">
        <v>0</v>
      </c>
      <c r="F3043">
        <v>56</v>
      </c>
      <c r="G3043">
        <v>535</v>
      </c>
      <c r="H3043">
        <v>1186</v>
      </c>
    </row>
    <row r="3044" spans="1:10">
      <c r="A3044" t="s">
        <v>194</v>
      </c>
      <c r="B3044" t="s">
        <v>199</v>
      </c>
      <c r="C3044">
        <v>10.39500356025833</v>
      </c>
      <c r="D3044">
        <v>9</v>
      </c>
      <c r="E3044">
        <v>0</v>
      </c>
      <c r="F3044">
        <v>59</v>
      </c>
      <c r="G3044">
        <v>651</v>
      </c>
      <c r="H3044">
        <v>1186</v>
      </c>
    </row>
    <row r="3045" spans="1:10">
      <c r="A3045" t="s">
        <v>200</v>
      </c>
      <c r="B3045" t="s">
        <v>200</v>
      </c>
      <c r="C3045">
        <v>10.244468620342451</v>
      </c>
      <c r="D3045">
        <v>8</v>
      </c>
      <c r="E3045">
        <v>0</v>
      </c>
      <c r="F3045">
        <v>59</v>
      </c>
      <c r="G3045">
        <v>1186</v>
      </c>
      <c r="H3045">
        <v>1186</v>
      </c>
    </row>
    <row r="3047" spans="1:10" ht="45">
      <c r="A3047" s="22" t="s">
        <v>717</v>
      </c>
    </row>
    <row r="3048" spans="1:10">
      <c r="A3048" t="s">
        <v>184</v>
      </c>
      <c r="B3048" t="s">
        <v>185</v>
      </c>
      <c r="C3048" t="s">
        <v>186</v>
      </c>
      <c r="D3048" t="s">
        <v>187</v>
      </c>
      <c r="E3048" t="s">
        <v>188</v>
      </c>
      <c r="F3048" t="s">
        <v>189</v>
      </c>
      <c r="G3048" t="s">
        <v>190</v>
      </c>
      <c r="H3048" t="s">
        <v>191</v>
      </c>
      <c r="I3048" t="s">
        <v>192</v>
      </c>
      <c r="J3048" t="s">
        <v>193</v>
      </c>
    </row>
    <row r="3049" spans="1:10">
      <c r="A3049" t="s">
        <v>194</v>
      </c>
      <c r="B3049" t="s">
        <v>195</v>
      </c>
      <c r="C3049" t="s">
        <v>212</v>
      </c>
      <c r="D3049" t="s">
        <v>213</v>
      </c>
      <c r="E3049">
        <v>9.3720665959382448</v>
      </c>
      <c r="F3049">
        <v>7</v>
      </c>
      <c r="G3049">
        <v>0</v>
      </c>
      <c r="H3049">
        <v>56</v>
      </c>
      <c r="I3049">
        <v>422</v>
      </c>
      <c r="J3049">
        <v>1186</v>
      </c>
    </row>
    <row r="3050" spans="1:10">
      <c r="A3050" t="s">
        <v>194</v>
      </c>
      <c r="B3050" t="s">
        <v>195</v>
      </c>
      <c r="C3050" t="s">
        <v>215</v>
      </c>
      <c r="D3050" t="s">
        <v>213</v>
      </c>
      <c r="E3050">
        <v>13.29197667945339</v>
      </c>
      <c r="F3050">
        <v>12</v>
      </c>
      <c r="G3050">
        <v>0</v>
      </c>
      <c r="H3050">
        <v>46</v>
      </c>
      <c r="I3050">
        <v>113</v>
      </c>
      <c r="J3050">
        <v>1186</v>
      </c>
    </row>
    <row r="3051" spans="1:10">
      <c r="A3051" t="s">
        <v>194</v>
      </c>
      <c r="B3051" t="s">
        <v>199</v>
      </c>
      <c r="C3051" t="s">
        <v>212</v>
      </c>
      <c r="D3051" t="s">
        <v>213</v>
      </c>
      <c r="E3051">
        <v>10.08081387913445</v>
      </c>
      <c r="F3051">
        <v>8</v>
      </c>
      <c r="G3051">
        <v>0</v>
      </c>
      <c r="H3051">
        <v>59</v>
      </c>
      <c r="I3051">
        <v>503</v>
      </c>
      <c r="J3051">
        <v>1186</v>
      </c>
    </row>
    <row r="3052" spans="1:10">
      <c r="A3052" t="s">
        <v>194</v>
      </c>
      <c r="B3052" t="s">
        <v>199</v>
      </c>
      <c r="C3052" t="s">
        <v>215</v>
      </c>
      <c r="D3052" t="s">
        <v>213</v>
      </c>
      <c r="E3052">
        <v>11.766914559983711</v>
      </c>
      <c r="F3052">
        <v>10</v>
      </c>
      <c r="G3052">
        <v>0</v>
      </c>
      <c r="H3052">
        <v>59</v>
      </c>
      <c r="I3052">
        <v>148</v>
      </c>
      <c r="J3052">
        <v>1186</v>
      </c>
    </row>
    <row r="3053" spans="1:10">
      <c r="A3053" t="s">
        <v>200</v>
      </c>
      <c r="B3053" t="s">
        <v>200</v>
      </c>
      <c r="C3053" t="s">
        <v>200</v>
      </c>
      <c r="D3053" t="s">
        <v>200</v>
      </c>
      <c r="E3053">
        <v>10.244468620342451</v>
      </c>
      <c r="F3053">
        <v>8</v>
      </c>
      <c r="G3053">
        <v>0</v>
      </c>
      <c r="H3053">
        <v>59</v>
      </c>
      <c r="I3053">
        <v>1186</v>
      </c>
      <c r="J3053">
        <v>1186</v>
      </c>
    </row>
    <row r="3055" spans="1:10" ht="45">
      <c r="A3055" s="22" t="s">
        <v>718</v>
      </c>
    </row>
    <row r="3056" spans="1:10">
      <c r="A3056" t="s">
        <v>184</v>
      </c>
      <c r="B3056" t="s">
        <v>185</v>
      </c>
      <c r="C3056" t="s">
        <v>186</v>
      </c>
      <c r="D3056" t="s">
        <v>187</v>
      </c>
      <c r="E3056" t="s">
        <v>188</v>
      </c>
      <c r="F3056" t="s">
        <v>189</v>
      </c>
      <c r="G3056" t="s">
        <v>190</v>
      </c>
      <c r="H3056" t="s">
        <v>191</v>
      </c>
      <c r="I3056" t="s">
        <v>192</v>
      </c>
      <c r="J3056" t="s">
        <v>193</v>
      </c>
    </row>
    <row r="3057" spans="1:10">
      <c r="A3057" t="s">
        <v>194</v>
      </c>
      <c r="B3057" t="s">
        <v>195</v>
      </c>
      <c r="C3057" t="s">
        <v>304</v>
      </c>
      <c r="D3057" t="s">
        <v>719</v>
      </c>
      <c r="E3057">
        <v>11.85498413656236</v>
      </c>
      <c r="F3057">
        <v>7</v>
      </c>
      <c r="G3057">
        <v>0</v>
      </c>
      <c r="H3057">
        <v>56</v>
      </c>
      <c r="I3057">
        <v>150</v>
      </c>
      <c r="J3057">
        <v>1186</v>
      </c>
    </row>
    <row r="3058" spans="1:10">
      <c r="A3058" t="s">
        <v>194</v>
      </c>
      <c r="B3058" t="s">
        <v>195</v>
      </c>
      <c r="C3058" t="s">
        <v>305</v>
      </c>
      <c r="D3058" t="s">
        <v>719</v>
      </c>
      <c r="E3058">
        <v>9.6807430521825015</v>
      </c>
      <c r="F3058">
        <v>8</v>
      </c>
      <c r="G3058">
        <v>0</v>
      </c>
      <c r="H3058">
        <v>56</v>
      </c>
      <c r="I3058">
        <v>370</v>
      </c>
      <c r="J3058">
        <v>1186</v>
      </c>
    </row>
    <row r="3059" spans="1:10" s="25" customFormat="1">
      <c r="A3059" s="25" t="s">
        <v>194</v>
      </c>
      <c r="B3059" s="25" t="s">
        <v>195</v>
      </c>
      <c r="C3059" s="25" t="s">
        <v>306</v>
      </c>
      <c r="D3059" s="25" t="s">
        <v>719</v>
      </c>
      <c r="E3059" s="25">
        <v>20.978803638237761</v>
      </c>
      <c r="F3059" s="25">
        <v>42</v>
      </c>
      <c r="G3059" s="25">
        <v>0</v>
      </c>
      <c r="H3059" s="25">
        <v>42</v>
      </c>
      <c r="I3059" s="25">
        <v>5</v>
      </c>
      <c r="J3059" s="25">
        <v>1186</v>
      </c>
    </row>
    <row r="3060" spans="1:10" s="25" customFormat="1">
      <c r="A3060" s="25" t="s">
        <v>194</v>
      </c>
      <c r="B3060" s="25" t="s">
        <v>195</v>
      </c>
      <c r="C3060" s="25" t="s">
        <v>307</v>
      </c>
      <c r="D3060" s="25" t="s">
        <v>719</v>
      </c>
      <c r="E3060" s="25">
        <v>1.3332395329961459</v>
      </c>
      <c r="F3060" s="25">
        <v>0</v>
      </c>
      <c r="G3060" s="25">
        <v>0</v>
      </c>
      <c r="H3060" s="25">
        <v>7</v>
      </c>
      <c r="I3060" s="25">
        <v>10</v>
      </c>
      <c r="J3060" s="25">
        <v>1186</v>
      </c>
    </row>
    <row r="3061" spans="1:10">
      <c r="A3061" t="s">
        <v>194</v>
      </c>
      <c r="B3061" t="s">
        <v>199</v>
      </c>
      <c r="C3061" t="s">
        <v>304</v>
      </c>
      <c r="D3061" t="s">
        <v>719</v>
      </c>
      <c r="E3061">
        <v>10.906064004466989</v>
      </c>
      <c r="F3061">
        <v>10</v>
      </c>
      <c r="G3061">
        <v>0</v>
      </c>
      <c r="H3061">
        <v>48</v>
      </c>
      <c r="I3061">
        <v>84</v>
      </c>
      <c r="J3061">
        <v>1186</v>
      </c>
    </row>
    <row r="3062" spans="1:10">
      <c r="A3062" t="s">
        <v>194</v>
      </c>
      <c r="B3062" t="s">
        <v>199</v>
      </c>
      <c r="C3062" t="s">
        <v>305</v>
      </c>
      <c r="D3062" t="s">
        <v>719</v>
      </c>
      <c r="E3062">
        <v>10.554940076956941</v>
      </c>
      <c r="F3062">
        <v>10</v>
      </c>
      <c r="G3062">
        <v>0</v>
      </c>
      <c r="H3062">
        <v>59</v>
      </c>
      <c r="I3062">
        <v>547</v>
      </c>
      <c r="J3062">
        <v>1186</v>
      </c>
    </row>
    <row r="3063" spans="1:10" s="25" customFormat="1">
      <c r="A3063" s="25" t="s">
        <v>194</v>
      </c>
      <c r="B3063" s="25" t="s">
        <v>199</v>
      </c>
      <c r="C3063" s="25" t="s">
        <v>306</v>
      </c>
      <c r="D3063" s="25" t="s">
        <v>719</v>
      </c>
      <c r="E3063" s="25">
        <v>11.788057675669799</v>
      </c>
      <c r="F3063" s="25">
        <v>15</v>
      </c>
      <c r="G3063" s="25">
        <v>0</v>
      </c>
      <c r="H3063" s="25">
        <v>15</v>
      </c>
      <c r="I3063" s="25">
        <v>4</v>
      </c>
      <c r="J3063" s="25">
        <v>1186</v>
      </c>
    </row>
    <row r="3064" spans="1:10">
      <c r="A3064" t="s">
        <v>194</v>
      </c>
      <c r="B3064" t="s">
        <v>199</v>
      </c>
      <c r="C3064" t="s">
        <v>307</v>
      </c>
      <c r="D3064" t="s">
        <v>719</v>
      </c>
      <c r="E3064">
        <v>1.8608670292251659</v>
      </c>
      <c r="F3064">
        <v>0</v>
      </c>
      <c r="G3064">
        <v>0</v>
      </c>
      <c r="H3064">
        <v>8</v>
      </c>
      <c r="I3064">
        <v>16</v>
      </c>
      <c r="J3064">
        <v>1186</v>
      </c>
    </row>
    <row r="3065" spans="1:10">
      <c r="A3065" t="s">
        <v>200</v>
      </c>
      <c r="B3065" t="s">
        <v>200</v>
      </c>
      <c r="C3065" t="s">
        <v>200</v>
      </c>
      <c r="D3065" t="s">
        <v>200</v>
      </c>
      <c r="E3065">
        <v>10.244468620342451</v>
      </c>
      <c r="F3065">
        <v>8</v>
      </c>
      <c r="G3065">
        <v>0</v>
      </c>
      <c r="H3065">
        <v>59</v>
      </c>
      <c r="I3065">
        <v>1186</v>
      </c>
      <c r="J3065">
        <v>1186</v>
      </c>
    </row>
    <row r="3067" spans="1:10" ht="45">
      <c r="A3067" s="22" t="s">
        <v>720</v>
      </c>
    </row>
    <row r="3068" spans="1:10">
      <c r="A3068" t="s">
        <v>184</v>
      </c>
      <c r="B3068" t="s">
        <v>185</v>
      </c>
      <c r="C3068" t="s">
        <v>186</v>
      </c>
      <c r="D3068" t="s">
        <v>187</v>
      </c>
      <c r="E3068" t="s">
        <v>188</v>
      </c>
      <c r="F3068" t="s">
        <v>189</v>
      </c>
      <c r="G3068" t="s">
        <v>190</v>
      </c>
      <c r="H3068" t="s">
        <v>191</v>
      </c>
      <c r="I3068" t="s">
        <v>192</v>
      </c>
      <c r="J3068" t="s">
        <v>193</v>
      </c>
    </row>
    <row r="3069" spans="1:10">
      <c r="A3069" t="s">
        <v>194</v>
      </c>
      <c r="B3069" t="s">
        <v>195</v>
      </c>
      <c r="C3069" t="s">
        <v>351</v>
      </c>
      <c r="D3069" t="s">
        <v>721</v>
      </c>
      <c r="E3069">
        <v>11.78985763725354</v>
      </c>
      <c r="F3069">
        <v>8</v>
      </c>
      <c r="G3069">
        <v>0</v>
      </c>
      <c r="H3069">
        <v>56</v>
      </c>
      <c r="I3069">
        <v>161</v>
      </c>
      <c r="J3069">
        <v>1186</v>
      </c>
    </row>
    <row r="3070" spans="1:10">
      <c r="A3070" t="s">
        <v>194</v>
      </c>
      <c r="B3070" t="s">
        <v>195</v>
      </c>
      <c r="C3070" t="s">
        <v>352</v>
      </c>
      <c r="D3070" t="s">
        <v>721</v>
      </c>
      <c r="E3070">
        <v>11.849099333805601</v>
      </c>
      <c r="F3070">
        <v>10</v>
      </c>
      <c r="G3070">
        <v>0</v>
      </c>
      <c r="H3070">
        <v>56</v>
      </c>
      <c r="I3070">
        <v>126</v>
      </c>
      <c r="J3070">
        <v>1186</v>
      </c>
    </row>
    <row r="3071" spans="1:10">
      <c r="A3071" t="s">
        <v>194</v>
      </c>
      <c r="B3071" t="s">
        <v>195</v>
      </c>
      <c r="C3071" t="s">
        <v>353</v>
      </c>
      <c r="D3071" t="s">
        <v>721</v>
      </c>
      <c r="E3071">
        <v>9.1210568604340683</v>
      </c>
      <c r="F3071">
        <v>7</v>
      </c>
      <c r="G3071">
        <v>0</v>
      </c>
      <c r="H3071">
        <v>30</v>
      </c>
      <c r="I3071">
        <v>114</v>
      </c>
      <c r="J3071">
        <v>1186</v>
      </c>
    </row>
    <row r="3072" spans="1:10">
      <c r="A3072" t="s">
        <v>194</v>
      </c>
      <c r="B3072" t="s">
        <v>195</v>
      </c>
      <c r="C3072" t="s">
        <v>354</v>
      </c>
      <c r="D3072" t="s">
        <v>721</v>
      </c>
      <c r="E3072">
        <v>7.3228386040724391</v>
      </c>
      <c r="F3072">
        <v>5</v>
      </c>
      <c r="G3072">
        <v>0</v>
      </c>
      <c r="H3072">
        <v>50</v>
      </c>
      <c r="I3072">
        <v>85</v>
      </c>
      <c r="J3072">
        <v>1186</v>
      </c>
    </row>
    <row r="3073" spans="1:10">
      <c r="A3073" t="s">
        <v>194</v>
      </c>
      <c r="B3073" t="s">
        <v>199</v>
      </c>
      <c r="C3073" t="s">
        <v>351</v>
      </c>
      <c r="D3073" t="s">
        <v>721</v>
      </c>
      <c r="E3073">
        <v>11.71052540463179</v>
      </c>
      <c r="F3073">
        <v>10</v>
      </c>
      <c r="G3073">
        <v>0</v>
      </c>
      <c r="H3073">
        <v>50</v>
      </c>
      <c r="I3073">
        <v>153</v>
      </c>
      <c r="J3073">
        <v>1186</v>
      </c>
    </row>
    <row r="3074" spans="1:10">
      <c r="A3074" t="s">
        <v>194</v>
      </c>
      <c r="B3074" t="s">
        <v>199</v>
      </c>
      <c r="C3074" t="s">
        <v>352</v>
      </c>
      <c r="D3074" t="s">
        <v>721</v>
      </c>
      <c r="E3074">
        <v>7.5254786741723976</v>
      </c>
      <c r="F3074">
        <v>5</v>
      </c>
      <c r="G3074">
        <v>0</v>
      </c>
      <c r="H3074">
        <v>59</v>
      </c>
      <c r="I3074">
        <v>106</v>
      </c>
      <c r="J3074">
        <v>1186</v>
      </c>
    </row>
    <row r="3075" spans="1:10">
      <c r="A3075" t="s">
        <v>194</v>
      </c>
      <c r="B3075" t="s">
        <v>199</v>
      </c>
      <c r="C3075" t="s">
        <v>353</v>
      </c>
      <c r="D3075" t="s">
        <v>721</v>
      </c>
      <c r="E3075">
        <v>10.618509616009391</v>
      </c>
      <c r="F3075">
        <v>10</v>
      </c>
      <c r="G3075">
        <v>0</v>
      </c>
      <c r="H3075">
        <v>59</v>
      </c>
      <c r="I3075">
        <v>144</v>
      </c>
      <c r="J3075">
        <v>1186</v>
      </c>
    </row>
    <row r="3076" spans="1:10">
      <c r="A3076" t="s">
        <v>194</v>
      </c>
      <c r="B3076" t="s">
        <v>199</v>
      </c>
      <c r="C3076" t="s">
        <v>354</v>
      </c>
      <c r="D3076" t="s">
        <v>721</v>
      </c>
      <c r="E3076">
        <v>11.02205327040109</v>
      </c>
      <c r="F3076">
        <v>10</v>
      </c>
      <c r="G3076">
        <v>0</v>
      </c>
      <c r="H3076">
        <v>50</v>
      </c>
      <c r="I3076">
        <v>155</v>
      </c>
      <c r="J3076">
        <v>1186</v>
      </c>
    </row>
    <row r="3077" spans="1:10">
      <c r="A3077" t="s">
        <v>200</v>
      </c>
      <c r="B3077" t="s">
        <v>200</v>
      </c>
      <c r="C3077" t="s">
        <v>200</v>
      </c>
      <c r="D3077" t="s">
        <v>200</v>
      </c>
      <c r="E3077">
        <v>10.244468620342451</v>
      </c>
      <c r="F3077">
        <v>8</v>
      </c>
      <c r="G3077">
        <v>0</v>
      </c>
      <c r="H3077">
        <v>59</v>
      </c>
      <c r="I3077">
        <v>1186</v>
      </c>
      <c r="J3077">
        <v>1186</v>
      </c>
    </row>
    <row r="3079" spans="1:10" ht="45">
      <c r="A3079" s="22" t="s">
        <v>722</v>
      </c>
    </row>
    <row r="3080" spans="1:10">
      <c r="A3080" t="s">
        <v>184</v>
      </c>
      <c r="B3080" t="s">
        <v>185</v>
      </c>
      <c r="C3080" t="s">
        <v>186</v>
      </c>
      <c r="D3080" t="s">
        <v>187</v>
      </c>
      <c r="E3080" t="s">
        <v>188</v>
      </c>
      <c r="F3080" t="s">
        <v>189</v>
      </c>
      <c r="G3080" t="s">
        <v>190</v>
      </c>
      <c r="H3080" t="s">
        <v>191</v>
      </c>
      <c r="I3080" t="s">
        <v>192</v>
      </c>
      <c r="J3080" t="s">
        <v>193</v>
      </c>
    </row>
    <row r="3081" spans="1:10">
      <c r="A3081" t="s">
        <v>194</v>
      </c>
      <c r="B3081" t="s">
        <v>195</v>
      </c>
      <c r="C3081" t="s">
        <v>217</v>
      </c>
      <c r="D3081" t="s">
        <v>218</v>
      </c>
      <c r="E3081">
        <v>9.1767011954026216</v>
      </c>
      <c r="F3081">
        <v>7</v>
      </c>
      <c r="G3081">
        <v>0</v>
      </c>
      <c r="H3081">
        <v>56</v>
      </c>
      <c r="I3081">
        <v>235</v>
      </c>
      <c r="J3081">
        <v>1186</v>
      </c>
    </row>
    <row r="3082" spans="1:10">
      <c r="A3082" t="s">
        <v>194</v>
      </c>
      <c r="B3082" t="s">
        <v>195</v>
      </c>
      <c r="C3082" t="s">
        <v>219</v>
      </c>
      <c r="D3082" t="s">
        <v>218</v>
      </c>
      <c r="E3082">
        <v>10.673403182709389</v>
      </c>
      <c r="F3082">
        <v>7</v>
      </c>
      <c r="G3082">
        <v>0</v>
      </c>
      <c r="H3082">
        <v>56</v>
      </c>
      <c r="I3082">
        <v>245</v>
      </c>
      <c r="J3082">
        <v>1186</v>
      </c>
    </row>
    <row r="3083" spans="1:10">
      <c r="A3083" t="s">
        <v>194</v>
      </c>
      <c r="B3083" t="s">
        <v>195</v>
      </c>
      <c r="C3083" t="s">
        <v>220</v>
      </c>
      <c r="D3083" t="s">
        <v>218</v>
      </c>
      <c r="E3083">
        <v>11.11769870117433</v>
      </c>
      <c r="F3083">
        <v>10</v>
      </c>
      <c r="G3083">
        <v>0</v>
      </c>
      <c r="H3083">
        <v>42</v>
      </c>
      <c r="I3083">
        <v>54</v>
      </c>
      <c r="J3083">
        <v>1186</v>
      </c>
    </row>
    <row r="3084" spans="1:10">
      <c r="A3084" t="s">
        <v>194</v>
      </c>
      <c r="B3084" t="s">
        <v>199</v>
      </c>
      <c r="C3084" t="s">
        <v>217</v>
      </c>
      <c r="D3084" t="s">
        <v>218</v>
      </c>
      <c r="E3084">
        <v>10.02488187783875</v>
      </c>
      <c r="F3084">
        <v>10</v>
      </c>
      <c r="G3084">
        <v>0</v>
      </c>
      <c r="H3084">
        <v>59</v>
      </c>
      <c r="I3084">
        <v>389</v>
      </c>
      <c r="J3084">
        <v>1186</v>
      </c>
    </row>
    <row r="3085" spans="1:10">
      <c r="A3085" t="s">
        <v>194</v>
      </c>
      <c r="B3085" t="s">
        <v>199</v>
      </c>
      <c r="C3085" t="s">
        <v>219</v>
      </c>
      <c r="D3085" t="s">
        <v>218</v>
      </c>
      <c r="E3085">
        <v>9.2232312812534598</v>
      </c>
      <c r="F3085">
        <v>7</v>
      </c>
      <c r="G3085">
        <v>0</v>
      </c>
      <c r="H3085">
        <v>49</v>
      </c>
      <c r="I3085">
        <v>185</v>
      </c>
      <c r="J3085">
        <v>1186</v>
      </c>
    </row>
    <row r="3086" spans="1:10">
      <c r="A3086" t="s">
        <v>194</v>
      </c>
      <c r="B3086" t="s">
        <v>199</v>
      </c>
      <c r="C3086" t="s">
        <v>220</v>
      </c>
      <c r="D3086" t="s">
        <v>218</v>
      </c>
      <c r="E3086">
        <v>14.25919010157687</v>
      </c>
      <c r="F3086">
        <v>11</v>
      </c>
      <c r="G3086">
        <v>0</v>
      </c>
      <c r="H3086">
        <v>50</v>
      </c>
      <c r="I3086">
        <v>77</v>
      </c>
      <c r="J3086">
        <v>1186</v>
      </c>
    </row>
    <row r="3087" spans="1:10">
      <c r="A3087" t="s">
        <v>200</v>
      </c>
      <c r="B3087" t="s">
        <v>200</v>
      </c>
      <c r="C3087" t="s">
        <v>200</v>
      </c>
      <c r="D3087" t="s">
        <v>200</v>
      </c>
      <c r="E3087">
        <v>10.244468620342451</v>
      </c>
      <c r="F3087">
        <v>8</v>
      </c>
      <c r="G3087">
        <v>0</v>
      </c>
      <c r="H3087">
        <v>59</v>
      </c>
      <c r="I3087">
        <v>1186</v>
      </c>
      <c r="J3087">
        <v>1186</v>
      </c>
    </row>
    <row r="3089" spans="1:20" ht="45">
      <c r="A3089" s="22" t="s">
        <v>723</v>
      </c>
    </row>
    <row r="3090" spans="1:20">
      <c r="A3090" t="s">
        <v>185</v>
      </c>
      <c r="B3090" t="s">
        <v>186</v>
      </c>
      <c r="C3090" t="s">
        <v>192</v>
      </c>
      <c r="D3090" t="s">
        <v>184</v>
      </c>
      <c r="E3090" t="s">
        <v>193</v>
      </c>
      <c r="F3090" t="s">
        <v>724</v>
      </c>
      <c r="G3090" t="s">
        <v>725</v>
      </c>
      <c r="H3090" t="s">
        <v>726</v>
      </c>
      <c r="I3090" t="s">
        <v>257</v>
      </c>
      <c r="J3090" t="s">
        <v>727</v>
      </c>
      <c r="K3090" t="s">
        <v>728</v>
      </c>
      <c r="L3090" t="s">
        <v>729</v>
      </c>
      <c r="M3090" t="s">
        <v>730</v>
      </c>
      <c r="N3090" t="s">
        <v>329</v>
      </c>
      <c r="O3090" t="s">
        <v>731</v>
      </c>
      <c r="P3090" t="s">
        <v>247</v>
      </c>
      <c r="Q3090" t="s">
        <v>732</v>
      </c>
      <c r="R3090" t="s">
        <v>733</v>
      </c>
      <c r="S3090" t="s">
        <v>734</v>
      </c>
      <c r="T3090" t="s">
        <v>735</v>
      </c>
    </row>
    <row r="3091" spans="1:20">
      <c r="A3091" t="s">
        <v>195</v>
      </c>
      <c r="B3091" t="s">
        <v>196</v>
      </c>
      <c r="C3091">
        <v>413</v>
      </c>
      <c r="D3091" t="s">
        <v>194</v>
      </c>
      <c r="E3091">
        <v>2676</v>
      </c>
      <c r="F3091" s="3">
        <v>6.59E-2</v>
      </c>
      <c r="G3091" s="3">
        <v>3.9899999999999998E-2</v>
      </c>
      <c r="H3091" s="3">
        <v>0.91449999999999998</v>
      </c>
      <c r="J3091" s="3">
        <v>0.50590000000000002</v>
      </c>
      <c r="K3091" s="3">
        <v>0.99460000000000004</v>
      </c>
      <c r="L3091" s="3">
        <v>0.16839999999999999</v>
      </c>
      <c r="M3091" s="3">
        <v>0.30769999999999997</v>
      </c>
      <c r="N3091" s="3">
        <v>2.0999999999999999E-3</v>
      </c>
      <c r="O3091" s="3">
        <v>0.87239999999999995</v>
      </c>
      <c r="P3091" s="3">
        <v>1.9E-3</v>
      </c>
      <c r="Q3091" s="3">
        <v>0.28029999999999999</v>
      </c>
      <c r="R3091" s="3">
        <v>0.66349999999999998</v>
      </c>
      <c r="S3091" s="3">
        <v>0.86</v>
      </c>
      <c r="T3091" s="3">
        <v>0.34799999999999998</v>
      </c>
    </row>
    <row r="3092" spans="1:20">
      <c r="A3092" t="s">
        <v>195</v>
      </c>
      <c r="B3092" t="s">
        <v>198</v>
      </c>
      <c r="C3092">
        <v>755</v>
      </c>
      <c r="D3092" t="s">
        <v>194</v>
      </c>
      <c r="E3092">
        <v>2676</v>
      </c>
      <c r="F3092" s="3">
        <v>0.12330000000000001</v>
      </c>
      <c r="G3092" s="3">
        <v>5.45E-2</v>
      </c>
      <c r="H3092" s="3">
        <v>0.92530000000000001</v>
      </c>
      <c r="J3092" s="3">
        <v>0.57930000000000004</v>
      </c>
      <c r="K3092" s="3">
        <v>0.98750000000000004</v>
      </c>
      <c r="L3092" s="3">
        <v>8.2500000000000004E-2</v>
      </c>
      <c r="M3092" s="3">
        <v>0.35510000000000003</v>
      </c>
      <c r="N3092" s="3">
        <v>1E-4</v>
      </c>
      <c r="O3092" s="3">
        <v>0.78820000000000001</v>
      </c>
      <c r="P3092" s="3">
        <v>2.7000000000000001E-3</v>
      </c>
      <c r="Q3092" s="3">
        <v>0.72050000000000003</v>
      </c>
      <c r="R3092" s="3">
        <v>0.7046</v>
      </c>
      <c r="S3092" s="3">
        <v>0.90339999999999998</v>
      </c>
      <c r="T3092" s="3">
        <v>0.55889999999999995</v>
      </c>
    </row>
    <row r="3093" spans="1:20">
      <c r="A3093" t="s">
        <v>199</v>
      </c>
      <c r="B3093" t="s">
        <v>196</v>
      </c>
      <c r="C3093">
        <v>524</v>
      </c>
      <c r="D3093" t="s">
        <v>194</v>
      </c>
      <c r="E3093">
        <v>2676</v>
      </c>
      <c r="F3093" s="3">
        <v>0.2596</v>
      </c>
      <c r="G3093" s="3">
        <v>9.4299999999999995E-2</v>
      </c>
      <c r="H3093" s="3">
        <v>0.97540000000000004</v>
      </c>
      <c r="J3093" s="3">
        <v>0.69399999999999995</v>
      </c>
      <c r="K3093" s="3">
        <v>0.99780000000000002</v>
      </c>
      <c r="L3093" s="3">
        <v>0.1492</v>
      </c>
      <c r="M3093" s="3">
        <v>0.34260000000000002</v>
      </c>
      <c r="N3093" s="3">
        <v>8.0000000000000004E-4</v>
      </c>
      <c r="O3093" s="3">
        <v>0.88859999999999995</v>
      </c>
      <c r="P3093" s="3">
        <v>1E-4</v>
      </c>
      <c r="Q3093" s="3">
        <v>6.3700000000000007E-2</v>
      </c>
      <c r="R3093" s="3">
        <v>0.80279999999999996</v>
      </c>
      <c r="S3093" s="3">
        <v>0.95650000000000002</v>
      </c>
      <c r="T3093" s="3">
        <v>0.32350000000000001</v>
      </c>
    </row>
    <row r="3094" spans="1:20">
      <c r="A3094" t="s">
        <v>199</v>
      </c>
      <c r="B3094" t="s">
        <v>198</v>
      </c>
      <c r="C3094">
        <v>945</v>
      </c>
      <c r="D3094" t="s">
        <v>194</v>
      </c>
      <c r="E3094">
        <v>2676</v>
      </c>
      <c r="F3094" s="3">
        <v>0.30880000000000002</v>
      </c>
      <c r="G3094" s="3">
        <v>4.7600000000000003E-2</v>
      </c>
      <c r="H3094" s="3">
        <v>0.96950000000000003</v>
      </c>
      <c r="I3094" s="3">
        <v>1.2999999999999999E-3</v>
      </c>
      <c r="J3094" s="3">
        <v>0.68379999999999996</v>
      </c>
      <c r="K3094" s="3">
        <v>0.99690000000000001</v>
      </c>
      <c r="L3094" s="3">
        <v>5.3199999999999997E-2</v>
      </c>
      <c r="M3094" s="3">
        <v>0.39140000000000003</v>
      </c>
      <c r="N3094" s="3">
        <v>2.9999999999999997E-4</v>
      </c>
      <c r="O3094" s="3">
        <v>0.88449999999999995</v>
      </c>
      <c r="Q3094" s="3">
        <v>0.17979999999999999</v>
      </c>
      <c r="R3094" s="3">
        <v>0.83099999999999996</v>
      </c>
      <c r="S3094" s="3">
        <v>0.94950000000000001</v>
      </c>
      <c r="T3094" s="3">
        <v>0.55500000000000005</v>
      </c>
    </row>
    <row r="3095" spans="1:20">
      <c r="A3095" t="s">
        <v>200</v>
      </c>
      <c r="B3095" t="s">
        <v>200</v>
      </c>
      <c r="C3095">
        <v>2676</v>
      </c>
      <c r="D3095" t="s">
        <v>200</v>
      </c>
      <c r="E3095">
        <v>2676</v>
      </c>
      <c r="F3095" s="3">
        <v>0.21429999999999999</v>
      </c>
      <c r="G3095" s="3">
        <v>5.3600000000000002E-2</v>
      </c>
      <c r="H3095" s="3">
        <v>0.94830000000000003</v>
      </c>
      <c r="I3095" s="3">
        <v>5.9999999999999995E-4</v>
      </c>
      <c r="J3095" s="3">
        <v>0.62909999999999999</v>
      </c>
      <c r="K3095" s="3">
        <v>0.99360000000000004</v>
      </c>
      <c r="L3095" s="3">
        <v>8.6099999999999996E-2</v>
      </c>
      <c r="M3095" s="3">
        <v>0.36409999999999998</v>
      </c>
      <c r="N3095" s="3">
        <v>5.0000000000000001E-4</v>
      </c>
      <c r="O3095" s="3">
        <v>0.85119999999999996</v>
      </c>
      <c r="P3095" s="3">
        <v>1.1000000000000001E-3</v>
      </c>
      <c r="Q3095" s="3">
        <v>0.35520000000000002</v>
      </c>
      <c r="R3095" s="3">
        <v>0.76619999999999999</v>
      </c>
      <c r="S3095" s="3">
        <v>0.92479999999999996</v>
      </c>
      <c r="T3095" s="3">
        <v>0.50729999999999997</v>
      </c>
    </row>
    <row r="3097" spans="1:20" ht="45">
      <c r="A3097" s="22" t="s">
        <v>736</v>
      </c>
    </row>
    <row r="3098" spans="1:20">
      <c r="A3098" t="s">
        <v>185</v>
      </c>
      <c r="B3098" t="s">
        <v>186</v>
      </c>
      <c r="C3098" t="s">
        <v>192</v>
      </c>
      <c r="D3098" t="s">
        <v>184</v>
      </c>
      <c r="E3098" t="s">
        <v>193</v>
      </c>
      <c r="F3098" t="s">
        <v>724</v>
      </c>
      <c r="G3098" t="s">
        <v>725</v>
      </c>
      <c r="H3098" t="s">
        <v>726</v>
      </c>
      <c r="I3098" t="s">
        <v>257</v>
      </c>
      <c r="J3098" t="s">
        <v>727</v>
      </c>
      <c r="K3098" t="s">
        <v>728</v>
      </c>
      <c r="L3098" t="s">
        <v>729</v>
      </c>
      <c r="M3098" t="s">
        <v>730</v>
      </c>
      <c r="N3098" t="s">
        <v>329</v>
      </c>
      <c r="O3098" t="s">
        <v>731</v>
      </c>
      <c r="P3098" t="s">
        <v>247</v>
      </c>
      <c r="Q3098" t="s">
        <v>732</v>
      </c>
      <c r="R3098" t="s">
        <v>733</v>
      </c>
      <c r="S3098" t="s">
        <v>734</v>
      </c>
      <c r="T3098" t="s">
        <v>735</v>
      </c>
    </row>
    <row r="3099" spans="1:20">
      <c r="A3099" t="s">
        <v>195</v>
      </c>
      <c r="B3099" t="s">
        <v>202</v>
      </c>
      <c r="C3099">
        <v>533</v>
      </c>
      <c r="D3099" t="s">
        <v>194</v>
      </c>
      <c r="E3099">
        <v>2676</v>
      </c>
      <c r="F3099" s="3">
        <v>8.9399999999999993E-2</v>
      </c>
      <c r="G3099" s="3">
        <v>3.7600000000000001E-2</v>
      </c>
      <c r="H3099" s="3">
        <v>0.92379999999999995</v>
      </c>
      <c r="J3099" s="3">
        <v>0.5353</v>
      </c>
      <c r="K3099" s="3">
        <v>0.98870000000000002</v>
      </c>
      <c r="L3099" s="3">
        <v>0.1144</v>
      </c>
      <c r="M3099" s="3">
        <v>0.34660000000000002</v>
      </c>
      <c r="N3099" s="3">
        <v>6.9999999999999999E-4</v>
      </c>
      <c r="O3099" s="3">
        <v>0.82630000000000003</v>
      </c>
      <c r="P3099" s="3">
        <v>3.8E-3</v>
      </c>
      <c r="Q3099" s="3">
        <v>0.5877</v>
      </c>
      <c r="R3099" s="3">
        <v>0.71130000000000004</v>
      </c>
      <c r="S3099" s="3">
        <v>0.86650000000000005</v>
      </c>
      <c r="T3099" s="3">
        <v>0.47399999999999998</v>
      </c>
    </row>
    <row r="3100" spans="1:20">
      <c r="A3100" t="s">
        <v>195</v>
      </c>
      <c r="B3100" t="s">
        <v>204</v>
      </c>
      <c r="C3100">
        <v>301</v>
      </c>
      <c r="D3100" t="s">
        <v>194</v>
      </c>
      <c r="E3100">
        <v>2676</v>
      </c>
      <c r="F3100" s="3">
        <v>0.16289999999999999</v>
      </c>
      <c r="G3100" s="3">
        <v>7.17E-2</v>
      </c>
      <c r="H3100" s="3">
        <v>0.92589999999999995</v>
      </c>
      <c r="J3100" s="3">
        <v>0.65820000000000001</v>
      </c>
      <c r="K3100" s="3">
        <v>0.98870000000000002</v>
      </c>
      <c r="L3100" s="3">
        <v>9.2200000000000004E-2</v>
      </c>
      <c r="M3100" s="3">
        <v>0.27010000000000001</v>
      </c>
      <c r="N3100" s="3">
        <v>4.0000000000000002E-4</v>
      </c>
      <c r="O3100" s="3">
        <v>0.78290000000000004</v>
      </c>
      <c r="Q3100" s="3">
        <v>0.6421</v>
      </c>
      <c r="R3100" s="3">
        <v>0.71230000000000004</v>
      </c>
      <c r="S3100" s="3">
        <v>0.9405</v>
      </c>
      <c r="T3100" s="3">
        <v>0.5665</v>
      </c>
    </row>
    <row r="3101" spans="1:20">
      <c r="A3101" t="s">
        <v>195</v>
      </c>
      <c r="B3101" t="s">
        <v>205</v>
      </c>
      <c r="C3101">
        <v>334</v>
      </c>
      <c r="D3101" t="s">
        <v>194</v>
      </c>
      <c r="E3101">
        <v>2676</v>
      </c>
      <c r="F3101" s="3">
        <v>0.11</v>
      </c>
      <c r="G3101" s="3">
        <v>7.9600000000000004E-2</v>
      </c>
      <c r="H3101" s="3">
        <v>0.91059999999999997</v>
      </c>
      <c r="J3101" s="3">
        <v>0.52059999999999995</v>
      </c>
      <c r="K3101" s="3">
        <v>0.99399999999999999</v>
      </c>
      <c r="L3101" s="3">
        <v>8.3599999999999994E-2</v>
      </c>
      <c r="M3101" s="3">
        <v>0.437</v>
      </c>
      <c r="N3101" s="3">
        <v>5.0000000000000001E-4</v>
      </c>
      <c r="O3101" s="3">
        <v>0.77969999999999995</v>
      </c>
      <c r="P3101" s="3">
        <v>2.0000000000000001E-4</v>
      </c>
      <c r="Q3101" s="3">
        <v>0.61270000000000002</v>
      </c>
      <c r="R3101" s="3">
        <v>0.57940000000000003</v>
      </c>
      <c r="S3101" s="3">
        <v>0.93600000000000005</v>
      </c>
      <c r="T3101" s="3">
        <v>0.53810000000000002</v>
      </c>
    </row>
    <row r="3102" spans="1:20">
      <c r="A3102" t="s">
        <v>199</v>
      </c>
      <c r="B3102" t="s">
        <v>202</v>
      </c>
      <c r="C3102">
        <v>538</v>
      </c>
      <c r="D3102" t="s">
        <v>194</v>
      </c>
      <c r="E3102">
        <v>2676</v>
      </c>
      <c r="F3102" s="3">
        <v>0.32300000000000001</v>
      </c>
      <c r="G3102" s="3">
        <v>6.4500000000000002E-2</v>
      </c>
      <c r="H3102" s="3">
        <v>0.97950000000000004</v>
      </c>
      <c r="I3102" s="3">
        <v>1.4E-3</v>
      </c>
      <c r="J3102" s="3">
        <v>0.68220000000000003</v>
      </c>
      <c r="K3102" s="3">
        <v>0.99860000000000004</v>
      </c>
      <c r="L3102" s="3">
        <v>6.2700000000000006E-2</v>
      </c>
      <c r="M3102" s="3">
        <v>0.35589999999999999</v>
      </c>
      <c r="O3102" s="3">
        <v>0.87749999999999995</v>
      </c>
      <c r="Q3102" s="3">
        <v>0.1847</v>
      </c>
      <c r="R3102" s="3">
        <v>0.85909999999999997</v>
      </c>
      <c r="S3102" s="3">
        <v>0.94720000000000004</v>
      </c>
      <c r="T3102" s="3">
        <v>0.49020000000000002</v>
      </c>
    </row>
    <row r="3103" spans="1:20">
      <c r="A3103" t="s">
        <v>199</v>
      </c>
      <c r="B3103" t="s">
        <v>204</v>
      </c>
      <c r="C3103">
        <v>426</v>
      </c>
      <c r="D3103" t="s">
        <v>194</v>
      </c>
      <c r="E3103">
        <v>2676</v>
      </c>
      <c r="F3103" s="3">
        <v>0.18720000000000001</v>
      </c>
      <c r="G3103" s="3">
        <v>2.4E-2</v>
      </c>
      <c r="H3103" s="3">
        <v>0.96260000000000001</v>
      </c>
      <c r="I3103" s="3">
        <v>5.9999999999999995E-4</v>
      </c>
      <c r="J3103" s="3">
        <v>0.69689999999999996</v>
      </c>
      <c r="K3103" s="3">
        <v>0.99370000000000003</v>
      </c>
      <c r="L3103" s="3">
        <v>0.1065</v>
      </c>
      <c r="M3103" s="3">
        <v>0.36959999999999998</v>
      </c>
      <c r="O3103" s="3">
        <v>0.91290000000000004</v>
      </c>
      <c r="Q3103" s="3">
        <v>9.7000000000000003E-2</v>
      </c>
      <c r="R3103" s="3">
        <v>0.84640000000000004</v>
      </c>
      <c r="S3103" s="3">
        <v>0.98760000000000003</v>
      </c>
      <c r="T3103" s="3">
        <v>0.48170000000000002</v>
      </c>
    </row>
    <row r="3104" spans="1:20">
      <c r="A3104" t="s">
        <v>199</v>
      </c>
      <c r="B3104" t="s">
        <v>205</v>
      </c>
      <c r="C3104">
        <v>505</v>
      </c>
      <c r="D3104" t="s">
        <v>194</v>
      </c>
      <c r="E3104">
        <v>2676</v>
      </c>
      <c r="F3104" s="3">
        <v>0.34089999999999998</v>
      </c>
      <c r="G3104" s="3">
        <v>6.2100000000000002E-2</v>
      </c>
      <c r="H3104" s="3">
        <v>0.94630000000000003</v>
      </c>
      <c r="J3104" s="3">
        <v>0.68600000000000005</v>
      </c>
      <c r="K3104" s="3">
        <v>0.99519999999999997</v>
      </c>
      <c r="L3104" s="3">
        <v>6.13E-2</v>
      </c>
      <c r="M3104" s="3">
        <v>0.49680000000000002</v>
      </c>
      <c r="N3104" s="3">
        <v>2.3999999999999998E-3</v>
      </c>
      <c r="O3104" s="3">
        <v>0.88280000000000003</v>
      </c>
      <c r="P3104" s="3">
        <v>1E-4</v>
      </c>
      <c r="Q3104" s="3">
        <v>0.12889999999999999</v>
      </c>
      <c r="R3104" s="3">
        <v>0.6764</v>
      </c>
      <c r="S3104" s="3">
        <v>0.92200000000000004</v>
      </c>
      <c r="T3104" s="3">
        <v>0.62939999999999996</v>
      </c>
    </row>
    <row r="3105" spans="1:20">
      <c r="A3105" t="s">
        <v>200</v>
      </c>
      <c r="B3105" t="s">
        <v>200</v>
      </c>
      <c r="C3105">
        <v>2676</v>
      </c>
      <c r="D3105" t="s">
        <v>200</v>
      </c>
      <c r="E3105">
        <v>2676</v>
      </c>
      <c r="F3105" s="3">
        <v>0.21429999999999999</v>
      </c>
      <c r="G3105" s="3">
        <v>5.3600000000000002E-2</v>
      </c>
      <c r="H3105" s="3">
        <v>0.94830000000000003</v>
      </c>
      <c r="I3105" s="3">
        <v>5.9999999999999995E-4</v>
      </c>
      <c r="J3105" s="3">
        <v>0.62909999999999999</v>
      </c>
      <c r="K3105" s="3">
        <v>0.99360000000000004</v>
      </c>
      <c r="L3105" s="3">
        <v>8.6099999999999996E-2</v>
      </c>
      <c r="M3105" s="3">
        <v>0.36409999999999998</v>
      </c>
      <c r="N3105" s="3">
        <v>5.0000000000000001E-4</v>
      </c>
      <c r="O3105" s="3">
        <v>0.85119999999999996</v>
      </c>
      <c r="P3105" s="3">
        <v>1.1000000000000001E-3</v>
      </c>
      <c r="Q3105" s="3">
        <v>0.35520000000000002</v>
      </c>
      <c r="R3105" s="3">
        <v>0.76619999999999999</v>
      </c>
      <c r="S3105" s="3">
        <v>0.92479999999999996</v>
      </c>
      <c r="T3105" s="3">
        <v>0.50729999999999997</v>
      </c>
    </row>
    <row r="3107" spans="1:20" ht="45">
      <c r="A3107" s="22" t="s">
        <v>737</v>
      </c>
    </row>
    <row r="3108" spans="1:20">
      <c r="A3108" t="s">
        <v>185</v>
      </c>
      <c r="B3108" t="s">
        <v>186</v>
      </c>
      <c r="C3108" t="s">
        <v>192</v>
      </c>
      <c r="D3108" t="s">
        <v>184</v>
      </c>
      <c r="E3108" t="s">
        <v>193</v>
      </c>
      <c r="F3108" t="s">
        <v>724</v>
      </c>
      <c r="G3108" t="s">
        <v>725</v>
      </c>
      <c r="H3108" t="s">
        <v>726</v>
      </c>
      <c r="I3108" t="s">
        <v>257</v>
      </c>
      <c r="J3108" t="s">
        <v>727</v>
      </c>
      <c r="K3108" t="s">
        <v>728</v>
      </c>
      <c r="L3108" t="s">
        <v>729</v>
      </c>
      <c r="M3108" t="s">
        <v>730</v>
      </c>
      <c r="N3108" t="s">
        <v>329</v>
      </c>
      <c r="O3108" t="s">
        <v>731</v>
      </c>
      <c r="P3108" t="s">
        <v>247</v>
      </c>
      <c r="Q3108" t="s">
        <v>732</v>
      </c>
      <c r="R3108" t="s">
        <v>733</v>
      </c>
      <c r="S3108" t="s">
        <v>734</v>
      </c>
      <c r="T3108" t="s">
        <v>735</v>
      </c>
    </row>
    <row r="3109" spans="1:20">
      <c r="A3109" t="s">
        <v>195</v>
      </c>
      <c r="B3109" t="s">
        <v>207</v>
      </c>
      <c r="C3109">
        <v>322</v>
      </c>
      <c r="D3109" t="s">
        <v>194</v>
      </c>
      <c r="E3109">
        <v>2676</v>
      </c>
      <c r="F3109" s="3">
        <v>8.5400000000000004E-2</v>
      </c>
      <c r="G3109" s="3">
        <v>3.6400000000000002E-2</v>
      </c>
      <c r="H3109" s="3">
        <v>0.87919999999999998</v>
      </c>
      <c r="J3109" s="3">
        <v>0.40150000000000002</v>
      </c>
      <c r="K3109" s="3">
        <v>0.9839</v>
      </c>
      <c r="L3109" s="3">
        <v>9.8900000000000002E-2</v>
      </c>
      <c r="M3109" s="3">
        <v>0.3226</v>
      </c>
      <c r="N3109" s="3">
        <v>5.9999999999999995E-4</v>
      </c>
      <c r="O3109" s="3">
        <v>0.75570000000000004</v>
      </c>
      <c r="P3109" s="3">
        <v>7.7000000000000002E-3</v>
      </c>
      <c r="Q3109" s="3">
        <v>0.51359999999999995</v>
      </c>
      <c r="R3109" s="3">
        <v>0.59309999999999996</v>
      </c>
      <c r="S3109" s="3">
        <v>0.87150000000000005</v>
      </c>
      <c r="T3109" s="3">
        <v>0.39850000000000002</v>
      </c>
    </row>
    <row r="3110" spans="1:20">
      <c r="A3110" t="s">
        <v>195</v>
      </c>
      <c r="B3110" t="s">
        <v>209</v>
      </c>
      <c r="C3110">
        <v>867</v>
      </c>
      <c r="D3110" t="s">
        <v>194</v>
      </c>
      <c r="E3110">
        <v>2676</v>
      </c>
      <c r="F3110" s="3">
        <v>0.11559999999999999</v>
      </c>
      <c r="G3110" s="3">
        <v>5.5199999999999999E-2</v>
      </c>
      <c r="H3110" s="3">
        <v>0.93569999999999998</v>
      </c>
      <c r="J3110" s="3">
        <v>0.61350000000000005</v>
      </c>
      <c r="K3110" s="3">
        <v>0.99129999999999996</v>
      </c>
      <c r="L3110" s="3">
        <v>0.10730000000000001</v>
      </c>
      <c r="M3110" s="3">
        <v>0.3483</v>
      </c>
      <c r="N3110" s="3">
        <v>5.9999999999999995E-4</v>
      </c>
      <c r="O3110" s="3">
        <v>0.82740000000000002</v>
      </c>
      <c r="P3110" s="3">
        <v>5.9999999999999995E-4</v>
      </c>
      <c r="Q3110" s="3">
        <v>0.63249999999999995</v>
      </c>
      <c r="R3110" s="3">
        <v>0.72650000000000003</v>
      </c>
      <c r="S3110" s="3">
        <v>0.89949999999999997</v>
      </c>
      <c r="T3110" s="3">
        <v>0.53720000000000001</v>
      </c>
    </row>
    <row r="3111" spans="1:20">
      <c r="A3111" t="s">
        <v>199</v>
      </c>
      <c r="B3111" t="s">
        <v>207</v>
      </c>
      <c r="C3111">
        <v>282</v>
      </c>
      <c r="D3111" t="s">
        <v>194</v>
      </c>
      <c r="E3111">
        <v>2676</v>
      </c>
      <c r="F3111" s="3">
        <v>0.32190000000000002</v>
      </c>
      <c r="G3111" s="3">
        <v>0.16089999999999999</v>
      </c>
      <c r="H3111" s="3">
        <v>0.94589999999999996</v>
      </c>
      <c r="J3111" s="3">
        <v>0.623</v>
      </c>
      <c r="K3111" s="3">
        <v>0.99509999999999998</v>
      </c>
      <c r="L3111" s="3">
        <v>0.11799999999999999</v>
      </c>
      <c r="M3111" s="3">
        <v>0.38159999999999999</v>
      </c>
      <c r="O3111" s="3">
        <v>0.92279999999999995</v>
      </c>
      <c r="Q3111" s="3">
        <v>0.1216</v>
      </c>
      <c r="R3111" s="3">
        <v>0.69720000000000004</v>
      </c>
      <c r="S3111" s="3">
        <v>0.94379999999999997</v>
      </c>
      <c r="T3111" s="3">
        <v>0.45929999999999999</v>
      </c>
    </row>
    <row r="3112" spans="1:20">
      <c r="A3112" t="s">
        <v>199</v>
      </c>
      <c r="B3112" t="s">
        <v>209</v>
      </c>
      <c r="C3112">
        <v>1205</v>
      </c>
      <c r="D3112" t="s">
        <v>194</v>
      </c>
      <c r="E3112">
        <v>2676</v>
      </c>
      <c r="F3112" s="3">
        <v>0.29609999999999997</v>
      </c>
      <c r="G3112" s="3">
        <v>4.1599999999999998E-2</v>
      </c>
      <c r="H3112" s="3">
        <v>0.97340000000000004</v>
      </c>
      <c r="I3112" s="3">
        <v>1.1999999999999999E-3</v>
      </c>
      <c r="J3112" s="3">
        <v>0.69369999999999998</v>
      </c>
      <c r="K3112" s="3">
        <v>0.99719999999999998</v>
      </c>
      <c r="L3112" s="3">
        <v>6.4399999999999999E-2</v>
      </c>
      <c r="M3112" s="3">
        <v>0.38190000000000002</v>
      </c>
      <c r="N3112" s="3">
        <v>5.0000000000000001E-4</v>
      </c>
      <c r="O3112" s="3">
        <v>0.87970000000000004</v>
      </c>
      <c r="P3112" s="3">
        <v>0</v>
      </c>
      <c r="Q3112" s="3">
        <v>0.16320000000000001</v>
      </c>
      <c r="R3112" s="3">
        <v>0.84299999999999997</v>
      </c>
      <c r="S3112" s="3">
        <v>0.95169999999999999</v>
      </c>
      <c r="T3112" s="3">
        <v>0.51910000000000001</v>
      </c>
    </row>
    <row r="3113" spans="1:20">
      <c r="A3113" t="s">
        <v>200</v>
      </c>
      <c r="B3113" t="s">
        <v>200</v>
      </c>
      <c r="C3113">
        <v>2676</v>
      </c>
      <c r="D3113" t="s">
        <v>200</v>
      </c>
      <c r="E3113">
        <v>2676</v>
      </c>
      <c r="F3113" s="3">
        <v>0.21429999999999999</v>
      </c>
      <c r="G3113" s="3">
        <v>5.3600000000000002E-2</v>
      </c>
      <c r="H3113" s="3">
        <v>0.94830000000000003</v>
      </c>
      <c r="I3113" s="3">
        <v>5.9999999999999995E-4</v>
      </c>
      <c r="J3113" s="3">
        <v>0.62909999999999999</v>
      </c>
      <c r="K3113" s="3">
        <v>0.99360000000000004</v>
      </c>
      <c r="L3113" s="3">
        <v>8.6099999999999996E-2</v>
      </c>
      <c r="M3113" s="3">
        <v>0.36409999999999998</v>
      </c>
      <c r="N3113" s="3">
        <v>5.0000000000000001E-4</v>
      </c>
      <c r="O3113" s="3">
        <v>0.85119999999999996</v>
      </c>
      <c r="P3113" s="3">
        <v>1.1000000000000001E-3</v>
      </c>
      <c r="Q3113" s="3">
        <v>0.35520000000000002</v>
      </c>
      <c r="R3113" s="3">
        <v>0.76619999999999999</v>
      </c>
      <c r="S3113" s="3">
        <v>0.92479999999999996</v>
      </c>
      <c r="T3113" s="3">
        <v>0.50729999999999997</v>
      </c>
    </row>
    <row r="3115" spans="1:20" ht="45">
      <c r="A3115" s="22" t="s">
        <v>738</v>
      </c>
    </row>
    <row r="3116" spans="1:20">
      <c r="A3116" t="s">
        <v>185</v>
      </c>
      <c r="B3116" t="s">
        <v>192</v>
      </c>
      <c r="C3116" t="s">
        <v>184</v>
      </c>
      <c r="D3116" t="s">
        <v>193</v>
      </c>
      <c r="E3116" t="s">
        <v>724</v>
      </c>
      <c r="F3116" t="s">
        <v>725</v>
      </c>
      <c r="G3116" t="s">
        <v>726</v>
      </c>
      <c r="H3116" t="s">
        <v>257</v>
      </c>
      <c r="I3116" t="s">
        <v>727</v>
      </c>
      <c r="J3116" t="s">
        <v>728</v>
      </c>
      <c r="K3116" t="s">
        <v>729</v>
      </c>
      <c r="L3116" t="s">
        <v>730</v>
      </c>
      <c r="M3116" t="s">
        <v>329</v>
      </c>
      <c r="N3116" t="s">
        <v>731</v>
      </c>
      <c r="O3116" t="s">
        <v>247</v>
      </c>
      <c r="P3116" t="s">
        <v>732</v>
      </c>
      <c r="Q3116" t="s">
        <v>733</v>
      </c>
      <c r="R3116" t="s">
        <v>734</v>
      </c>
      <c r="S3116" t="s">
        <v>735</v>
      </c>
    </row>
    <row r="3117" spans="1:20">
      <c r="A3117" t="s">
        <v>195</v>
      </c>
      <c r="B3117">
        <v>1189</v>
      </c>
      <c r="C3117" t="s">
        <v>194</v>
      </c>
      <c r="D3117">
        <v>2676</v>
      </c>
      <c r="E3117" s="3">
        <v>0.1079</v>
      </c>
      <c r="F3117" s="3">
        <v>5.0299999999999997E-2</v>
      </c>
      <c r="G3117" s="3">
        <v>0.92120000000000002</v>
      </c>
      <c r="I3117" s="3">
        <v>0.55900000000000005</v>
      </c>
      <c r="J3117" s="3">
        <v>0.98939999999999995</v>
      </c>
      <c r="K3117" s="3">
        <v>0.1052</v>
      </c>
      <c r="L3117" s="3">
        <v>0.3417</v>
      </c>
      <c r="M3117" s="3">
        <v>5.9999999999999995E-4</v>
      </c>
      <c r="N3117" s="3">
        <v>0.80900000000000005</v>
      </c>
      <c r="O3117" s="3">
        <v>2.5000000000000001E-3</v>
      </c>
      <c r="P3117" s="3">
        <v>0.60189999999999999</v>
      </c>
      <c r="Q3117" s="3">
        <v>0.69220000000000004</v>
      </c>
      <c r="R3117" s="3">
        <v>0.89229999999999998</v>
      </c>
      <c r="S3117" s="3">
        <v>0.50160000000000005</v>
      </c>
    </row>
    <row r="3118" spans="1:20">
      <c r="A3118" t="s">
        <v>199</v>
      </c>
      <c r="B3118">
        <v>1487</v>
      </c>
      <c r="C3118" t="s">
        <v>194</v>
      </c>
      <c r="D3118">
        <v>2676</v>
      </c>
      <c r="E3118" s="3">
        <v>0.29930000000000001</v>
      </c>
      <c r="F3118" s="3">
        <v>5.62E-2</v>
      </c>
      <c r="G3118" s="3">
        <v>0.97</v>
      </c>
      <c r="H3118" s="3">
        <v>1E-3</v>
      </c>
      <c r="I3118" s="3">
        <v>0.68510000000000004</v>
      </c>
      <c r="J3118" s="3">
        <v>0.99690000000000001</v>
      </c>
      <c r="K3118" s="3">
        <v>7.0900000000000005E-2</v>
      </c>
      <c r="L3118" s="3">
        <v>0.38190000000000002</v>
      </c>
      <c r="M3118" s="3">
        <v>4.0000000000000002E-4</v>
      </c>
      <c r="N3118" s="3">
        <v>0.88500000000000001</v>
      </c>
      <c r="O3118" s="3">
        <v>0</v>
      </c>
      <c r="P3118" s="3">
        <v>0.15809999999999999</v>
      </c>
      <c r="Q3118" s="3">
        <v>0.82520000000000004</v>
      </c>
      <c r="R3118" s="3">
        <v>0.95079999999999998</v>
      </c>
      <c r="S3118" s="3">
        <v>0.51180000000000003</v>
      </c>
    </row>
    <row r="3119" spans="1:20">
      <c r="A3119" t="s">
        <v>200</v>
      </c>
      <c r="B3119">
        <v>2676</v>
      </c>
      <c r="C3119" t="s">
        <v>200</v>
      </c>
      <c r="D3119">
        <v>2676</v>
      </c>
      <c r="E3119" s="3">
        <v>0.21429999999999999</v>
      </c>
      <c r="F3119" s="3">
        <v>5.3600000000000002E-2</v>
      </c>
      <c r="G3119" s="3">
        <v>0.94830000000000003</v>
      </c>
      <c r="H3119" s="3">
        <v>5.9999999999999995E-4</v>
      </c>
      <c r="I3119" s="3">
        <v>0.62909999999999999</v>
      </c>
      <c r="J3119" s="3">
        <v>0.99360000000000004</v>
      </c>
      <c r="K3119" s="3">
        <v>8.6099999999999996E-2</v>
      </c>
      <c r="L3119" s="3">
        <v>0.36409999999999998</v>
      </c>
      <c r="M3119" s="3">
        <v>5.0000000000000001E-4</v>
      </c>
      <c r="N3119" s="3">
        <v>0.85119999999999996</v>
      </c>
      <c r="O3119" s="3">
        <v>1.1000000000000001E-3</v>
      </c>
      <c r="P3119" s="3">
        <v>0.35520000000000002</v>
      </c>
      <c r="Q3119" s="3">
        <v>0.76619999999999999</v>
      </c>
      <c r="R3119" s="3">
        <v>0.92479999999999996</v>
      </c>
      <c r="S3119" s="3">
        <v>0.50729999999999997</v>
      </c>
    </row>
    <row r="3121" spans="1:20" ht="45">
      <c r="A3121" s="22" t="s">
        <v>739</v>
      </c>
    </row>
    <row r="3122" spans="1:20">
      <c r="A3122" t="s">
        <v>185</v>
      </c>
      <c r="B3122" t="s">
        <v>186</v>
      </c>
      <c r="C3122" t="s">
        <v>192</v>
      </c>
      <c r="D3122" t="s">
        <v>184</v>
      </c>
      <c r="E3122" t="s">
        <v>193</v>
      </c>
      <c r="F3122" t="s">
        <v>724</v>
      </c>
      <c r="G3122" t="s">
        <v>725</v>
      </c>
      <c r="H3122" t="s">
        <v>726</v>
      </c>
      <c r="I3122" t="s">
        <v>257</v>
      </c>
      <c r="J3122" t="s">
        <v>727</v>
      </c>
      <c r="K3122" t="s">
        <v>728</v>
      </c>
      <c r="L3122" t="s">
        <v>729</v>
      </c>
      <c r="M3122" t="s">
        <v>730</v>
      </c>
      <c r="N3122" t="s">
        <v>329</v>
      </c>
      <c r="O3122" t="s">
        <v>731</v>
      </c>
      <c r="P3122" t="s">
        <v>247</v>
      </c>
      <c r="Q3122" t="s">
        <v>732</v>
      </c>
      <c r="R3122" t="s">
        <v>733</v>
      </c>
      <c r="S3122" t="s">
        <v>734</v>
      </c>
      <c r="T3122" t="s">
        <v>735</v>
      </c>
    </row>
    <row r="3123" spans="1:20">
      <c r="A3123" t="s">
        <v>195</v>
      </c>
      <c r="B3123" t="s">
        <v>212</v>
      </c>
      <c r="C3123">
        <v>873</v>
      </c>
      <c r="D3123" t="s">
        <v>194</v>
      </c>
      <c r="E3123">
        <v>2676</v>
      </c>
      <c r="F3123" s="3">
        <v>0.1158</v>
      </c>
      <c r="G3123" s="3">
        <v>6.1100000000000002E-2</v>
      </c>
      <c r="H3123" s="3">
        <v>0.92100000000000004</v>
      </c>
      <c r="J3123" s="3">
        <v>0.61160000000000003</v>
      </c>
      <c r="K3123" s="3">
        <v>0.99070000000000003</v>
      </c>
      <c r="L3123" s="3">
        <v>0.1138</v>
      </c>
      <c r="M3123" s="3">
        <v>0.36599999999999999</v>
      </c>
      <c r="O3123" s="3">
        <v>0.82350000000000001</v>
      </c>
      <c r="P3123" s="3">
        <v>6.9999999999999999E-4</v>
      </c>
      <c r="Q3123" s="3">
        <v>0.64049999999999996</v>
      </c>
      <c r="R3123" s="3">
        <v>0.71499999999999997</v>
      </c>
      <c r="S3123" s="3">
        <v>0.91139999999999999</v>
      </c>
      <c r="T3123" s="3">
        <v>0.51600000000000001</v>
      </c>
    </row>
    <row r="3124" spans="1:20">
      <c r="A3124" t="s">
        <v>195</v>
      </c>
      <c r="B3124" t="s">
        <v>214</v>
      </c>
      <c r="C3124">
        <v>181</v>
      </c>
      <c r="D3124" t="s">
        <v>194</v>
      </c>
      <c r="E3124">
        <v>2676</v>
      </c>
      <c r="F3124" s="3">
        <v>8.0500000000000002E-2</v>
      </c>
      <c r="G3124" s="3">
        <v>2.3999999999999998E-3</v>
      </c>
      <c r="H3124" s="3">
        <v>0.92459999999999998</v>
      </c>
      <c r="J3124" s="3">
        <v>0.25600000000000001</v>
      </c>
      <c r="K3124" s="3">
        <v>0.98419999999999996</v>
      </c>
      <c r="L3124" s="3">
        <v>8.3799999999999999E-2</v>
      </c>
      <c r="M3124" s="3">
        <v>0.16470000000000001</v>
      </c>
      <c r="N3124" s="3">
        <v>3.8E-3</v>
      </c>
      <c r="O3124" s="3">
        <v>0.71940000000000004</v>
      </c>
      <c r="P3124" s="3">
        <v>1.1900000000000001E-2</v>
      </c>
      <c r="Q3124" s="3">
        <v>0.46610000000000001</v>
      </c>
      <c r="R3124" s="3">
        <v>0.52549999999999997</v>
      </c>
      <c r="S3124" s="3">
        <v>0.76770000000000005</v>
      </c>
      <c r="T3124" s="3">
        <v>0.44500000000000001</v>
      </c>
    </row>
    <row r="3125" spans="1:20">
      <c r="A3125" t="s">
        <v>195</v>
      </c>
      <c r="B3125" t="s">
        <v>215</v>
      </c>
      <c r="C3125">
        <v>135</v>
      </c>
      <c r="D3125" t="s">
        <v>194</v>
      </c>
      <c r="E3125">
        <v>2676</v>
      </c>
      <c r="F3125" s="3">
        <v>9.0700000000000003E-2</v>
      </c>
      <c r="G3125" s="3">
        <v>4.82E-2</v>
      </c>
      <c r="H3125" s="3">
        <v>0.91639999999999999</v>
      </c>
      <c r="J3125" s="3">
        <v>0.68510000000000004</v>
      </c>
      <c r="K3125" s="3">
        <v>0.98829999999999996</v>
      </c>
      <c r="L3125" s="3">
        <v>7.0099999999999996E-2</v>
      </c>
      <c r="M3125" s="3">
        <v>0.4738</v>
      </c>
      <c r="O3125" s="3">
        <v>0.85529999999999995</v>
      </c>
      <c r="Q3125" s="3">
        <v>0.5232</v>
      </c>
      <c r="R3125" s="3">
        <v>0.81699999999999995</v>
      </c>
      <c r="S3125" s="3">
        <v>0.96709999999999996</v>
      </c>
      <c r="T3125" s="3">
        <v>0.4834</v>
      </c>
    </row>
    <row r="3126" spans="1:20">
      <c r="A3126" t="s">
        <v>199</v>
      </c>
      <c r="B3126" t="s">
        <v>212</v>
      </c>
      <c r="C3126">
        <v>1117</v>
      </c>
      <c r="D3126" t="s">
        <v>194</v>
      </c>
      <c r="E3126">
        <v>2676</v>
      </c>
      <c r="F3126" s="3">
        <v>0.31</v>
      </c>
      <c r="G3126" s="3">
        <v>5.1499999999999997E-2</v>
      </c>
      <c r="H3126" s="3">
        <v>0.97609999999999997</v>
      </c>
      <c r="I3126" s="3">
        <v>1.1999999999999999E-3</v>
      </c>
      <c r="J3126" s="3">
        <v>0.72250000000000003</v>
      </c>
      <c r="K3126" s="3">
        <v>0.997</v>
      </c>
      <c r="L3126" s="3">
        <v>7.6200000000000004E-2</v>
      </c>
      <c r="M3126" s="3">
        <v>0.39050000000000001</v>
      </c>
      <c r="N3126" s="3">
        <v>2.0000000000000001E-4</v>
      </c>
      <c r="O3126" s="3">
        <v>0.88300000000000001</v>
      </c>
      <c r="Q3126" s="3">
        <v>0.1547</v>
      </c>
      <c r="R3126" s="3">
        <v>0.84799999999999998</v>
      </c>
      <c r="S3126" s="3">
        <v>0.97130000000000005</v>
      </c>
      <c r="T3126" s="3">
        <v>0.54169999999999996</v>
      </c>
    </row>
    <row r="3127" spans="1:20">
      <c r="A3127" t="s">
        <v>199</v>
      </c>
      <c r="B3127" t="s">
        <v>214</v>
      </c>
      <c r="C3127">
        <v>197</v>
      </c>
      <c r="D3127" t="s">
        <v>194</v>
      </c>
      <c r="E3127">
        <v>2676</v>
      </c>
      <c r="F3127" s="3">
        <v>0.27710000000000001</v>
      </c>
      <c r="G3127" s="3">
        <v>2.1399999999999999E-2</v>
      </c>
      <c r="H3127" s="3">
        <v>0.9304</v>
      </c>
      <c r="I3127" s="3">
        <v>8.0000000000000004E-4</v>
      </c>
      <c r="J3127" s="3">
        <v>0.42730000000000001</v>
      </c>
      <c r="K3127" s="3">
        <v>0.99609999999999999</v>
      </c>
      <c r="L3127" s="3">
        <v>2.4799999999999999E-2</v>
      </c>
      <c r="M3127" s="3">
        <v>0.31340000000000001</v>
      </c>
      <c r="N3127" s="3">
        <v>1.9E-3</v>
      </c>
      <c r="O3127" s="3">
        <v>0.85809999999999997</v>
      </c>
      <c r="Q3127" s="3">
        <v>0.2445</v>
      </c>
      <c r="R3127" s="3">
        <v>0.6835</v>
      </c>
      <c r="S3127" s="3">
        <v>0.83709999999999996</v>
      </c>
      <c r="T3127" s="3">
        <v>0.45700000000000002</v>
      </c>
    </row>
    <row r="3128" spans="1:20">
      <c r="A3128" t="s">
        <v>199</v>
      </c>
      <c r="B3128" t="s">
        <v>215</v>
      </c>
      <c r="C3128">
        <v>173</v>
      </c>
      <c r="D3128" t="s">
        <v>194</v>
      </c>
      <c r="E3128">
        <v>2676</v>
      </c>
      <c r="F3128" s="3">
        <v>0.2412</v>
      </c>
      <c r="G3128" s="3">
        <v>0.16109999999999999</v>
      </c>
      <c r="H3128" s="3">
        <v>0.98580000000000001</v>
      </c>
      <c r="J3128" s="3">
        <v>0.80959999999999999</v>
      </c>
      <c r="K3128" s="3">
        <v>0.99760000000000004</v>
      </c>
      <c r="L3128" s="3">
        <v>0.106</v>
      </c>
      <c r="M3128" s="3">
        <v>0.42730000000000001</v>
      </c>
      <c r="O3128" s="3">
        <v>0.95150000000000001</v>
      </c>
      <c r="P3128" s="3">
        <v>2.9999999999999997E-4</v>
      </c>
      <c r="Q3128" s="3">
        <v>3.3700000000000001E-2</v>
      </c>
      <c r="R3128" s="3">
        <v>0.87380000000000002</v>
      </c>
      <c r="S3128" s="3">
        <v>0.96909999999999996</v>
      </c>
      <c r="T3128" s="3">
        <v>0.33900000000000002</v>
      </c>
    </row>
    <row r="3129" spans="1:20">
      <c r="A3129" t="s">
        <v>200</v>
      </c>
      <c r="B3129" t="s">
        <v>200</v>
      </c>
      <c r="C3129">
        <v>2676</v>
      </c>
      <c r="D3129" t="s">
        <v>200</v>
      </c>
      <c r="E3129">
        <v>2676</v>
      </c>
      <c r="F3129" s="3">
        <v>0.21429999999999999</v>
      </c>
      <c r="G3129" s="3">
        <v>5.3600000000000002E-2</v>
      </c>
      <c r="H3129" s="3">
        <v>0.94830000000000003</v>
      </c>
      <c r="I3129" s="3">
        <v>5.9999999999999995E-4</v>
      </c>
      <c r="J3129" s="3">
        <v>0.62909999999999999</v>
      </c>
      <c r="K3129" s="3">
        <v>0.99360000000000004</v>
      </c>
      <c r="L3129" s="3">
        <v>8.6099999999999996E-2</v>
      </c>
      <c r="M3129" s="3">
        <v>0.36409999999999998</v>
      </c>
      <c r="N3129" s="3">
        <v>5.0000000000000001E-4</v>
      </c>
      <c r="O3129" s="3">
        <v>0.85119999999999996</v>
      </c>
      <c r="P3129" s="3">
        <v>1.1000000000000001E-3</v>
      </c>
      <c r="Q3129" s="3">
        <v>0.35520000000000002</v>
      </c>
      <c r="R3129" s="3">
        <v>0.76619999999999999</v>
      </c>
      <c r="S3129" s="3">
        <v>0.92479999999999996</v>
      </c>
      <c r="T3129" s="3">
        <v>0.50729999999999997</v>
      </c>
    </row>
    <row r="3131" spans="1:20" ht="45">
      <c r="A3131" s="22" t="s">
        <v>740</v>
      </c>
    </row>
    <row r="3132" spans="1:20">
      <c r="A3132" t="s">
        <v>185</v>
      </c>
      <c r="B3132" t="s">
        <v>186</v>
      </c>
      <c r="C3132" t="s">
        <v>192</v>
      </c>
      <c r="D3132" t="s">
        <v>184</v>
      </c>
      <c r="E3132" t="s">
        <v>193</v>
      </c>
      <c r="F3132" t="s">
        <v>724</v>
      </c>
      <c r="G3132" t="s">
        <v>725</v>
      </c>
      <c r="H3132" t="s">
        <v>726</v>
      </c>
      <c r="I3132" t="s">
        <v>257</v>
      </c>
      <c r="J3132" t="s">
        <v>727</v>
      </c>
      <c r="K3132" t="s">
        <v>728</v>
      </c>
      <c r="L3132" t="s">
        <v>729</v>
      </c>
      <c r="M3132" t="s">
        <v>730</v>
      </c>
      <c r="N3132" t="s">
        <v>329</v>
      </c>
      <c r="O3132" t="s">
        <v>731</v>
      </c>
      <c r="P3132" t="s">
        <v>247</v>
      </c>
      <c r="Q3132" t="s">
        <v>732</v>
      </c>
      <c r="R3132" t="s">
        <v>733</v>
      </c>
      <c r="S3132" t="s">
        <v>734</v>
      </c>
      <c r="T3132" t="s">
        <v>735</v>
      </c>
    </row>
    <row r="3133" spans="1:20">
      <c r="A3133" t="s">
        <v>195</v>
      </c>
      <c r="B3133" t="s">
        <v>217</v>
      </c>
      <c r="C3133">
        <v>499</v>
      </c>
      <c r="D3133" t="s">
        <v>194</v>
      </c>
      <c r="E3133">
        <v>2676</v>
      </c>
      <c r="F3133" s="3">
        <v>0.12670000000000001</v>
      </c>
      <c r="G3133" s="3">
        <v>7.17E-2</v>
      </c>
      <c r="H3133" s="3">
        <v>0.93069999999999997</v>
      </c>
      <c r="J3133" s="3">
        <v>0.65539999999999998</v>
      </c>
      <c r="K3133" s="3">
        <v>0.99619999999999997</v>
      </c>
      <c r="L3133" s="3">
        <v>0.13819999999999999</v>
      </c>
      <c r="M3133" s="3">
        <v>0.435</v>
      </c>
      <c r="O3133" s="3">
        <v>0.83630000000000004</v>
      </c>
      <c r="P3133" s="3">
        <v>1.1000000000000001E-3</v>
      </c>
      <c r="Q3133" s="3">
        <v>0.63180000000000003</v>
      </c>
      <c r="R3133" s="3">
        <v>0.7823</v>
      </c>
      <c r="S3133" s="3">
        <v>0.9395</v>
      </c>
      <c r="T3133" s="3">
        <v>0.49840000000000001</v>
      </c>
    </row>
    <row r="3134" spans="1:20">
      <c r="A3134" t="s">
        <v>195</v>
      </c>
      <c r="B3134" t="s">
        <v>219</v>
      </c>
      <c r="C3134">
        <v>507</v>
      </c>
      <c r="D3134" t="s">
        <v>194</v>
      </c>
      <c r="E3134">
        <v>2676</v>
      </c>
      <c r="F3134" s="3">
        <v>8.3799999999999999E-2</v>
      </c>
      <c r="G3134" s="3">
        <v>3.15E-2</v>
      </c>
      <c r="H3134" s="3">
        <v>0.90369999999999995</v>
      </c>
      <c r="J3134" s="3">
        <v>0.53639999999999999</v>
      </c>
      <c r="K3134" s="3">
        <v>0.98270000000000002</v>
      </c>
      <c r="L3134" s="3">
        <v>8.1799999999999998E-2</v>
      </c>
      <c r="M3134" s="3">
        <v>0.29799999999999999</v>
      </c>
      <c r="N3134" s="3">
        <v>1.6000000000000001E-3</v>
      </c>
      <c r="O3134" s="3">
        <v>0.77290000000000003</v>
      </c>
      <c r="P3134" s="3">
        <v>5.1000000000000004E-3</v>
      </c>
      <c r="Q3134" s="3">
        <v>0.58460000000000001</v>
      </c>
      <c r="R3134" s="3">
        <v>0.5948</v>
      </c>
      <c r="S3134" s="3">
        <v>0.85050000000000003</v>
      </c>
      <c r="T3134" s="3">
        <v>0.53959999999999997</v>
      </c>
    </row>
    <row r="3135" spans="1:20">
      <c r="A3135" t="s">
        <v>195</v>
      </c>
      <c r="B3135" t="s">
        <v>220</v>
      </c>
      <c r="C3135">
        <v>182</v>
      </c>
      <c r="D3135" t="s">
        <v>194</v>
      </c>
      <c r="E3135">
        <v>2676</v>
      </c>
      <c r="F3135" s="3">
        <v>0.11559999999999999</v>
      </c>
      <c r="G3135" s="3">
        <v>4.1599999999999998E-2</v>
      </c>
      <c r="H3135" s="3">
        <v>0.93600000000000005</v>
      </c>
      <c r="J3135" s="3">
        <v>0.3906</v>
      </c>
      <c r="K3135" s="3">
        <v>0.98809999999999998</v>
      </c>
      <c r="L3135" s="3">
        <v>7.9699999999999993E-2</v>
      </c>
      <c r="M3135" s="3">
        <v>0.224</v>
      </c>
      <c r="O3135" s="3">
        <v>0.82269999999999999</v>
      </c>
      <c r="Q3135" s="3">
        <v>0.57120000000000004</v>
      </c>
      <c r="R3135" s="3">
        <v>0.69299999999999995</v>
      </c>
      <c r="S3135" s="3">
        <v>0.87350000000000005</v>
      </c>
      <c r="T3135" s="3">
        <v>0.42980000000000002</v>
      </c>
    </row>
    <row r="3136" spans="1:20">
      <c r="A3136" t="s">
        <v>199</v>
      </c>
      <c r="B3136" t="s">
        <v>217</v>
      </c>
      <c r="C3136">
        <v>813</v>
      </c>
      <c r="D3136" t="s">
        <v>194</v>
      </c>
      <c r="E3136">
        <v>2676</v>
      </c>
      <c r="F3136" s="3">
        <v>0.31369999999999998</v>
      </c>
      <c r="G3136" s="3">
        <v>5.8000000000000003E-2</v>
      </c>
      <c r="H3136" s="3">
        <v>0.97840000000000005</v>
      </c>
      <c r="I3136" s="3">
        <v>1.5E-3</v>
      </c>
      <c r="J3136" s="3">
        <v>0.72750000000000004</v>
      </c>
      <c r="K3136" s="3">
        <v>0.99709999999999999</v>
      </c>
      <c r="L3136" s="3">
        <v>6.8199999999999997E-2</v>
      </c>
      <c r="M3136" s="3">
        <v>0.38919999999999999</v>
      </c>
      <c r="O3136" s="3">
        <v>0.88160000000000005</v>
      </c>
      <c r="P3136" s="3">
        <v>0</v>
      </c>
      <c r="Q3136" s="3">
        <v>0.12089999999999999</v>
      </c>
      <c r="R3136" s="3">
        <v>0.87129999999999996</v>
      </c>
      <c r="S3136" s="3">
        <v>0.9778</v>
      </c>
      <c r="T3136" s="3">
        <v>0.49519999999999997</v>
      </c>
    </row>
    <row r="3137" spans="1:48">
      <c r="A3137" t="s">
        <v>199</v>
      </c>
      <c r="B3137" t="s">
        <v>219</v>
      </c>
      <c r="C3137">
        <v>451</v>
      </c>
      <c r="D3137" t="s">
        <v>194</v>
      </c>
      <c r="E3137">
        <v>2676</v>
      </c>
      <c r="F3137" s="3">
        <v>0.2437</v>
      </c>
      <c r="G3137" s="3">
        <v>6.1499999999999999E-2</v>
      </c>
      <c r="H3137" s="3">
        <v>0.94640000000000002</v>
      </c>
      <c r="J3137" s="3">
        <v>0.6633</v>
      </c>
      <c r="K3137" s="3">
        <v>0.99629999999999996</v>
      </c>
      <c r="L3137" s="3">
        <v>6.5299999999999997E-2</v>
      </c>
      <c r="M3137" s="3">
        <v>0.33879999999999999</v>
      </c>
      <c r="N3137" s="3">
        <v>1.6999999999999999E-3</v>
      </c>
      <c r="O3137" s="3">
        <v>0.90980000000000005</v>
      </c>
      <c r="Q3137" s="3">
        <v>0.20050000000000001</v>
      </c>
      <c r="R3137" s="3">
        <v>0.7087</v>
      </c>
      <c r="S3137" s="3">
        <v>0.89600000000000002</v>
      </c>
      <c r="T3137" s="3">
        <v>0.4995</v>
      </c>
    </row>
    <row r="3138" spans="1:48">
      <c r="A3138" t="s">
        <v>199</v>
      </c>
      <c r="B3138" t="s">
        <v>220</v>
      </c>
      <c r="C3138">
        <v>223</v>
      </c>
      <c r="D3138" t="s">
        <v>194</v>
      </c>
      <c r="E3138">
        <v>2676</v>
      </c>
      <c r="F3138" s="3">
        <v>0.33169999999999999</v>
      </c>
      <c r="G3138" s="3">
        <v>4.0800000000000003E-2</v>
      </c>
      <c r="H3138" s="3">
        <v>0.97540000000000004</v>
      </c>
      <c r="I3138" s="3">
        <v>8.0000000000000004E-4</v>
      </c>
      <c r="J3138" s="3">
        <v>0.55789999999999995</v>
      </c>
      <c r="K3138" s="3">
        <v>0.99739999999999995</v>
      </c>
      <c r="L3138" s="3">
        <v>9.01E-2</v>
      </c>
      <c r="M3138" s="3">
        <v>0.42170000000000002</v>
      </c>
      <c r="O3138" s="3">
        <v>0.85860000000000003</v>
      </c>
      <c r="Q3138" s="3">
        <v>0.2334</v>
      </c>
      <c r="R3138" s="3">
        <v>0.83289999999999997</v>
      </c>
      <c r="S3138" s="3">
        <v>0.93389999999999995</v>
      </c>
      <c r="T3138" s="3">
        <v>0.59470000000000001</v>
      </c>
    </row>
    <row r="3139" spans="1:48">
      <c r="A3139" t="s">
        <v>200</v>
      </c>
      <c r="B3139" t="s">
        <v>200</v>
      </c>
      <c r="C3139">
        <v>2676</v>
      </c>
      <c r="D3139" t="s">
        <v>200</v>
      </c>
      <c r="E3139">
        <v>2676</v>
      </c>
      <c r="F3139" s="3">
        <v>0.21429999999999999</v>
      </c>
      <c r="G3139" s="3">
        <v>5.3600000000000002E-2</v>
      </c>
      <c r="H3139" s="3">
        <v>0.94830000000000003</v>
      </c>
      <c r="I3139" s="3">
        <v>5.9999999999999995E-4</v>
      </c>
      <c r="J3139" s="3">
        <v>0.62909999999999999</v>
      </c>
      <c r="K3139" s="3">
        <v>0.99360000000000004</v>
      </c>
      <c r="L3139" s="3">
        <v>8.6099999999999996E-2</v>
      </c>
      <c r="M3139" s="3">
        <v>0.36409999999999998</v>
      </c>
      <c r="N3139" s="3">
        <v>5.0000000000000001E-4</v>
      </c>
      <c r="O3139" s="3">
        <v>0.85119999999999996</v>
      </c>
      <c r="P3139" s="3">
        <v>1.1000000000000001E-3</v>
      </c>
      <c r="Q3139" s="3">
        <v>0.35520000000000002</v>
      </c>
      <c r="R3139" s="3">
        <v>0.76619999999999999</v>
      </c>
      <c r="S3139" s="3">
        <v>0.92479999999999996</v>
      </c>
      <c r="T3139" s="3">
        <v>0.50729999999999997</v>
      </c>
    </row>
    <row r="3141" spans="1:48" ht="45">
      <c r="A3141" s="22" t="s">
        <v>741</v>
      </c>
    </row>
    <row r="3142" spans="1:48">
      <c r="A3142" t="s">
        <v>184</v>
      </c>
      <c r="B3142" t="s">
        <v>185</v>
      </c>
      <c r="C3142" t="s">
        <v>186</v>
      </c>
      <c r="D3142" t="s">
        <v>742</v>
      </c>
      <c r="E3142" t="s">
        <v>743</v>
      </c>
      <c r="F3142" t="s">
        <v>744</v>
      </c>
      <c r="G3142" t="s">
        <v>745</v>
      </c>
      <c r="H3142" t="s">
        <v>746</v>
      </c>
      <c r="I3142" t="s">
        <v>747</v>
      </c>
      <c r="J3142" t="s">
        <v>748</v>
      </c>
      <c r="K3142" t="s">
        <v>749</v>
      </c>
      <c r="L3142" t="s">
        <v>750</v>
      </c>
      <c r="M3142" t="s">
        <v>751</v>
      </c>
      <c r="N3142" t="s">
        <v>752</v>
      </c>
      <c r="O3142" t="s">
        <v>753</v>
      </c>
      <c r="P3142" t="s">
        <v>754</v>
      </c>
      <c r="Q3142" t="s">
        <v>755</v>
      </c>
      <c r="R3142" t="s">
        <v>756</v>
      </c>
      <c r="S3142" t="s">
        <v>757</v>
      </c>
      <c r="T3142" t="s">
        <v>758</v>
      </c>
      <c r="U3142" t="s">
        <v>759</v>
      </c>
      <c r="V3142" t="s">
        <v>760</v>
      </c>
      <c r="W3142" t="s">
        <v>761</v>
      </c>
      <c r="X3142" t="s">
        <v>762</v>
      </c>
      <c r="Y3142" t="s">
        <v>763</v>
      </c>
      <c r="Z3142" t="s">
        <v>764</v>
      </c>
      <c r="AA3142" t="s">
        <v>765</v>
      </c>
      <c r="AB3142" t="s">
        <v>766</v>
      </c>
      <c r="AC3142" t="s">
        <v>767</v>
      </c>
      <c r="AD3142" t="s">
        <v>768</v>
      </c>
      <c r="AE3142" t="s">
        <v>769</v>
      </c>
      <c r="AF3142" t="s">
        <v>770</v>
      </c>
      <c r="AG3142" t="s">
        <v>771</v>
      </c>
      <c r="AH3142" t="s">
        <v>772</v>
      </c>
      <c r="AI3142" t="s">
        <v>773</v>
      </c>
      <c r="AJ3142" t="s">
        <v>774</v>
      </c>
      <c r="AK3142" t="s">
        <v>775</v>
      </c>
      <c r="AL3142" t="s">
        <v>776</v>
      </c>
      <c r="AM3142" t="s">
        <v>777</v>
      </c>
      <c r="AN3142" t="s">
        <v>778</v>
      </c>
      <c r="AO3142" t="s">
        <v>779</v>
      </c>
      <c r="AP3142" t="s">
        <v>780</v>
      </c>
      <c r="AQ3142" t="s">
        <v>781</v>
      </c>
      <c r="AR3142" t="s">
        <v>782</v>
      </c>
      <c r="AS3142" t="s">
        <v>783</v>
      </c>
      <c r="AT3142" t="s">
        <v>784</v>
      </c>
      <c r="AU3142" t="s">
        <v>785</v>
      </c>
      <c r="AV3142" t="s">
        <v>193</v>
      </c>
    </row>
    <row r="3143" spans="1:48">
      <c r="A3143" t="s">
        <v>194</v>
      </c>
      <c r="B3143" t="s">
        <v>195</v>
      </c>
      <c r="C3143" t="s">
        <v>196</v>
      </c>
      <c r="D3143">
        <v>6451.5333008429598</v>
      </c>
      <c r="E3143">
        <v>5000</v>
      </c>
      <c r="F3143">
        <v>400</v>
      </c>
      <c r="G3143">
        <v>30000</v>
      </c>
      <c r="H3143">
        <v>5489.9543274305524</v>
      </c>
      <c r="I3143">
        <v>5000</v>
      </c>
      <c r="J3143">
        <v>300</v>
      </c>
      <c r="K3143">
        <v>20000</v>
      </c>
      <c r="L3143">
        <v>494.81034048913801</v>
      </c>
      <c r="M3143">
        <v>300</v>
      </c>
      <c r="N3143">
        <v>50</v>
      </c>
      <c r="O3143">
        <v>5000</v>
      </c>
      <c r="P3143">
        <v>578.93617665227362</v>
      </c>
      <c r="Q3143">
        <v>400</v>
      </c>
      <c r="R3143">
        <v>50</v>
      </c>
      <c r="S3143">
        <v>5000</v>
      </c>
      <c r="T3143">
        <v>767.05584225806092</v>
      </c>
      <c r="U3143">
        <v>500</v>
      </c>
      <c r="V3143">
        <v>100</v>
      </c>
      <c r="W3143">
        <v>5000</v>
      </c>
      <c r="X3143">
        <v>1134.5635665133541</v>
      </c>
      <c r="Y3143">
        <v>500</v>
      </c>
      <c r="Z3143">
        <v>100</v>
      </c>
      <c r="AA3143">
        <v>15000</v>
      </c>
      <c r="AB3143">
        <v>1540.3376260089519</v>
      </c>
      <c r="AC3143">
        <v>1300</v>
      </c>
      <c r="AD3143">
        <v>130</v>
      </c>
      <c r="AE3143">
        <v>15000</v>
      </c>
      <c r="AF3143">
        <v>798.9546691578704</v>
      </c>
      <c r="AG3143">
        <v>560</v>
      </c>
      <c r="AH3143">
        <v>100</v>
      </c>
      <c r="AI3143">
        <v>8000</v>
      </c>
      <c r="AJ3143">
        <v>2815.4028737844292</v>
      </c>
      <c r="AK3143">
        <v>1000</v>
      </c>
      <c r="AL3143">
        <v>100</v>
      </c>
      <c r="AM3143">
        <v>37500</v>
      </c>
      <c r="AN3143">
        <v>619.87106844526011</v>
      </c>
      <c r="AO3143">
        <v>550</v>
      </c>
      <c r="AP3143">
        <v>100</v>
      </c>
      <c r="AQ3143">
        <v>4600</v>
      </c>
      <c r="AR3143">
        <v>2574.2470808958701</v>
      </c>
      <c r="AS3143">
        <v>2000</v>
      </c>
      <c r="AT3143">
        <v>200</v>
      </c>
      <c r="AU3143">
        <v>20000</v>
      </c>
      <c r="AV3143">
        <v>2257</v>
      </c>
    </row>
    <row r="3144" spans="1:48">
      <c r="A3144" t="s">
        <v>194</v>
      </c>
      <c r="B3144" t="s">
        <v>195</v>
      </c>
      <c r="C3144" t="s">
        <v>198</v>
      </c>
      <c r="D3144">
        <v>7738.5981841372804</v>
      </c>
      <c r="E3144">
        <v>7000</v>
      </c>
      <c r="F3144">
        <v>300</v>
      </c>
      <c r="G3144">
        <v>40000</v>
      </c>
      <c r="H3144">
        <v>6558.3425666062121</v>
      </c>
      <c r="I3144">
        <v>6000</v>
      </c>
      <c r="J3144">
        <v>300</v>
      </c>
      <c r="K3144">
        <v>20000</v>
      </c>
      <c r="L3144">
        <v>417.38427815891282</v>
      </c>
      <c r="M3144">
        <v>300</v>
      </c>
      <c r="N3144">
        <v>50</v>
      </c>
      <c r="O3144">
        <v>5000</v>
      </c>
      <c r="P3144">
        <v>547.3222155142895</v>
      </c>
      <c r="Q3144">
        <v>400</v>
      </c>
      <c r="R3144">
        <v>50</v>
      </c>
      <c r="S3144">
        <v>10000</v>
      </c>
      <c r="T3144">
        <v>902.30640673345829</v>
      </c>
      <c r="U3144">
        <v>600</v>
      </c>
      <c r="V3144">
        <v>100</v>
      </c>
      <c r="W3144">
        <v>5500</v>
      </c>
      <c r="X3144">
        <v>575.53428647336113</v>
      </c>
      <c r="Y3144">
        <v>400</v>
      </c>
      <c r="Z3144">
        <v>100</v>
      </c>
      <c r="AA3144">
        <v>3500</v>
      </c>
      <c r="AB3144">
        <v>1847.2902060003059</v>
      </c>
      <c r="AC3144">
        <v>1500</v>
      </c>
      <c r="AD3144">
        <v>150</v>
      </c>
      <c r="AE3144">
        <v>30000</v>
      </c>
      <c r="AF3144">
        <v>1048.5568587776099</v>
      </c>
      <c r="AG3144">
        <v>700</v>
      </c>
      <c r="AH3144">
        <v>100</v>
      </c>
      <c r="AI3144">
        <v>5000</v>
      </c>
      <c r="AJ3144">
        <v>1746.2956616651741</v>
      </c>
      <c r="AK3144">
        <v>700</v>
      </c>
      <c r="AL3144">
        <v>50</v>
      </c>
      <c r="AM3144">
        <v>33000</v>
      </c>
      <c r="AN3144">
        <v>642.51096561464738</v>
      </c>
      <c r="AO3144">
        <v>600</v>
      </c>
      <c r="AP3144">
        <v>50</v>
      </c>
      <c r="AQ3144">
        <v>2500</v>
      </c>
      <c r="AR3144">
        <v>1843.1259571371691</v>
      </c>
      <c r="AS3144">
        <v>1500</v>
      </c>
      <c r="AT3144">
        <v>200</v>
      </c>
      <c r="AU3144">
        <v>7000</v>
      </c>
      <c r="AV3144">
        <v>2257</v>
      </c>
    </row>
    <row r="3145" spans="1:48">
      <c r="A3145" t="s">
        <v>194</v>
      </c>
      <c r="B3145" t="s">
        <v>199</v>
      </c>
      <c r="C3145" t="s">
        <v>196</v>
      </c>
      <c r="D3145">
        <v>8548.8275491016138</v>
      </c>
      <c r="E3145">
        <v>8000</v>
      </c>
      <c r="F3145">
        <v>200</v>
      </c>
      <c r="G3145">
        <v>45000</v>
      </c>
      <c r="H3145">
        <v>7829.9319177896532</v>
      </c>
      <c r="I3145">
        <v>6000</v>
      </c>
      <c r="J3145">
        <v>670</v>
      </c>
      <c r="K3145">
        <v>20000</v>
      </c>
      <c r="L3145">
        <v>556.4080392614519</v>
      </c>
      <c r="M3145">
        <v>450</v>
      </c>
      <c r="N3145">
        <v>60</v>
      </c>
      <c r="O3145">
        <v>5000</v>
      </c>
      <c r="P3145">
        <v>730.04436645444821</v>
      </c>
      <c r="Q3145">
        <v>400</v>
      </c>
      <c r="R3145">
        <v>50</v>
      </c>
      <c r="S3145">
        <v>5000</v>
      </c>
      <c r="T3145">
        <v>1085.542533905048</v>
      </c>
      <c r="U3145">
        <v>800</v>
      </c>
      <c r="V3145">
        <v>100</v>
      </c>
      <c r="W3145">
        <v>10000</v>
      </c>
      <c r="X3145">
        <v>1017.248665716514</v>
      </c>
      <c r="Y3145">
        <v>500</v>
      </c>
      <c r="Z3145">
        <v>100</v>
      </c>
      <c r="AA3145">
        <v>13800</v>
      </c>
      <c r="AB3145">
        <v>1973.2987483767599</v>
      </c>
      <c r="AC3145">
        <v>1700</v>
      </c>
      <c r="AD3145">
        <v>100</v>
      </c>
      <c r="AE3145">
        <v>12000</v>
      </c>
      <c r="AF3145">
        <v>1106.20545482786</v>
      </c>
      <c r="AG3145">
        <v>1000</v>
      </c>
      <c r="AH3145">
        <v>100</v>
      </c>
      <c r="AI3145">
        <v>18000</v>
      </c>
      <c r="AJ3145">
        <v>3333.33404992956</v>
      </c>
      <c r="AK3145">
        <v>2000</v>
      </c>
      <c r="AL3145">
        <v>50</v>
      </c>
      <c r="AM3145">
        <v>100000</v>
      </c>
      <c r="AN3145">
        <v>789.48135121405039</v>
      </c>
      <c r="AO3145">
        <v>700</v>
      </c>
      <c r="AP3145">
        <v>90</v>
      </c>
      <c r="AQ3145">
        <v>7000</v>
      </c>
      <c r="AR3145">
        <v>3381.3793842056079</v>
      </c>
      <c r="AS3145">
        <v>2000</v>
      </c>
      <c r="AT3145">
        <v>100</v>
      </c>
      <c r="AU3145">
        <v>20000</v>
      </c>
      <c r="AV3145">
        <v>2257</v>
      </c>
    </row>
    <row r="3146" spans="1:48">
      <c r="A3146" t="s">
        <v>194</v>
      </c>
      <c r="B3146" t="s">
        <v>199</v>
      </c>
      <c r="C3146" t="s">
        <v>198</v>
      </c>
      <c r="D3146">
        <v>9286.0086985788057</v>
      </c>
      <c r="E3146">
        <v>8000</v>
      </c>
      <c r="F3146">
        <v>300</v>
      </c>
      <c r="G3146">
        <v>50000</v>
      </c>
      <c r="H3146">
        <v>6786.2420985534554</v>
      </c>
      <c r="I3146">
        <v>6000</v>
      </c>
      <c r="J3146">
        <v>300</v>
      </c>
      <c r="K3146">
        <v>20000</v>
      </c>
      <c r="L3146">
        <v>562.50372372909408</v>
      </c>
      <c r="M3146">
        <v>400</v>
      </c>
      <c r="N3146">
        <v>60</v>
      </c>
      <c r="O3146">
        <v>5000</v>
      </c>
      <c r="P3146">
        <v>631.69568255022136</v>
      </c>
      <c r="Q3146">
        <v>400</v>
      </c>
      <c r="R3146">
        <v>50</v>
      </c>
      <c r="S3146">
        <v>10000</v>
      </c>
      <c r="T3146">
        <v>993.90161565381857</v>
      </c>
      <c r="U3146">
        <v>800</v>
      </c>
      <c r="V3146">
        <v>100</v>
      </c>
      <c r="W3146">
        <v>25000</v>
      </c>
      <c r="X3146">
        <v>941.43383265769103</v>
      </c>
      <c r="Y3146">
        <v>500</v>
      </c>
      <c r="Z3146">
        <v>100</v>
      </c>
      <c r="AA3146">
        <v>6000</v>
      </c>
      <c r="AB3146">
        <v>2010.2595179744339</v>
      </c>
      <c r="AC3146">
        <v>1500</v>
      </c>
      <c r="AD3146">
        <v>200</v>
      </c>
      <c r="AE3146">
        <v>12000</v>
      </c>
      <c r="AF3146">
        <v>1066.898050014182</v>
      </c>
      <c r="AG3146">
        <v>600</v>
      </c>
      <c r="AH3146">
        <v>100</v>
      </c>
      <c r="AI3146">
        <v>6000</v>
      </c>
      <c r="AJ3146">
        <v>2923.7743786231822</v>
      </c>
      <c r="AK3146">
        <v>2000</v>
      </c>
      <c r="AL3146">
        <v>50</v>
      </c>
      <c r="AM3146">
        <v>20000</v>
      </c>
      <c r="AN3146">
        <v>700.84416667866378</v>
      </c>
      <c r="AO3146">
        <v>660</v>
      </c>
      <c r="AP3146">
        <v>100</v>
      </c>
      <c r="AQ3146">
        <v>7000</v>
      </c>
      <c r="AR3146">
        <v>3975.9094558223728</v>
      </c>
      <c r="AS3146">
        <v>2000</v>
      </c>
      <c r="AT3146">
        <v>100</v>
      </c>
      <c r="AU3146">
        <v>87500</v>
      </c>
      <c r="AV3146">
        <v>2257</v>
      </c>
    </row>
    <row r="3147" spans="1:48">
      <c r="A3147" t="s">
        <v>200</v>
      </c>
      <c r="B3147" t="s">
        <v>200</v>
      </c>
      <c r="C3147" t="s">
        <v>200</v>
      </c>
      <c r="D3147">
        <v>8429.0633655529964</v>
      </c>
      <c r="E3147">
        <v>7000</v>
      </c>
      <c r="F3147">
        <v>200</v>
      </c>
      <c r="G3147">
        <v>50000</v>
      </c>
      <c r="H3147">
        <v>6538.8454780640013</v>
      </c>
      <c r="I3147">
        <v>6000</v>
      </c>
      <c r="J3147">
        <v>300</v>
      </c>
      <c r="K3147">
        <v>40000</v>
      </c>
      <c r="L3147">
        <v>505.31036162741259</v>
      </c>
      <c r="M3147">
        <v>350</v>
      </c>
      <c r="N3147">
        <v>50</v>
      </c>
      <c r="O3147">
        <v>5000</v>
      </c>
      <c r="P3147">
        <v>612.76395029911748</v>
      </c>
      <c r="Q3147">
        <v>400</v>
      </c>
      <c r="R3147">
        <v>50</v>
      </c>
      <c r="S3147">
        <v>10000</v>
      </c>
      <c r="T3147">
        <v>950.31513107307535</v>
      </c>
      <c r="U3147">
        <v>700</v>
      </c>
      <c r="V3147">
        <v>100</v>
      </c>
      <c r="W3147">
        <v>25000</v>
      </c>
      <c r="X3147">
        <v>852.92294718564028</v>
      </c>
      <c r="Y3147">
        <v>500</v>
      </c>
      <c r="Z3147">
        <v>100</v>
      </c>
      <c r="AA3147">
        <v>15000</v>
      </c>
      <c r="AB3147">
        <v>1902.7017399560971</v>
      </c>
      <c r="AC3147">
        <v>1500</v>
      </c>
      <c r="AD3147">
        <v>100</v>
      </c>
      <c r="AE3147">
        <v>30000</v>
      </c>
      <c r="AF3147">
        <v>1012.266050592903</v>
      </c>
      <c r="AG3147">
        <v>600</v>
      </c>
      <c r="AH3147">
        <v>100</v>
      </c>
      <c r="AI3147">
        <v>18000</v>
      </c>
      <c r="AJ3147">
        <v>2617.7054498596899</v>
      </c>
      <c r="AK3147">
        <v>1500</v>
      </c>
      <c r="AL3147">
        <v>50</v>
      </c>
      <c r="AM3147">
        <v>100000</v>
      </c>
      <c r="AN3147">
        <v>682.77713804228927</v>
      </c>
      <c r="AO3147">
        <v>600</v>
      </c>
      <c r="AP3147">
        <v>50</v>
      </c>
      <c r="AQ3147">
        <v>7000</v>
      </c>
      <c r="AR3147">
        <v>3451.5921234889129</v>
      </c>
      <c r="AS3147">
        <v>2000</v>
      </c>
      <c r="AT3147">
        <v>100</v>
      </c>
      <c r="AU3147">
        <v>87500</v>
      </c>
      <c r="AV3147">
        <v>2257</v>
      </c>
    </row>
    <row r="3149" spans="1:48" ht="45">
      <c r="A3149" s="22" t="s">
        <v>786</v>
      </c>
    </row>
    <row r="3150" spans="1:48">
      <c r="A3150" t="s">
        <v>184</v>
      </c>
      <c r="B3150" t="s">
        <v>185</v>
      </c>
      <c r="C3150" t="s">
        <v>186</v>
      </c>
      <c r="D3150" t="s">
        <v>742</v>
      </c>
      <c r="E3150" t="s">
        <v>743</v>
      </c>
      <c r="F3150" t="s">
        <v>744</v>
      </c>
      <c r="G3150" t="s">
        <v>745</v>
      </c>
      <c r="H3150" t="s">
        <v>746</v>
      </c>
      <c r="I3150" t="s">
        <v>747</v>
      </c>
      <c r="J3150" t="s">
        <v>748</v>
      </c>
      <c r="K3150" t="s">
        <v>749</v>
      </c>
      <c r="L3150" t="s">
        <v>750</v>
      </c>
      <c r="M3150" t="s">
        <v>751</v>
      </c>
      <c r="N3150" t="s">
        <v>752</v>
      </c>
      <c r="O3150" t="s">
        <v>753</v>
      </c>
      <c r="P3150" t="s">
        <v>754</v>
      </c>
      <c r="Q3150" t="s">
        <v>755</v>
      </c>
      <c r="R3150" t="s">
        <v>756</v>
      </c>
      <c r="S3150" t="s">
        <v>757</v>
      </c>
      <c r="T3150" t="s">
        <v>758</v>
      </c>
      <c r="U3150" t="s">
        <v>759</v>
      </c>
      <c r="V3150" t="s">
        <v>760</v>
      </c>
      <c r="W3150" t="s">
        <v>761</v>
      </c>
      <c r="X3150" t="s">
        <v>762</v>
      </c>
      <c r="Y3150" t="s">
        <v>763</v>
      </c>
      <c r="Z3150" t="s">
        <v>764</v>
      </c>
      <c r="AA3150" t="s">
        <v>765</v>
      </c>
      <c r="AB3150" t="s">
        <v>766</v>
      </c>
      <c r="AC3150" t="s">
        <v>767</v>
      </c>
      <c r="AD3150" t="s">
        <v>768</v>
      </c>
      <c r="AE3150" t="s">
        <v>769</v>
      </c>
      <c r="AF3150" t="s">
        <v>770</v>
      </c>
      <c r="AG3150" t="s">
        <v>771</v>
      </c>
      <c r="AH3150" t="s">
        <v>772</v>
      </c>
      <c r="AI3150" t="s">
        <v>773</v>
      </c>
      <c r="AJ3150" t="s">
        <v>774</v>
      </c>
      <c r="AK3150" t="s">
        <v>775</v>
      </c>
      <c r="AL3150" t="s">
        <v>776</v>
      </c>
      <c r="AM3150" t="s">
        <v>777</v>
      </c>
      <c r="AN3150" t="s">
        <v>778</v>
      </c>
      <c r="AO3150" t="s">
        <v>779</v>
      </c>
      <c r="AP3150" t="s">
        <v>780</v>
      </c>
      <c r="AQ3150" t="s">
        <v>781</v>
      </c>
      <c r="AR3150" t="s">
        <v>782</v>
      </c>
      <c r="AS3150" t="s">
        <v>783</v>
      </c>
      <c r="AT3150" t="s">
        <v>784</v>
      </c>
      <c r="AU3150" t="s">
        <v>785</v>
      </c>
      <c r="AV3150" t="s">
        <v>193</v>
      </c>
    </row>
    <row r="3151" spans="1:48">
      <c r="A3151" t="s">
        <v>194</v>
      </c>
      <c r="B3151" t="s">
        <v>195</v>
      </c>
      <c r="C3151" t="s">
        <v>202</v>
      </c>
      <c r="D3151">
        <v>8059.3532342760373</v>
      </c>
      <c r="E3151">
        <v>7000</v>
      </c>
      <c r="F3151">
        <v>500</v>
      </c>
      <c r="G3151">
        <v>40000</v>
      </c>
      <c r="H3151">
        <v>7207.3864364689998</v>
      </c>
      <c r="I3151">
        <v>7000</v>
      </c>
      <c r="J3151">
        <v>450</v>
      </c>
      <c r="K3151">
        <v>20000</v>
      </c>
      <c r="L3151">
        <v>449.9387637626574</v>
      </c>
      <c r="M3151">
        <v>300</v>
      </c>
      <c r="N3151">
        <v>50</v>
      </c>
      <c r="O3151">
        <v>5000</v>
      </c>
      <c r="P3151">
        <v>550.70591151406302</v>
      </c>
      <c r="Q3151">
        <v>300</v>
      </c>
      <c r="R3151">
        <v>50</v>
      </c>
      <c r="S3151">
        <v>10000</v>
      </c>
      <c r="T3151">
        <v>904.73142076296233</v>
      </c>
      <c r="U3151">
        <v>600</v>
      </c>
      <c r="V3151">
        <v>100</v>
      </c>
      <c r="W3151">
        <v>5000</v>
      </c>
      <c r="X3151">
        <v>637.10594025196895</v>
      </c>
      <c r="Y3151">
        <v>500</v>
      </c>
      <c r="Z3151">
        <v>100</v>
      </c>
      <c r="AA3151">
        <v>6300</v>
      </c>
      <c r="AB3151">
        <v>1867.6785054428881</v>
      </c>
      <c r="AC3151">
        <v>1500</v>
      </c>
      <c r="AD3151">
        <v>150</v>
      </c>
      <c r="AE3151">
        <v>30000</v>
      </c>
      <c r="AF3151">
        <v>1028.1343346883059</v>
      </c>
      <c r="AG3151">
        <v>600</v>
      </c>
      <c r="AH3151">
        <v>100</v>
      </c>
      <c r="AI3151">
        <v>8000</v>
      </c>
      <c r="AJ3151">
        <v>2074.4639613305749</v>
      </c>
      <c r="AK3151">
        <v>800</v>
      </c>
      <c r="AL3151">
        <v>50</v>
      </c>
      <c r="AM3151">
        <v>35000</v>
      </c>
      <c r="AN3151">
        <v>639.46182296140353</v>
      </c>
      <c r="AO3151">
        <v>600</v>
      </c>
      <c r="AP3151">
        <v>50</v>
      </c>
      <c r="AQ3151">
        <v>4600</v>
      </c>
      <c r="AR3151">
        <v>1934.352478873082</v>
      </c>
      <c r="AS3151">
        <v>1500</v>
      </c>
      <c r="AT3151">
        <v>200</v>
      </c>
      <c r="AU3151">
        <v>8000</v>
      </c>
      <c r="AV3151">
        <v>2257</v>
      </c>
    </row>
    <row r="3152" spans="1:48">
      <c r="A3152" t="s">
        <v>194</v>
      </c>
      <c r="B3152" t="s">
        <v>195</v>
      </c>
      <c r="C3152" t="s">
        <v>204</v>
      </c>
      <c r="D3152">
        <v>7007.6832381172644</v>
      </c>
      <c r="E3152">
        <v>6000</v>
      </c>
      <c r="F3152">
        <v>300</v>
      </c>
      <c r="G3152">
        <v>30000</v>
      </c>
      <c r="H3152">
        <v>5854.4859797019644</v>
      </c>
      <c r="I3152">
        <v>5000</v>
      </c>
      <c r="J3152">
        <v>300</v>
      </c>
      <c r="K3152">
        <v>17000</v>
      </c>
      <c r="L3152">
        <v>450.83279156573519</v>
      </c>
      <c r="M3152">
        <v>400</v>
      </c>
      <c r="N3152">
        <v>50</v>
      </c>
      <c r="O3152">
        <v>5000</v>
      </c>
      <c r="P3152">
        <v>514.52195261840723</v>
      </c>
      <c r="Q3152">
        <v>450</v>
      </c>
      <c r="R3152">
        <v>50</v>
      </c>
      <c r="S3152">
        <v>2500</v>
      </c>
      <c r="T3152">
        <v>817.37482904158514</v>
      </c>
      <c r="U3152">
        <v>600</v>
      </c>
      <c r="V3152">
        <v>100</v>
      </c>
      <c r="W3152">
        <v>5500</v>
      </c>
      <c r="X3152">
        <v>632.5083274663034</v>
      </c>
      <c r="Y3152">
        <v>500</v>
      </c>
      <c r="Z3152">
        <v>100</v>
      </c>
      <c r="AA3152">
        <v>3500</v>
      </c>
      <c r="AB3152">
        <v>1664.157243842802</v>
      </c>
      <c r="AC3152">
        <v>1400</v>
      </c>
      <c r="AD3152">
        <v>200</v>
      </c>
      <c r="AE3152">
        <v>12500</v>
      </c>
      <c r="AF3152">
        <v>644.01294909924275</v>
      </c>
      <c r="AG3152">
        <v>600</v>
      </c>
      <c r="AH3152">
        <v>100</v>
      </c>
      <c r="AI3152">
        <v>2000</v>
      </c>
      <c r="AJ3152">
        <v>2091.6856329528168</v>
      </c>
      <c r="AK3152">
        <v>1000</v>
      </c>
      <c r="AL3152">
        <v>56</v>
      </c>
      <c r="AM3152">
        <v>37500</v>
      </c>
      <c r="AN3152">
        <v>647.17075630739089</v>
      </c>
      <c r="AO3152">
        <v>600</v>
      </c>
      <c r="AP3152">
        <v>54</v>
      </c>
      <c r="AQ3152">
        <v>2800</v>
      </c>
      <c r="AR3152">
        <v>2233.8345762923841</v>
      </c>
      <c r="AS3152">
        <v>1500</v>
      </c>
      <c r="AT3152">
        <v>225</v>
      </c>
      <c r="AU3152">
        <v>7000</v>
      </c>
      <c r="AV3152">
        <v>2257</v>
      </c>
    </row>
    <row r="3153" spans="1:48">
      <c r="A3153" t="s">
        <v>194</v>
      </c>
      <c r="B3153" t="s">
        <v>195</v>
      </c>
      <c r="C3153" t="s">
        <v>205</v>
      </c>
      <c r="D3153">
        <v>5145.3142669600038</v>
      </c>
      <c r="E3153">
        <v>5000</v>
      </c>
      <c r="F3153">
        <v>400</v>
      </c>
      <c r="G3153">
        <v>25000</v>
      </c>
      <c r="H3153">
        <v>3955.366552996637</v>
      </c>
      <c r="I3153">
        <v>4000</v>
      </c>
      <c r="J3153">
        <v>300</v>
      </c>
      <c r="K3153">
        <v>15000</v>
      </c>
      <c r="L3153">
        <v>324.13100289637129</v>
      </c>
      <c r="M3153">
        <v>200</v>
      </c>
      <c r="N3153">
        <v>50</v>
      </c>
      <c r="O3153">
        <v>5000</v>
      </c>
      <c r="P3153">
        <v>642.49236456317476</v>
      </c>
      <c r="Q3153">
        <v>500</v>
      </c>
      <c r="R3153">
        <v>50</v>
      </c>
      <c r="S3153">
        <v>5000</v>
      </c>
      <c r="T3153">
        <v>751.27658197210155</v>
      </c>
      <c r="U3153">
        <v>600</v>
      </c>
      <c r="V3153">
        <v>100</v>
      </c>
      <c r="W3153">
        <v>5000</v>
      </c>
      <c r="X3153">
        <v>1007.869322364769</v>
      </c>
      <c r="Y3153">
        <v>350</v>
      </c>
      <c r="Z3153">
        <v>100</v>
      </c>
      <c r="AA3153">
        <v>15000</v>
      </c>
      <c r="AB3153">
        <v>1507.799047334642</v>
      </c>
      <c r="AC3153">
        <v>1300</v>
      </c>
      <c r="AD3153">
        <v>130</v>
      </c>
      <c r="AE3153">
        <v>10000</v>
      </c>
      <c r="AF3153">
        <v>948.08187507119965</v>
      </c>
      <c r="AG3153">
        <v>1000</v>
      </c>
      <c r="AH3153">
        <v>100</v>
      </c>
      <c r="AI3153">
        <v>5000</v>
      </c>
      <c r="AJ3153">
        <v>1632.1633745226629</v>
      </c>
      <c r="AK3153">
        <v>1000</v>
      </c>
      <c r="AL3153">
        <v>50</v>
      </c>
      <c r="AM3153">
        <v>33000</v>
      </c>
      <c r="AN3153">
        <v>605.38972444472813</v>
      </c>
      <c r="AO3153">
        <v>500</v>
      </c>
      <c r="AP3153">
        <v>65</v>
      </c>
      <c r="AQ3153">
        <v>2950</v>
      </c>
      <c r="AR3153">
        <v>1426.2911875540949</v>
      </c>
      <c r="AS3153">
        <v>1000</v>
      </c>
      <c r="AT3153">
        <v>200</v>
      </c>
      <c r="AU3153">
        <v>20000</v>
      </c>
      <c r="AV3153">
        <v>2257</v>
      </c>
    </row>
    <row r="3154" spans="1:48">
      <c r="A3154" t="s">
        <v>194</v>
      </c>
      <c r="B3154" t="s">
        <v>199</v>
      </c>
      <c r="C3154" t="s">
        <v>202</v>
      </c>
      <c r="D3154">
        <v>9684.0889914910167</v>
      </c>
      <c r="E3154">
        <v>8000</v>
      </c>
      <c r="F3154">
        <v>200</v>
      </c>
      <c r="G3154">
        <v>50000</v>
      </c>
      <c r="H3154">
        <v>7366.1471420864209</v>
      </c>
      <c r="I3154">
        <v>7000</v>
      </c>
      <c r="J3154">
        <v>500</v>
      </c>
      <c r="K3154">
        <v>20000</v>
      </c>
      <c r="L3154">
        <v>641.63686845906443</v>
      </c>
      <c r="M3154">
        <v>450</v>
      </c>
      <c r="N3154">
        <v>60</v>
      </c>
      <c r="O3154">
        <v>5000</v>
      </c>
      <c r="P3154">
        <v>708.81175498969117</v>
      </c>
      <c r="Q3154">
        <v>500</v>
      </c>
      <c r="R3154">
        <v>50</v>
      </c>
      <c r="S3154">
        <v>10000</v>
      </c>
      <c r="T3154">
        <v>1010.359534071112</v>
      </c>
      <c r="U3154">
        <v>800</v>
      </c>
      <c r="V3154">
        <v>100</v>
      </c>
      <c r="W3154">
        <v>10000</v>
      </c>
      <c r="X3154">
        <v>1243.6373952533961</v>
      </c>
      <c r="Y3154">
        <v>650</v>
      </c>
      <c r="Z3154">
        <v>100</v>
      </c>
      <c r="AA3154">
        <v>13800</v>
      </c>
      <c r="AB3154">
        <v>2155.04536670792</v>
      </c>
      <c r="AC3154">
        <v>1700</v>
      </c>
      <c r="AD3154">
        <v>100</v>
      </c>
      <c r="AE3154">
        <v>12000</v>
      </c>
      <c r="AF3154">
        <v>971.44107458597909</v>
      </c>
      <c r="AG3154">
        <v>600</v>
      </c>
      <c r="AH3154">
        <v>100</v>
      </c>
      <c r="AI3154">
        <v>11000</v>
      </c>
      <c r="AJ3154">
        <v>3119.2403101352688</v>
      </c>
      <c r="AK3154">
        <v>2000</v>
      </c>
      <c r="AL3154">
        <v>50</v>
      </c>
      <c r="AM3154">
        <v>45000</v>
      </c>
      <c r="AN3154">
        <v>721.51514112618281</v>
      </c>
      <c r="AO3154">
        <v>660</v>
      </c>
      <c r="AP3154">
        <v>90</v>
      </c>
      <c r="AQ3154">
        <v>6000</v>
      </c>
      <c r="AR3154">
        <v>4619.9196307363491</v>
      </c>
      <c r="AS3154">
        <v>2000</v>
      </c>
      <c r="AT3154">
        <v>140</v>
      </c>
      <c r="AU3154">
        <v>87500</v>
      </c>
      <c r="AV3154">
        <v>2257</v>
      </c>
    </row>
    <row r="3155" spans="1:48">
      <c r="A3155" t="s">
        <v>194</v>
      </c>
      <c r="B3155" t="s">
        <v>199</v>
      </c>
      <c r="C3155" t="s">
        <v>204</v>
      </c>
      <c r="D3155">
        <v>8549.2512615084142</v>
      </c>
      <c r="E3155">
        <v>8000</v>
      </c>
      <c r="F3155">
        <v>300</v>
      </c>
      <c r="G3155">
        <v>45000</v>
      </c>
      <c r="H3155">
        <v>5434.0866858775589</v>
      </c>
      <c r="I3155">
        <v>4500</v>
      </c>
      <c r="J3155">
        <v>1000</v>
      </c>
      <c r="K3155">
        <v>14000</v>
      </c>
      <c r="L3155">
        <v>454.64571709797758</v>
      </c>
      <c r="M3155">
        <v>300</v>
      </c>
      <c r="N3155">
        <v>60</v>
      </c>
      <c r="O3155">
        <v>3000</v>
      </c>
      <c r="P3155">
        <v>561.47414908668736</v>
      </c>
      <c r="Q3155">
        <v>300</v>
      </c>
      <c r="R3155">
        <v>50</v>
      </c>
      <c r="S3155">
        <v>5000</v>
      </c>
      <c r="T3155">
        <v>999.56059464637292</v>
      </c>
      <c r="U3155">
        <v>800</v>
      </c>
      <c r="V3155">
        <v>100</v>
      </c>
      <c r="W3155">
        <v>5000</v>
      </c>
      <c r="X3155">
        <v>527.85394349938292</v>
      </c>
      <c r="Y3155">
        <v>300</v>
      </c>
      <c r="Z3155">
        <v>100</v>
      </c>
      <c r="AA3155">
        <v>6000</v>
      </c>
      <c r="AB3155">
        <v>1731.144635106916</v>
      </c>
      <c r="AC3155">
        <v>1500</v>
      </c>
      <c r="AD3155">
        <v>200</v>
      </c>
      <c r="AE3155">
        <v>8000</v>
      </c>
      <c r="AF3155">
        <v>1394.962331124143</v>
      </c>
      <c r="AG3155">
        <v>800</v>
      </c>
      <c r="AH3155">
        <v>100</v>
      </c>
      <c r="AI3155">
        <v>18000</v>
      </c>
      <c r="AJ3155">
        <v>2508.7853317156491</v>
      </c>
      <c r="AK3155">
        <v>2000</v>
      </c>
      <c r="AL3155">
        <v>50</v>
      </c>
      <c r="AM3155">
        <v>20000</v>
      </c>
      <c r="AN3155">
        <v>719.08131345346658</v>
      </c>
      <c r="AO3155">
        <v>750</v>
      </c>
      <c r="AP3155">
        <v>100</v>
      </c>
      <c r="AQ3155">
        <v>5000</v>
      </c>
      <c r="AR3155">
        <v>2551.7117709466802</v>
      </c>
      <c r="AS3155">
        <v>2200</v>
      </c>
      <c r="AT3155">
        <v>150</v>
      </c>
      <c r="AU3155">
        <v>20000</v>
      </c>
      <c r="AV3155">
        <v>2257</v>
      </c>
    </row>
    <row r="3156" spans="1:48">
      <c r="A3156" t="s">
        <v>194</v>
      </c>
      <c r="B3156" t="s">
        <v>199</v>
      </c>
      <c r="C3156" t="s">
        <v>205</v>
      </c>
      <c r="D3156">
        <v>7711.7421925760927</v>
      </c>
      <c r="E3156">
        <v>7000</v>
      </c>
      <c r="F3156">
        <v>400</v>
      </c>
      <c r="G3156">
        <v>30000</v>
      </c>
      <c r="H3156">
        <v>5429.2169064334348</v>
      </c>
      <c r="I3156">
        <v>5000</v>
      </c>
      <c r="J3156">
        <v>300</v>
      </c>
      <c r="K3156">
        <v>15000</v>
      </c>
      <c r="L3156">
        <v>426.81911268346408</v>
      </c>
      <c r="M3156">
        <v>370</v>
      </c>
      <c r="N3156">
        <v>60</v>
      </c>
      <c r="O3156">
        <v>5000</v>
      </c>
      <c r="P3156">
        <v>533.34702788037816</v>
      </c>
      <c r="Q3156">
        <v>300</v>
      </c>
      <c r="R3156">
        <v>50</v>
      </c>
      <c r="S3156">
        <v>10000</v>
      </c>
      <c r="T3156">
        <v>1020.781831929874</v>
      </c>
      <c r="U3156">
        <v>800</v>
      </c>
      <c r="V3156">
        <v>100</v>
      </c>
      <c r="W3156">
        <v>25000</v>
      </c>
      <c r="X3156">
        <v>499.52118744633822</v>
      </c>
      <c r="Y3156">
        <v>400</v>
      </c>
      <c r="Z3156">
        <v>100</v>
      </c>
      <c r="AA3156">
        <v>10000</v>
      </c>
      <c r="AB3156">
        <v>1751.1765489591421</v>
      </c>
      <c r="AC3156">
        <v>1500</v>
      </c>
      <c r="AD3156">
        <v>200</v>
      </c>
      <c r="AE3156">
        <v>8000</v>
      </c>
      <c r="AF3156">
        <v>895.27637089654195</v>
      </c>
      <c r="AG3156">
        <v>600</v>
      </c>
      <c r="AH3156">
        <v>100</v>
      </c>
      <c r="AI3156">
        <v>8000</v>
      </c>
      <c r="AJ3156">
        <v>3085.9844786674948</v>
      </c>
      <c r="AK3156">
        <v>2000</v>
      </c>
      <c r="AL3156">
        <v>50</v>
      </c>
      <c r="AM3156">
        <v>100000</v>
      </c>
      <c r="AN3156">
        <v>698.96475250624246</v>
      </c>
      <c r="AO3156">
        <v>650</v>
      </c>
      <c r="AP3156">
        <v>100</v>
      </c>
      <c r="AQ3156">
        <v>7000</v>
      </c>
      <c r="AR3156">
        <v>2225.25631723892</v>
      </c>
      <c r="AS3156">
        <v>1500</v>
      </c>
      <c r="AT3156">
        <v>100</v>
      </c>
      <c r="AU3156">
        <v>20000</v>
      </c>
      <c r="AV3156">
        <v>2257</v>
      </c>
    </row>
    <row r="3157" spans="1:48">
      <c r="A3157" t="s">
        <v>200</v>
      </c>
      <c r="B3157" t="s">
        <v>200</v>
      </c>
      <c r="C3157" t="s">
        <v>200</v>
      </c>
      <c r="D3157">
        <v>8429.0633655529964</v>
      </c>
      <c r="E3157">
        <v>7000</v>
      </c>
      <c r="F3157">
        <v>200</v>
      </c>
      <c r="G3157">
        <v>50000</v>
      </c>
      <c r="H3157">
        <v>6538.8454780640013</v>
      </c>
      <c r="I3157">
        <v>6000</v>
      </c>
      <c r="J3157">
        <v>300</v>
      </c>
      <c r="K3157">
        <v>40000</v>
      </c>
      <c r="L3157">
        <v>505.31036162741259</v>
      </c>
      <c r="M3157">
        <v>350</v>
      </c>
      <c r="N3157">
        <v>50</v>
      </c>
      <c r="O3157">
        <v>5000</v>
      </c>
      <c r="P3157">
        <v>612.76395029911748</v>
      </c>
      <c r="Q3157">
        <v>400</v>
      </c>
      <c r="R3157">
        <v>50</v>
      </c>
      <c r="S3157">
        <v>10000</v>
      </c>
      <c r="T3157">
        <v>950.31513107307535</v>
      </c>
      <c r="U3157">
        <v>700</v>
      </c>
      <c r="V3157">
        <v>100</v>
      </c>
      <c r="W3157">
        <v>25000</v>
      </c>
      <c r="X3157">
        <v>852.92294718564028</v>
      </c>
      <c r="Y3157">
        <v>500</v>
      </c>
      <c r="Z3157">
        <v>100</v>
      </c>
      <c r="AA3157">
        <v>15000</v>
      </c>
      <c r="AB3157">
        <v>1902.7017399560971</v>
      </c>
      <c r="AC3157">
        <v>1500</v>
      </c>
      <c r="AD3157">
        <v>100</v>
      </c>
      <c r="AE3157">
        <v>30000</v>
      </c>
      <c r="AF3157">
        <v>1012.266050592903</v>
      </c>
      <c r="AG3157">
        <v>600</v>
      </c>
      <c r="AH3157">
        <v>100</v>
      </c>
      <c r="AI3157">
        <v>18000</v>
      </c>
      <c r="AJ3157">
        <v>2617.7054498596899</v>
      </c>
      <c r="AK3157">
        <v>1500</v>
      </c>
      <c r="AL3157">
        <v>50</v>
      </c>
      <c r="AM3157">
        <v>100000</v>
      </c>
      <c r="AN3157">
        <v>682.77713804228927</v>
      </c>
      <c r="AO3157">
        <v>600</v>
      </c>
      <c r="AP3157">
        <v>50</v>
      </c>
      <c r="AQ3157">
        <v>7000</v>
      </c>
      <c r="AR3157">
        <v>3451.5921234889129</v>
      </c>
      <c r="AS3157">
        <v>2000</v>
      </c>
      <c r="AT3157">
        <v>100</v>
      </c>
      <c r="AU3157">
        <v>87500</v>
      </c>
      <c r="AV3157">
        <v>2257</v>
      </c>
    </row>
    <row r="3159" spans="1:48" ht="45">
      <c r="A3159" s="22" t="s">
        <v>787</v>
      </c>
    </row>
    <row r="3160" spans="1:48">
      <c r="A3160" t="s">
        <v>184</v>
      </c>
      <c r="B3160" t="s">
        <v>185</v>
      </c>
      <c r="C3160" t="s">
        <v>186</v>
      </c>
      <c r="D3160" t="s">
        <v>742</v>
      </c>
      <c r="E3160" t="s">
        <v>743</v>
      </c>
      <c r="F3160" t="s">
        <v>744</v>
      </c>
      <c r="G3160" t="s">
        <v>745</v>
      </c>
      <c r="H3160" t="s">
        <v>746</v>
      </c>
      <c r="I3160" t="s">
        <v>747</v>
      </c>
      <c r="J3160" t="s">
        <v>748</v>
      </c>
      <c r="K3160" t="s">
        <v>749</v>
      </c>
      <c r="L3160" t="s">
        <v>750</v>
      </c>
      <c r="M3160" t="s">
        <v>751</v>
      </c>
      <c r="N3160" t="s">
        <v>752</v>
      </c>
      <c r="O3160" t="s">
        <v>753</v>
      </c>
      <c r="P3160" t="s">
        <v>754</v>
      </c>
      <c r="Q3160" t="s">
        <v>755</v>
      </c>
      <c r="R3160" t="s">
        <v>756</v>
      </c>
      <c r="S3160" t="s">
        <v>757</v>
      </c>
      <c r="T3160" t="s">
        <v>758</v>
      </c>
      <c r="U3160" t="s">
        <v>759</v>
      </c>
      <c r="V3160" t="s">
        <v>760</v>
      </c>
      <c r="W3160" t="s">
        <v>761</v>
      </c>
      <c r="X3160" t="s">
        <v>762</v>
      </c>
      <c r="Y3160" t="s">
        <v>763</v>
      </c>
      <c r="Z3160" t="s">
        <v>764</v>
      </c>
      <c r="AA3160" t="s">
        <v>765</v>
      </c>
      <c r="AB3160" t="s">
        <v>766</v>
      </c>
      <c r="AC3160" t="s">
        <v>767</v>
      </c>
      <c r="AD3160" t="s">
        <v>768</v>
      </c>
      <c r="AE3160" t="s">
        <v>769</v>
      </c>
      <c r="AF3160" t="s">
        <v>770</v>
      </c>
      <c r="AG3160" t="s">
        <v>771</v>
      </c>
      <c r="AH3160" t="s">
        <v>772</v>
      </c>
      <c r="AI3160" t="s">
        <v>773</v>
      </c>
      <c r="AJ3160" t="s">
        <v>774</v>
      </c>
      <c r="AK3160" t="s">
        <v>775</v>
      </c>
      <c r="AL3160" t="s">
        <v>776</v>
      </c>
      <c r="AM3160" t="s">
        <v>777</v>
      </c>
      <c r="AN3160" t="s">
        <v>778</v>
      </c>
      <c r="AO3160" t="s">
        <v>779</v>
      </c>
      <c r="AP3160" t="s">
        <v>780</v>
      </c>
      <c r="AQ3160" t="s">
        <v>781</v>
      </c>
      <c r="AR3160" t="s">
        <v>782</v>
      </c>
      <c r="AS3160" t="s">
        <v>783</v>
      </c>
      <c r="AT3160" t="s">
        <v>784</v>
      </c>
      <c r="AU3160" t="s">
        <v>785</v>
      </c>
      <c r="AV3160" t="s">
        <v>193</v>
      </c>
    </row>
    <row r="3161" spans="1:48">
      <c r="A3161" t="s">
        <v>194</v>
      </c>
      <c r="B3161" t="s">
        <v>195</v>
      </c>
      <c r="C3161" t="s">
        <v>207</v>
      </c>
      <c r="D3161">
        <v>7003.9217454461941</v>
      </c>
      <c r="E3161">
        <v>5000</v>
      </c>
      <c r="F3161">
        <v>300</v>
      </c>
      <c r="G3161">
        <v>30000</v>
      </c>
      <c r="H3161">
        <v>6181.337947094361</v>
      </c>
      <c r="I3161">
        <v>5000</v>
      </c>
      <c r="J3161">
        <v>300</v>
      </c>
      <c r="K3161">
        <v>20000</v>
      </c>
      <c r="L3161">
        <v>509.55765293416522</v>
      </c>
      <c r="M3161">
        <v>300</v>
      </c>
      <c r="N3161">
        <v>50</v>
      </c>
      <c r="O3161">
        <v>5000</v>
      </c>
      <c r="P3161">
        <v>659.52820416424231</v>
      </c>
      <c r="Q3161">
        <v>300</v>
      </c>
      <c r="R3161">
        <v>50</v>
      </c>
      <c r="S3161">
        <v>5000</v>
      </c>
      <c r="T3161">
        <v>966.55936421621334</v>
      </c>
      <c r="U3161">
        <v>600</v>
      </c>
      <c r="V3161">
        <v>100</v>
      </c>
      <c r="W3161">
        <v>5000</v>
      </c>
      <c r="X3161">
        <v>745.79894961981176</v>
      </c>
      <c r="Y3161">
        <v>500</v>
      </c>
      <c r="Z3161">
        <v>100</v>
      </c>
      <c r="AA3161">
        <v>5000</v>
      </c>
      <c r="AB3161">
        <v>1856.5198017970099</v>
      </c>
      <c r="AC3161">
        <v>1500</v>
      </c>
      <c r="AD3161">
        <v>150</v>
      </c>
      <c r="AE3161">
        <v>12500</v>
      </c>
      <c r="AF3161">
        <v>957.54696153032819</v>
      </c>
      <c r="AG3161">
        <v>700</v>
      </c>
      <c r="AH3161">
        <v>100</v>
      </c>
      <c r="AI3161">
        <v>3000</v>
      </c>
      <c r="AJ3161">
        <v>1613.742195729697</v>
      </c>
      <c r="AK3161">
        <v>700</v>
      </c>
      <c r="AL3161">
        <v>56</v>
      </c>
      <c r="AM3161">
        <v>15000</v>
      </c>
      <c r="AN3161">
        <v>656.85826905265435</v>
      </c>
      <c r="AO3161">
        <v>600</v>
      </c>
      <c r="AP3161">
        <v>70</v>
      </c>
      <c r="AQ3161">
        <v>4600</v>
      </c>
      <c r="AR3161">
        <v>2083.4277236447119</v>
      </c>
      <c r="AS3161">
        <v>1500</v>
      </c>
      <c r="AT3161">
        <v>250</v>
      </c>
      <c r="AU3161">
        <v>8000</v>
      </c>
      <c r="AV3161">
        <v>2257</v>
      </c>
    </row>
    <row r="3162" spans="1:48">
      <c r="A3162" t="s">
        <v>194</v>
      </c>
      <c r="B3162" t="s">
        <v>195</v>
      </c>
      <c r="C3162" t="s">
        <v>209</v>
      </c>
      <c r="D3162">
        <v>7548.9961051336886</v>
      </c>
      <c r="E3162">
        <v>6000</v>
      </c>
      <c r="F3162">
        <v>400</v>
      </c>
      <c r="G3162">
        <v>40000</v>
      </c>
      <c r="H3162">
        <v>6486.3061191949546</v>
      </c>
      <c r="I3162">
        <v>6000</v>
      </c>
      <c r="J3162">
        <v>450</v>
      </c>
      <c r="K3162">
        <v>20000</v>
      </c>
      <c r="L3162">
        <v>409.93264137841561</v>
      </c>
      <c r="M3162">
        <v>300</v>
      </c>
      <c r="N3162">
        <v>50</v>
      </c>
      <c r="O3162">
        <v>5000</v>
      </c>
      <c r="P3162">
        <v>531.14691958180003</v>
      </c>
      <c r="Q3162">
        <v>400</v>
      </c>
      <c r="R3162">
        <v>50</v>
      </c>
      <c r="S3162">
        <v>10000</v>
      </c>
      <c r="T3162">
        <v>833.56335069243175</v>
      </c>
      <c r="U3162">
        <v>600</v>
      </c>
      <c r="V3162">
        <v>100</v>
      </c>
      <c r="W3162">
        <v>5500</v>
      </c>
      <c r="X3162">
        <v>700.67127826371473</v>
      </c>
      <c r="Y3162">
        <v>400</v>
      </c>
      <c r="Z3162">
        <v>100</v>
      </c>
      <c r="AA3162">
        <v>15000</v>
      </c>
      <c r="AB3162">
        <v>1736.515288718635</v>
      </c>
      <c r="AC3162">
        <v>1500</v>
      </c>
      <c r="AD3162">
        <v>130</v>
      </c>
      <c r="AE3162">
        <v>30000</v>
      </c>
      <c r="AF3162">
        <v>947.15249133473139</v>
      </c>
      <c r="AG3162">
        <v>500</v>
      </c>
      <c r="AH3162">
        <v>100</v>
      </c>
      <c r="AI3162">
        <v>8000</v>
      </c>
      <c r="AJ3162">
        <v>2133.467019750381</v>
      </c>
      <c r="AK3162">
        <v>900</v>
      </c>
      <c r="AL3162">
        <v>50</v>
      </c>
      <c r="AM3162">
        <v>37500</v>
      </c>
      <c r="AN3162">
        <v>629.69965576069171</v>
      </c>
      <c r="AO3162">
        <v>600</v>
      </c>
      <c r="AP3162">
        <v>50</v>
      </c>
      <c r="AQ3162">
        <v>2950</v>
      </c>
      <c r="AR3162">
        <v>1921.2509324368409</v>
      </c>
      <c r="AS3162">
        <v>1500</v>
      </c>
      <c r="AT3162">
        <v>200</v>
      </c>
      <c r="AU3162">
        <v>20000</v>
      </c>
      <c r="AV3162">
        <v>2257</v>
      </c>
    </row>
    <row r="3163" spans="1:48">
      <c r="A3163" t="s">
        <v>194</v>
      </c>
      <c r="B3163" t="s">
        <v>199</v>
      </c>
      <c r="C3163" t="s">
        <v>207</v>
      </c>
      <c r="D3163">
        <v>8873.939239851019</v>
      </c>
      <c r="E3163">
        <v>8000</v>
      </c>
      <c r="F3163">
        <v>300</v>
      </c>
      <c r="G3163">
        <v>40000</v>
      </c>
      <c r="H3163">
        <v>7967.085574526147</v>
      </c>
      <c r="I3163">
        <v>6000</v>
      </c>
      <c r="J3163">
        <v>1000</v>
      </c>
      <c r="K3163">
        <v>18000</v>
      </c>
      <c r="L3163">
        <v>1071.2270594354591</v>
      </c>
      <c r="M3163">
        <v>560</v>
      </c>
      <c r="N3163">
        <v>100</v>
      </c>
      <c r="O3163">
        <v>5000</v>
      </c>
      <c r="P3163">
        <v>812.01322640866363</v>
      </c>
      <c r="Q3163">
        <v>500</v>
      </c>
      <c r="R3163">
        <v>50</v>
      </c>
      <c r="S3163">
        <v>10000</v>
      </c>
      <c r="T3163">
        <v>1116.197901735404</v>
      </c>
      <c r="U3163">
        <v>800</v>
      </c>
      <c r="V3163">
        <v>100</v>
      </c>
      <c r="W3163">
        <v>10000</v>
      </c>
      <c r="X3163">
        <v>845.26872518090261</v>
      </c>
      <c r="Y3163">
        <v>500</v>
      </c>
      <c r="Z3163">
        <v>100</v>
      </c>
      <c r="AA3163">
        <v>7000</v>
      </c>
      <c r="AB3163">
        <v>2166.1442683495138</v>
      </c>
      <c r="AC3163">
        <v>2000</v>
      </c>
      <c r="AD3163">
        <v>100</v>
      </c>
      <c r="AE3163">
        <v>8000</v>
      </c>
      <c r="AF3163">
        <v>1007.839690210342</v>
      </c>
      <c r="AG3163">
        <v>600</v>
      </c>
      <c r="AH3163">
        <v>200</v>
      </c>
      <c r="AI3163">
        <v>13000</v>
      </c>
      <c r="AJ3163">
        <v>2801.6966523262281</v>
      </c>
      <c r="AK3163">
        <v>2000</v>
      </c>
      <c r="AL3163">
        <v>50</v>
      </c>
      <c r="AM3163">
        <v>100000</v>
      </c>
      <c r="AN3163">
        <v>749.49553973186858</v>
      </c>
      <c r="AO3163">
        <v>700</v>
      </c>
      <c r="AP3163">
        <v>100</v>
      </c>
      <c r="AQ3163">
        <v>5000</v>
      </c>
      <c r="AR3163">
        <v>6884.4322608459497</v>
      </c>
      <c r="AS3163">
        <v>2000</v>
      </c>
      <c r="AT3163">
        <v>100</v>
      </c>
      <c r="AU3163">
        <v>87500</v>
      </c>
      <c r="AV3163">
        <v>2257</v>
      </c>
    </row>
    <row r="3164" spans="1:48">
      <c r="A3164" t="s">
        <v>194</v>
      </c>
      <c r="B3164" t="s">
        <v>199</v>
      </c>
      <c r="C3164" t="s">
        <v>209</v>
      </c>
      <c r="D3164">
        <v>9187.7176085180745</v>
      </c>
      <c r="E3164">
        <v>8000</v>
      </c>
      <c r="F3164">
        <v>200</v>
      </c>
      <c r="G3164">
        <v>50000</v>
      </c>
      <c r="H3164">
        <v>6774.7363698174449</v>
      </c>
      <c r="I3164">
        <v>6000</v>
      </c>
      <c r="J3164">
        <v>300</v>
      </c>
      <c r="K3164">
        <v>40000</v>
      </c>
      <c r="L3164">
        <v>501.94759802275672</v>
      </c>
      <c r="M3164">
        <v>400</v>
      </c>
      <c r="N3164">
        <v>60</v>
      </c>
      <c r="O3164">
        <v>5000</v>
      </c>
      <c r="P3164">
        <v>627.8358055994579</v>
      </c>
      <c r="Q3164">
        <v>400</v>
      </c>
      <c r="R3164">
        <v>50</v>
      </c>
      <c r="S3164">
        <v>10000</v>
      </c>
      <c r="T3164">
        <v>993.82051113510158</v>
      </c>
      <c r="U3164">
        <v>800</v>
      </c>
      <c r="V3164">
        <v>100</v>
      </c>
      <c r="W3164">
        <v>25000</v>
      </c>
      <c r="X3164">
        <v>968.09639292304723</v>
      </c>
      <c r="Y3164">
        <v>500</v>
      </c>
      <c r="Z3164">
        <v>100</v>
      </c>
      <c r="AA3164">
        <v>13800</v>
      </c>
      <c r="AB3164">
        <v>1981.014922576722</v>
      </c>
      <c r="AC3164">
        <v>1500</v>
      </c>
      <c r="AD3164">
        <v>200</v>
      </c>
      <c r="AE3164">
        <v>12000</v>
      </c>
      <c r="AF3164">
        <v>1103.938857312238</v>
      </c>
      <c r="AG3164">
        <v>600</v>
      </c>
      <c r="AH3164">
        <v>100</v>
      </c>
      <c r="AI3164">
        <v>18000</v>
      </c>
      <c r="AJ3164">
        <v>3017.5327321735208</v>
      </c>
      <c r="AK3164">
        <v>2000</v>
      </c>
      <c r="AL3164">
        <v>50</v>
      </c>
      <c r="AM3164">
        <v>45000</v>
      </c>
      <c r="AN3164">
        <v>713.36428207155541</v>
      </c>
      <c r="AO3164">
        <v>700</v>
      </c>
      <c r="AP3164">
        <v>90</v>
      </c>
      <c r="AQ3164">
        <v>7000</v>
      </c>
      <c r="AR3164">
        <v>3395.2925959386789</v>
      </c>
      <c r="AS3164">
        <v>2200</v>
      </c>
      <c r="AT3164">
        <v>100</v>
      </c>
      <c r="AU3164">
        <v>24000</v>
      </c>
      <c r="AV3164">
        <v>2257</v>
      </c>
    </row>
    <row r="3165" spans="1:48">
      <c r="A3165" t="s">
        <v>200</v>
      </c>
      <c r="B3165" t="s">
        <v>200</v>
      </c>
      <c r="C3165" t="s">
        <v>200</v>
      </c>
      <c r="D3165">
        <v>8429.0633655529964</v>
      </c>
      <c r="E3165">
        <v>7000</v>
      </c>
      <c r="F3165">
        <v>200</v>
      </c>
      <c r="G3165">
        <v>50000</v>
      </c>
      <c r="H3165">
        <v>6538.8454780640013</v>
      </c>
      <c r="I3165">
        <v>6000</v>
      </c>
      <c r="J3165">
        <v>300</v>
      </c>
      <c r="K3165">
        <v>40000</v>
      </c>
      <c r="L3165">
        <v>505.31036162741259</v>
      </c>
      <c r="M3165">
        <v>350</v>
      </c>
      <c r="N3165">
        <v>50</v>
      </c>
      <c r="O3165">
        <v>5000</v>
      </c>
      <c r="P3165">
        <v>612.76395029911748</v>
      </c>
      <c r="Q3165">
        <v>400</v>
      </c>
      <c r="R3165">
        <v>50</v>
      </c>
      <c r="S3165">
        <v>10000</v>
      </c>
      <c r="T3165">
        <v>950.31513107307535</v>
      </c>
      <c r="U3165">
        <v>700</v>
      </c>
      <c r="V3165">
        <v>100</v>
      </c>
      <c r="W3165">
        <v>25000</v>
      </c>
      <c r="X3165">
        <v>852.92294718564028</v>
      </c>
      <c r="Y3165">
        <v>500</v>
      </c>
      <c r="Z3165">
        <v>100</v>
      </c>
      <c r="AA3165">
        <v>15000</v>
      </c>
      <c r="AB3165">
        <v>1902.7017399560971</v>
      </c>
      <c r="AC3165">
        <v>1500</v>
      </c>
      <c r="AD3165">
        <v>100</v>
      </c>
      <c r="AE3165">
        <v>30000</v>
      </c>
      <c r="AF3165">
        <v>1012.266050592903</v>
      </c>
      <c r="AG3165">
        <v>600</v>
      </c>
      <c r="AH3165">
        <v>100</v>
      </c>
      <c r="AI3165">
        <v>18000</v>
      </c>
      <c r="AJ3165">
        <v>2617.7054498596899</v>
      </c>
      <c r="AK3165">
        <v>1500</v>
      </c>
      <c r="AL3165">
        <v>50</v>
      </c>
      <c r="AM3165">
        <v>100000</v>
      </c>
      <c r="AN3165">
        <v>682.77713804228927</v>
      </c>
      <c r="AO3165">
        <v>600</v>
      </c>
      <c r="AP3165">
        <v>50</v>
      </c>
      <c r="AQ3165">
        <v>7000</v>
      </c>
      <c r="AR3165">
        <v>3451.5921234889129</v>
      </c>
      <c r="AS3165">
        <v>2000</v>
      </c>
      <c r="AT3165">
        <v>100</v>
      </c>
      <c r="AU3165">
        <v>87500</v>
      </c>
      <c r="AV3165">
        <v>2257</v>
      </c>
    </row>
    <row r="3167" spans="1:48" ht="45">
      <c r="A3167" s="22" t="s">
        <v>788</v>
      </c>
    </row>
    <row r="3168" spans="1:48">
      <c r="A3168" t="s">
        <v>184</v>
      </c>
      <c r="B3168" t="s">
        <v>185</v>
      </c>
      <c r="C3168" t="s">
        <v>742</v>
      </c>
      <c r="D3168" t="s">
        <v>743</v>
      </c>
      <c r="E3168" t="s">
        <v>744</v>
      </c>
      <c r="F3168" t="s">
        <v>745</v>
      </c>
      <c r="G3168" t="s">
        <v>746</v>
      </c>
      <c r="H3168" t="s">
        <v>747</v>
      </c>
      <c r="I3168" t="s">
        <v>748</v>
      </c>
      <c r="J3168" t="s">
        <v>749</v>
      </c>
      <c r="K3168" t="s">
        <v>750</v>
      </c>
      <c r="L3168" t="s">
        <v>751</v>
      </c>
      <c r="M3168" t="s">
        <v>752</v>
      </c>
      <c r="N3168" t="s">
        <v>753</v>
      </c>
      <c r="O3168" t="s">
        <v>754</v>
      </c>
      <c r="P3168" t="s">
        <v>755</v>
      </c>
      <c r="Q3168" t="s">
        <v>756</v>
      </c>
      <c r="R3168" t="s">
        <v>757</v>
      </c>
      <c r="S3168" t="s">
        <v>758</v>
      </c>
      <c r="T3168" t="s">
        <v>759</v>
      </c>
      <c r="U3168" t="s">
        <v>760</v>
      </c>
      <c r="V3168" t="s">
        <v>761</v>
      </c>
      <c r="W3168" t="s">
        <v>762</v>
      </c>
      <c r="X3168" t="s">
        <v>763</v>
      </c>
      <c r="Y3168" t="s">
        <v>764</v>
      </c>
      <c r="Z3168" t="s">
        <v>765</v>
      </c>
      <c r="AA3168" t="s">
        <v>766</v>
      </c>
      <c r="AB3168" t="s">
        <v>767</v>
      </c>
      <c r="AC3168" t="s">
        <v>768</v>
      </c>
      <c r="AD3168" t="s">
        <v>769</v>
      </c>
      <c r="AE3168" t="s">
        <v>770</v>
      </c>
      <c r="AF3168" t="s">
        <v>771</v>
      </c>
      <c r="AG3168" t="s">
        <v>772</v>
      </c>
      <c r="AH3168" t="s">
        <v>773</v>
      </c>
      <c r="AI3168" t="s">
        <v>774</v>
      </c>
      <c r="AJ3168" t="s">
        <v>775</v>
      </c>
      <c r="AK3168" t="s">
        <v>776</v>
      </c>
      <c r="AL3168" t="s">
        <v>777</v>
      </c>
      <c r="AM3168" t="s">
        <v>778</v>
      </c>
      <c r="AN3168" t="s">
        <v>779</v>
      </c>
      <c r="AO3168" t="s">
        <v>780</v>
      </c>
      <c r="AP3168" t="s">
        <v>781</v>
      </c>
      <c r="AQ3168" t="s">
        <v>782</v>
      </c>
      <c r="AR3168" t="s">
        <v>783</v>
      </c>
      <c r="AS3168" t="s">
        <v>784</v>
      </c>
      <c r="AT3168" t="s">
        <v>785</v>
      </c>
      <c r="AU3168" t="s">
        <v>193</v>
      </c>
    </row>
    <row r="3169" spans="1:48">
      <c r="A3169" t="s">
        <v>194</v>
      </c>
      <c r="B3169" t="s">
        <v>195</v>
      </c>
      <c r="C3169">
        <v>7408.6913489729577</v>
      </c>
      <c r="D3169">
        <v>6000</v>
      </c>
      <c r="E3169">
        <v>300</v>
      </c>
      <c r="F3169">
        <v>40000</v>
      </c>
      <c r="G3169">
        <v>6421.1807232007268</v>
      </c>
      <c r="H3169">
        <v>6000</v>
      </c>
      <c r="I3169">
        <v>300</v>
      </c>
      <c r="J3169">
        <v>20000</v>
      </c>
      <c r="K3169">
        <v>430.4894335489189</v>
      </c>
      <c r="L3169">
        <v>300</v>
      </c>
      <c r="M3169">
        <v>50</v>
      </c>
      <c r="N3169">
        <v>5000</v>
      </c>
      <c r="O3169">
        <v>554.22302602494199</v>
      </c>
      <c r="P3169">
        <v>400</v>
      </c>
      <c r="Q3169">
        <v>50</v>
      </c>
      <c r="R3169">
        <v>10000</v>
      </c>
      <c r="S3169">
        <v>865.50564892994691</v>
      </c>
      <c r="T3169">
        <v>600</v>
      </c>
      <c r="U3169">
        <v>100</v>
      </c>
      <c r="V3169">
        <v>5500</v>
      </c>
      <c r="W3169">
        <v>711.80985942720645</v>
      </c>
      <c r="X3169">
        <v>500</v>
      </c>
      <c r="Y3169">
        <v>100</v>
      </c>
      <c r="Z3169">
        <v>15000</v>
      </c>
      <c r="AA3169">
        <v>1766.8045423196329</v>
      </c>
      <c r="AB3169">
        <v>1500</v>
      </c>
      <c r="AC3169">
        <v>130</v>
      </c>
      <c r="AD3169">
        <v>30000</v>
      </c>
      <c r="AE3169">
        <v>949.76001224228173</v>
      </c>
      <c r="AF3169">
        <v>600</v>
      </c>
      <c r="AG3169">
        <v>100</v>
      </c>
      <c r="AH3169">
        <v>8000</v>
      </c>
      <c r="AI3169">
        <v>2021.484926754154</v>
      </c>
      <c r="AJ3169">
        <v>800</v>
      </c>
      <c r="AK3169">
        <v>50</v>
      </c>
      <c r="AL3169">
        <v>37500</v>
      </c>
      <c r="AM3169">
        <v>636.36118937392894</v>
      </c>
      <c r="AN3169">
        <v>600</v>
      </c>
      <c r="AO3169">
        <v>50</v>
      </c>
      <c r="AP3169">
        <v>4600</v>
      </c>
      <c r="AQ3169">
        <v>1954.2794670697881</v>
      </c>
      <c r="AR3169">
        <v>1500</v>
      </c>
      <c r="AS3169">
        <v>200</v>
      </c>
      <c r="AT3169">
        <v>20000</v>
      </c>
      <c r="AU3169">
        <v>2257</v>
      </c>
    </row>
    <row r="3170" spans="1:48">
      <c r="A3170" t="s">
        <v>194</v>
      </c>
      <c r="B3170" t="s">
        <v>199</v>
      </c>
      <c r="C3170">
        <v>9150.4850475571566</v>
      </c>
      <c r="D3170">
        <v>8000</v>
      </c>
      <c r="E3170">
        <v>200</v>
      </c>
      <c r="F3170">
        <v>50000</v>
      </c>
      <c r="G3170">
        <v>6888.5081158802877</v>
      </c>
      <c r="H3170">
        <v>6000</v>
      </c>
      <c r="I3170">
        <v>300</v>
      </c>
      <c r="J3170">
        <v>40000</v>
      </c>
      <c r="K3170">
        <v>561.80293316361644</v>
      </c>
      <c r="L3170">
        <v>400</v>
      </c>
      <c r="M3170">
        <v>60</v>
      </c>
      <c r="N3170">
        <v>5000</v>
      </c>
      <c r="O3170">
        <v>649.19842072016718</v>
      </c>
      <c r="P3170">
        <v>400</v>
      </c>
      <c r="Q3170">
        <v>50</v>
      </c>
      <c r="R3170">
        <v>10000</v>
      </c>
      <c r="S3170">
        <v>1009.933411562232</v>
      </c>
      <c r="T3170">
        <v>800</v>
      </c>
      <c r="U3170">
        <v>100</v>
      </c>
      <c r="V3170">
        <v>25000</v>
      </c>
      <c r="W3170">
        <v>953.63806412175643</v>
      </c>
      <c r="X3170">
        <v>500</v>
      </c>
      <c r="Y3170">
        <v>100</v>
      </c>
      <c r="Z3170">
        <v>13800</v>
      </c>
      <c r="AA3170">
        <v>2003.556502163043</v>
      </c>
      <c r="AB3170">
        <v>1560</v>
      </c>
      <c r="AC3170">
        <v>100</v>
      </c>
      <c r="AD3170">
        <v>12000</v>
      </c>
      <c r="AE3170">
        <v>1082.639987346148</v>
      </c>
      <c r="AF3170">
        <v>600</v>
      </c>
      <c r="AG3170">
        <v>100</v>
      </c>
      <c r="AH3170">
        <v>18000</v>
      </c>
      <c r="AI3170">
        <v>2994.1651459278628</v>
      </c>
      <c r="AJ3170">
        <v>2000</v>
      </c>
      <c r="AK3170">
        <v>50</v>
      </c>
      <c r="AL3170">
        <v>100000</v>
      </c>
      <c r="AM3170">
        <v>717.55348790585253</v>
      </c>
      <c r="AN3170">
        <v>700</v>
      </c>
      <c r="AO3170">
        <v>90</v>
      </c>
      <c r="AP3170">
        <v>7000</v>
      </c>
      <c r="AQ3170">
        <v>3890.8554630294602</v>
      </c>
      <c r="AR3170">
        <v>2000</v>
      </c>
      <c r="AS3170">
        <v>100</v>
      </c>
      <c r="AT3170">
        <v>87500</v>
      </c>
      <c r="AU3170">
        <v>2257</v>
      </c>
    </row>
    <row r="3171" spans="1:48">
      <c r="A3171" t="s">
        <v>200</v>
      </c>
      <c r="B3171" t="s">
        <v>200</v>
      </c>
      <c r="C3171">
        <v>8429.0633655529964</v>
      </c>
      <c r="D3171">
        <v>7000</v>
      </c>
      <c r="E3171">
        <v>200</v>
      </c>
      <c r="F3171">
        <v>50000</v>
      </c>
      <c r="G3171">
        <v>6538.8454780640013</v>
      </c>
      <c r="H3171">
        <v>6000</v>
      </c>
      <c r="I3171">
        <v>300</v>
      </c>
      <c r="J3171">
        <v>40000</v>
      </c>
      <c r="K3171">
        <v>505.31036162741259</v>
      </c>
      <c r="L3171">
        <v>350</v>
      </c>
      <c r="M3171">
        <v>50</v>
      </c>
      <c r="N3171">
        <v>5000</v>
      </c>
      <c r="O3171">
        <v>612.76395029911748</v>
      </c>
      <c r="P3171">
        <v>400</v>
      </c>
      <c r="Q3171">
        <v>50</v>
      </c>
      <c r="R3171">
        <v>10000</v>
      </c>
      <c r="S3171">
        <v>950.31513107307535</v>
      </c>
      <c r="T3171">
        <v>700</v>
      </c>
      <c r="U3171">
        <v>100</v>
      </c>
      <c r="V3171">
        <v>25000</v>
      </c>
      <c r="W3171">
        <v>852.92294718564028</v>
      </c>
      <c r="X3171">
        <v>500</v>
      </c>
      <c r="Y3171">
        <v>100</v>
      </c>
      <c r="Z3171">
        <v>15000</v>
      </c>
      <c r="AA3171">
        <v>1902.7017399560971</v>
      </c>
      <c r="AB3171">
        <v>1500</v>
      </c>
      <c r="AC3171">
        <v>100</v>
      </c>
      <c r="AD3171">
        <v>30000</v>
      </c>
      <c r="AE3171">
        <v>1012.266050592903</v>
      </c>
      <c r="AF3171">
        <v>600</v>
      </c>
      <c r="AG3171">
        <v>100</v>
      </c>
      <c r="AH3171">
        <v>18000</v>
      </c>
      <c r="AI3171">
        <v>2617.7054498596899</v>
      </c>
      <c r="AJ3171">
        <v>1500</v>
      </c>
      <c r="AK3171">
        <v>50</v>
      </c>
      <c r="AL3171">
        <v>100000</v>
      </c>
      <c r="AM3171">
        <v>682.77713804228927</v>
      </c>
      <c r="AN3171">
        <v>600</v>
      </c>
      <c r="AO3171">
        <v>50</v>
      </c>
      <c r="AP3171">
        <v>7000</v>
      </c>
      <c r="AQ3171">
        <v>3451.5921234889129</v>
      </c>
      <c r="AR3171">
        <v>2000</v>
      </c>
      <c r="AS3171">
        <v>100</v>
      </c>
      <c r="AT3171">
        <v>87500</v>
      </c>
      <c r="AU3171">
        <v>2257</v>
      </c>
    </row>
    <row r="3173" spans="1:48" ht="45">
      <c r="A3173" s="22" t="s">
        <v>789</v>
      </c>
    </row>
    <row r="3174" spans="1:48">
      <c r="A3174" t="s">
        <v>184</v>
      </c>
      <c r="B3174" t="s">
        <v>185</v>
      </c>
      <c r="C3174" t="s">
        <v>186</v>
      </c>
      <c r="D3174" t="s">
        <v>742</v>
      </c>
      <c r="E3174" t="s">
        <v>743</v>
      </c>
      <c r="F3174" t="s">
        <v>744</v>
      </c>
      <c r="G3174" t="s">
        <v>745</v>
      </c>
      <c r="H3174" t="s">
        <v>746</v>
      </c>
      <c r="I3174" t="s">
        <v>747</v>
      </c>
      <c r="J3174" t="s">
        <v>748</v>
      </c>
      <c r="K3174" t="s">
        <v>749</v>
      </c>
      <c r="L3174" t="s">
        <v>750</v>
      </c>
      <c r="M3174" t="s">
        <v>751</v>
      </c>
      <c r="N3174" t="s">
        <v>752</v>
      </c>
      <c r="O3174" t="s">
        <v>753</v>
      </c>
      <c r="P3174" t="s">
        <v>754</v>
      </c>
      <c r="Q3174" t="s">
        <v>755</v>
      </c>
      <c r="R3174" t="s">
        <v>756</v>
      </c>
      <c r="S3174" t="s">
        <v>757</v>
      </c>
      <c r="T3174" t="s">
        <v>758</v>
      </c>
      <c r="U3174" t="s">
        <v>759</v>
      </c>
      <c r="V3174" t="s">
        <v>760</v>
      </c>
      <c r="W3174" t="s">
        <v>761</v>
      </c>
      <c r="X3174" t="s">
        <v>762</v>
      </c>
      <c r="Y3174" t="s">
        <v>763</v>
      </c>
      <c r="Z3174" t="s">
        <v>764</v>
      </c>
      <c r="AA3174" t="s">
        <v>765</v>
      </c>
      <c r="AB3174" t="s">
        <v>766</v>
      </c>
      <c r="AC3174" t="s">
        <v>767</v>
      </c>
      <c r="AD3174" t="s">
        <v>768</v>
      </c>
      <c r="AE3174" t="s">
        <v>769</v>
      </c>
      <c r="AF3174" t="s">
        <v>770</v>
      </c>
      <c r="AG3174" t="s">
        <v>771</v>
      </c>
      <c r="AH3174" t="s">
        <v>772</v>
      </c>
      <c r="AI3174" t="s">
        <v>773</v>
      </c>
      <c r="AJ3174" t="s">
        <v>774</v>
      </c>
      <c r="AK3174" t="s">
        <v>775</v>
      </c>
      <c r="AL3174" t="s">
        <v>776</v>
      </c>
      <c r="AM3174" t="s">
        <v>777</v>
      </c>
      <c r="AN3174" t="s">
        <v>778</v>
      </c>
      <c r="AO3174" t="s">
        <v>779</v>
      </c>
      <c r="AP3174" t="s">
        <v>780</v>
      </c>
      <c r="AQ3174" t="s">
        <v>781</v>
      </c>
      <c r="AR3174" t="s">
        <v>782</v>
      </c>
      <c r="AS3174" t="s">
        <v>783</v>
      </c>
      <c r="AT3174" t="s">
        <v>784</v>
      </c>
      <c r="AU3174" t="s">
        <v>785</v>
      </c>
      <c r="AV3174" t="s">
        <v>193</v>
      </c>
    </row>
    <row r="3175" spans="1:48">
      <c r="A3175" t="s">
        <v>194</v>
      </c>
      <c r="B3175" t="s">
        <v>195</v>
      </c>
      <c r="C3175" t="s">
        <v>212</v>
      </c>
      <c r="D3175">
        <v>7990.8295203240205</v>
      </c>
      <c r="E3175">
        <v>7000</v>
      </c>
      <c r="F3175">
        <v>300</v>
      </c>
      <c r="G3175">
        <v>40000</v>
      </c>
      <c r="H3175">
        <v>6725.6468885661488</v>
      </c>
      <c r="I3175">
        <v>6000</v>
      </c>
      <c r="J3175">
        <v>300</v>
      </c>
      <c r="K3175">
        <v>20000</v>
      </c>
      <c r="L3175">
        <v>413.2606992253377</v>
      </c>
      <c r="M3175">
        <v>300</v>
      </c>
      <c r="N3175">
        <v>50</v>
      </c>
      <c r="O3175">
        <v>5000</v>
      </c>
      <c r="P3175">
        <v>535.11917955162062</v>
      </c>
      <c r="Q3175">
        <v>400</v>
      </c>
      <c r="R3175">
        <v>50</v>
      </c>
      <c r="S3175">
        <v>10000</v>
      </c>
      <c r="T3175">
        <v>873.50627479532216</v>
      </c>
      <c r="U3175">
        <v>600</v>
      </c>
      <c r="V3175">
        <v>100</v>
      </c>
      <c r="W3175">
        <v>5500</v>
      </c>
      <c r="X3175">
        <v>767.0552362714634</v>
      </c>
      <c r="Y3175">
        <v>500</v>
      </c>
      <c r="Z3175">
        <v>100</v>
      </c>
      <c r="AA3175">
        <v>6670</v>
      </c>
      <c r="AB3175">
        <v>1792.567717465733</v>
      </c>
      <c r="AC3175">
        <v>1500</v>
      </c>
      <c r="AD3175">
        <v>150</v>
      </c>
      <c r="AE3175">
        <v>30000</v>
      </c>
      <c r="AF3175">
        <v>994.558287215105</v>
      </c>
      <c r="AG3175">
        <v>600</v>
      </c>
      <c r="AH3175">
        <v>100</v>
      </c>
      <c r="AI3175">
        <v>8000</v>
      </c>
      <c r="AJ3175">
        <v>1918.244940769936</v>
      </c>
      <c r="AK3175">
        <v>900</v>
      </c>
      <c r="AL3175">
        <v>50</v>
      </c>
      <c r="AM3175">
        <v>35000</v>
      </c>
      <c r="AN3175">
        <v>671.05925510583518</v>
      </c>
      <c r="AO3175">
        <v>600</v>
      </c>
      <c r="AP3175">
        <v>54</v>
      </c>
      <c r="AQ3175">
        <v>2800</v>
      </c>
      <c r="AR3175">
        <v>2038.258464514475</v>
      </c>
      <c r="AS3175">
        <v>1500</v>
      </c>
      <c r="AT3175">
        <v>200</v>
      </c>
      <c r="AU3175">
        <v>20000</v>
      </c>
      <c r="AV3175">
        <v>2257</v>
      </c>
    </row>
    <row r="3176" spans="1:48">
      <c r="A3176" t="s">
        <v>194</v>
      </c>
      <c r="B3176" t="s">
        <v>195</v>
      </c>
      <c r="C3176" t="s">
        <v>214</v>
      </c>
      <c r="D3176">
        <v>3411.6616354170528</v>
      </c>
      <c r="E3176">
        <v>2500</v>
      </c>
      <c r="F3176">
        <v>500</v>
      </c>
      <c r="G3176">
        <v>20000</v>
      </c>
      <c r="H3176">
        <v>4716.8956562800322</v>
      </c>
      <c r="I3176">
        <v>4500</v>
      </c>
      <c r="J3176">
        <v>300</v>
      </c>
      <c r="K3176">
        <v>16000</v>
      </c>
      <c r="L3176">
        <v>214.84848771020751</v>
      </c>
      <c r="M3176">
        <v>150</v>
      </c>
      <c r="N3176">
        <v>50</v>
      </c>
      <c r="O3176">
        <v>1000</v>
      </c>
      <c r="P3176">
        <v>312.6805875772975</v>
      </c>
      <c r="Q3176">
        <v>200</v>
      </c>
      <c r="R3176">
        <v>60</v>
      </c>
      <c r="S3176">
        <v>5000</v>
      </c>
      <c r="T3176">
        <v>412.43021308238099</v>
      </c>
      <c r="U3176">
        <v>300</v>
      </c>
      <c r="V3176">
        <v>100</v>
      </c>
      <c r="W3176">
        <v>2000</v>
      </c>
      <c r="X3176">
        <v>292.31550772623541</v>
      </c>
      <c r="Y3176">
        <v>200</v>
      </c>
      <c r="Z3176">
        <v>100</v>
      </c>
      <c r="AA3176">
        <v>2000</v>
      </c>
      <c r="AB3176">
        <v>1192.3032443386689</v>
      </c>
      <c r="AC3176">
        <v>1000</v>
      </c>
      <c r="AD3176">
        <v>130</v>
      </c>
      <c r="AE3176">
        <v>12500</v>
      </c>
      <c r="AF3176">
        <v>484.5426764158571</v>
      </c>
      <c r="AG3176">
        <v>500</v>
      </c>
      <c r="AH3176">
        <v>100</v>
      </c>
      <c r="AI3176">
        <v>1500</v>
      </c>
      <c r="AJ3176">
        <v>1399.7285335155891</v>
      </c>
      <c r="AK3176">
        <v>300</v>
      </c>
      <c r="AL3176">
        <v>50</v>
      </c>
      <c r="AM3176">
        <v>16000</v>
      </c>
      <c r="AN3176">
        <v>287.83106184100558</v>
      </c>
      <c r="AO3176">
        <v>250</v>
      </c>
      <c r="AP3176">
        <v>50</v>
      </c>
      <c r="AQ3176">
        <v>2950</v>
      </c>
      <c r="AR3176">
        <v>1577.38802366001</v>
      </c>
      <c r="AS3176">
        <v>1600</v>
      </c>
      <c r="AT3176">
        <v>200</v>
      </c>
      <c r="AU3176">
        <v>3100</v>
      </c>
      <c r="AV3176">
        <v>2257</v>
      </c>
    </row>
    <row r="3177" spans="1:48">
      <c r="A3177" t="s">
        <v>194</v>
      </c>
      <c r="B3177" t="s">
        <v>195</v>
      </c>
      <c r="C3177" t="s">
        <v>215</v>
      </c>
      <c r="D3177">
        <v>10069.80950209314</v>
      </c>
      <c r="E3177">
        <v>8000</v>
      </c>
      <c r="F3177">
        <v>1500</v>
      </c>
      <c r="G3177">
        <v>30000</v>
      </c>
      <c r="H3177">
        <v>6039.7431597271161</v>
      </c>
      <c r="I3177">
        <v>6000</v>
      </c>
      <c r="J3177">
        <v>1000</v>
      </c>
      <c r="K3177">
        <v>12500</v>
      </c>
      <c r="L3177">
        <v>993.18699336614918</v>
      </c>
      <c r="M3177">
        <v>600</v>
      </c>
      <c r="N3177">
        <v>60</v>
      </c>
      <c r="O3177">
        <v>5000</v>
      </c>
      <c r="P3177">
        <v>838.0211897367717</v>
      </c>
      <c r="Q3177">
        <v>500</v>
      </c>
      <c r="R3177">
        <v>100</v>
      </c>
      <c r="S3177">
        <v>5000</v>
      </c>
      <c r="T3177">
        <v>1457.827285305633</v>
      </c>
      <c r="U3177">
        <v>1000</v>
      </c>
      <c r="V3177">
        <v>150</v>
      </c>
      <c r="W3177">
        <v>5000</v>
      </c>
      <c r="X3177">
        <v>570.14084798775548</v>
      </c>
      <c r="Y3177">
        <v>500</v>
      </c>
      <c r="Z3177">
        <v>100</v>
      </c>
      <c r="AA3177">
        <v>15000</v>
      </c>
      <c r="AB3177">
        <v>2408.0051273350782</v>
      </c>
      <c r="AC3177">
        <v>2000</v>
      </c>
      <c r="AD3177">
        <v>300</v>
      </c>
      <c r="AE3177">
        <v>10000</v>
      </c>
      <c r="AF3177">
        <v>1090.909394693773</v>
      </c>
      <c r="AG3177">
        <v>1000</v>
      </c>
      <c r="AH3177">
        <v>200</v>
      </c>
      <c r="AI3177">
        <v>1500</v>
      </c>
      <c r="AJ3177">
        <v>3620.459731372785</v>
      </c>
      <c r="AK3177">
        <v>1500</v>
      </c>
      <c r="AL3177">
        <v>100</v>
      </c>
      <c r="AM3177">
        <v>37500</v>
      </c>
      <c r="AN3177">
        <v>1022.533046829804</v>
      </c>
      <c r="AO3177">
        <v>1000</v>
      </c>
      <c r="AP3177">
        <v>200</v>
      </c>
      <c r="AQ3177">
        <v>4600</v>
      </c>
      <c r="AR3177">
        <v>1673.925985305146</v>
      </c>
      <c r="AS3177">
        <v>1500</v>
      </c>
      <c r="AT3177">
        <v>500</v>
      </c>
      <c r="AU3177">
        <v>5000</v>
      </c>
      <c r="AV3177">
        <v>2257</v>
      </c>
    </row>
    <row r="3178" spans="1:48">
      <c r="A3178" t="s">
        <v>194</v>
      </c>
      <c r="B3178" t="s">
        <v>199</v>
      </c>
      <c r="C3178" t="s">
        <v>212</v>
      </c>
      <c r="D3178">
        <v>9663.9365513158918</v>
      </c>
      <c r="E3178">
        <v>9000</v>
      </c>
      <c r="F3178">
        <v>200</v>
      </c>
      <c r="G3178">
        <v>50000</v>
      </c>
      <c r="H3178">
        <v>7793.2693731789304</v>
      </c>
      <c r="I3178">
        <v>6000</v>
      </c>
      <c r="J3178">
        <v>300</v>
      </c>
      <c r="K3178">
        <v>40000</v>
      </c>
      <c r="L3178">
        <v>567.62896977248897</v>
      </c>
      <c r="M3178">
        <v>400</v>
      </c>
      <c r="N3178">
        <v>60</v>
      </c>
      <c r="O3178">
        <v>5000</v>
      </c>
      <c r="P3178">
        <v>677.7817767433163</v>
      </c>
      <c r="Q3178">
        <v>400</v>
      </c>
      <c r="R3178">
        <v>50</v>
      </c>
      <c r="S3178">
        <v>10000</v>
      </c>
      <c r="T3178">
        <v>1058.773630095576</v>
      </c>
      <c r="U3178">
        <v>800</v>
      </c>
      <c r="V3178">
        <v>100</v>
      </c>
      <c r="W3178">
        <v>25000</v>
      </c>
      <c r="X3178">
        <v>957.6204340596604</v>
      </c>
      <c r="Y3178">
        <v>500</v>
      </c>
      <c r="Z3178">
        <v>100</v>
      </c>
      <c r="AA3178">
        <v>13800</v>
      </c>
      <c r="AB3178">
        <v>2078.106416052025</v>
      </c>
      <c r="AC3178">
        <v>1600</v>
      </c>
      <c r="AD3178">
        <v>200</v>
      </c>
      <c r="AE3178">
        <v>12000</v>
      </c>
      <c r="AF3178">
        <v>1131.1458572011011</v>
      </c>
      <c r="AG3178">
        <v>600</v>
      </c>
      <c r="AH3178">
        <v>100</v>
      </c>
      <c r="AI3178">
        <v>18000</v>
      </c>
      <c r="AJ3178">
        <v>3263.852738750782</v>
      </c>
      <c r="AK3178">
        <v>3000</v>
      </c>
      <c r="AL3178">
        <v>50</v>
      </c>
      <c r="AM3178">
        <v>100000</v>
      </c>
      <c r="AN3178">
        <v>738.16230328602285</v>
      </c>
      <c r="AO3178">
        <v>700</v>
      </c>
      <c r="AP3178">
        <v>90</v>
      </c>
      <c r="AQ3178">
        <v>7000</v>
      </c>
      <c r="AR3178">
        <v>4089.9776192195459</v>
      </c>
      <c r="AS3178">
        <v>2000</v>
      </c>
      <c r="AT3178">
        <v>100</v>
      </c>
      <c r="AU3178">
        <v>87500</v>
      </c>
      <c r="AV3178">
        <v>2257</v>
      </c>
    </row>
    <row r="3179" spans="1:48">
      <c r="A3179" t="s">
        <v>194</v>
      </c>
      <c r="B3179" t="s">
        <v>199</v>
      </c>
      <c r="C3179" t="s">
        <v>214</v>
      </c>
      <c r="D3179">
        <v>4373.0234576073544</v>
      </c>
      <c r="E3179">
        <v>4500</v>
      </c>
      <c r="F3179">
        <v>200</v>
      </c>
      <c r="G3179">
        <v>15000</v>
      </c>
      <c r="H3179">
        <v>3327.1018116782138</v>
      </c>
      <c r="I3179">
        <v>3000</v>
      </c>
      <c r="J3179">
        <v>800</v>
      </c>
      <c r="K3179">
        <v>7800</v>
      </c>
      <c r="L3179">
        <v>465.20613699970312</v>
      </c>
      <c r="M3179">
        <v>250</v>
      </c>
      <c r="N3179">
        <v>60</v>
      </c>
      <c r="O3179">
        <v>2500</v>
      </c>
      <c r="P3179">
        <v>366.00876566737168</v>
      </c>
      <c r="Q3179">
        <v>300</v>
      </c>
      <c r="R3179">
        <v>60</v>
      </c>
      <c r="S3179">
        <v>2000</v>
      </c>
      <c r="T3179">
        <v>518.60342527783075</v>
      </c>
      <c r="U3179">
        <v>500</v>
      </c>
      <c r="V3179">
        <v>100</v>
      </c>
      <c r="W3179">
        <v>2500</v>
      </c>
      <c r="X3179">
        <v>958.81791465175525</v>
      </c>
      <c r="Y3179">
        <v>1000</v>
      </c>
      <c r="Z3179">
        <v>100</v>
      </c>
      <c r="AA3179">
        <v>3000</v>
      </c>
      <c r="AB3179">
        <v>1224.930376515226</v>
      </c>
      <c r="AC3179">
        <v>1100</v>
      </c>
      <c r="AD3179">
        <v>100</v>
      </c>
      <c r="AE3179">
        <v>7000</v>
      </c>
      <c r="AF3179">
        <v>969.29382961711565</v>
      </c>
      <c r="AG3179">
        <v>1200</v>
      </c>
      <c r="AH3179">
        <v>200</v>
      </c>
      <c r="AI3179">
        <v>2000</v>
      </c>
      <c r="AJ3179">
        <v>1223.013706901954</v>
      </c>
      <c r="AK3179">
        <v>550</v>
      </c>
      <c r="AL3179">
        <v>50</v>
      </c>
      <c r="AM3179">
        <v>13000</v>
      </c>
      <c r="AN3179">
        <v>383.19600462267459</v>
      </c>
      <c r="AO3179">
        <v>370</v>
      </c>
      <c r="AP3179">
        <v>100</v>
      </c>
      <c r="AQ3179">
        <v>6000</v>
      </c>
      <c r="AR3179">
        <v>3463.9306528118918</v>
      </c>
      <c r="AS3179">
        <v>2200</v>
      </c>
      <c r="AT3179">
        <v>100</v>
      </c>
      <c r="AU3179">
        <v>15000</v>
      </c>
      <c r="AV3179">
        <v>2257</v>
      </c>
    </row>
    <row r="3180" spans="1:48">
      <c r="A3180" t="s">
        <v>194</v>
      </c>
      <c r="B3180" t="s">
        <v>199</v>
      </c>
      <c r="C3180" t="s">
        <v>215</v>
      </c>
      <c r="D3180">
        <v>13306.02774148527</v>
      </c>
      <c r="E3180">
        <v>10000</v>
      </c>
      <c r="F3180">
        <v>500</v>
      </c>
      <c r="G3180">
        <v>45000</v>
      </c>
      <c r="H3180">
        <v>15836.620458200579</v>
      </c>
      <c r="I3180">
        <v>20000</v>
      </c>
      <c r="J3180">
        <v>500</v>
      </c>
      <c r="K3180">
        <v>20000</v>
      </c>
      <c r="L3180">
        <v>734.45710889417501</v>
      </c>
      <c r="M3180">
        <v>800</v>
      </c>
      <c r="N3180">
        <v>60</v>
      </c>
      <c r="O3180">
        <v>3000</v>
      </c>
      <c r="P3180">
        <v>717.45436156157768</v>
      </c>
      <c r="Q3180">
        <v>500</v>
      </c>
      <c r="R3180">
        <v>50</v>
      </c>
      <c r="S3180">
        <v>3000</v>
      </c>
      <c r="T3180">
        <v>1428.0895820102071</v>
      </c>
      <c r="U3180">
        <v>1000</v>
      </c>
      <c r="V3180">
        <v>200</v>
      </c>
      <c r="W3180">
        <v>10000</v>
      </c>
      <c r="X3180">
        <v>906.11133927792889</v>
      </c>
      <c r="Y3180">
        <v>400</v>
      </c>
      <c r="Z3180">
        <v>100</v>
      </c>
      <c r="AA3180">
        <v>7000</v>
      </c>
      <c r="AB3180">
        <v>2591.9335941251929</v>
      </c>
      <c r="AC3180">
        <v>2300</v>
      </c>
      <c r="AD3180">
        <v>380</v>
      </c>
      <c r="AE3180">
        <v>8000</v>
      </c>
      <c r="AF3180">
        <v>808.87072716577541</v>
      </c>
      <c r="AG3180">
        <v>800</v>
      </c>
      <c r="AH3180">
        <v>200</v>
      </c>
      <c r="AI3180">
        <v>13000</v>
      </c>
      <c r="AJ3180">
        <v>3182.642154194572</v>
      </c>
      <c r="AK3180">
        <v>3000</v>
      </c>
      <c r="AL3180">
        <v>100</v>
      </c>
      <c r="AM3180">
        <v>20000</v>
      </c>
      <c r="AN3180">
        <v>1122.249716008748</v>
      </c>
      <c r="AO3180">
        <v>1000</v>
      </c>
      <c r="AP3180">
        <v>250</v>
      </c>
      <c r="AQ3180">
        <v>5000</v>
      </c>
      <c r="AR3180">
        <v>2201.7344618201778</v>
      </c>
      <c r="AS3180">
        <v>2000</v>
      </c>
      <c r="AT3180">
        <v>300</v>
      </c>
      <c r="AU3180">
        <v>17000</v>
      </c>
      <c r="AV3180">
        <v>2257</v>
      </c>
    </row>
    <row r="3181" spans="1:48">
      <c r="A3181" t="s">
        <v>200</v>
      </c>
      <c r="B3181" t="s">
        <v>200</v>
      </c>
      <c r="C3181" t="s">
        <v>200</v>
      </c>
      <c r="D3181">
        <v>8429.0633655529964</v>
      </c>
      <c r="E3181">
        <v>7000</v>
      </c>
      <c r="F3181">
        <v>200</v>
      </c>
      <c r="G3181">
        <v>50000</v>
      </c>
      <c r="H3181">
        <v>6538.8454780640013</v>
      </c>
      <c r="I3181">
        <v>6000</v>
      </c>
      <c r="J3181">
        <v>300</v>
      </c>
      <c r="K3181">
        <v>40000</v>
      </c>
      <c r="L3181">
        <v>505.31036162741259</v>
      </c>
      <c r="M3181">
        <v>350</v>
      </c>
      <c r="N3181">
        <v>50</v>
      </c>
      <c r="O3181">
        <v>5000</v>
      </c>
      <c r="P3181">
        <v>612.76395029911748</v>
      </c>
      <c r="Q3181">
        <v>400</v>
      </c>
      <c r="R3181">
        <v>50</v>
      </c>
      <c r="S3181">
        <v>10000</v>
      </c>
      <c r="T3181">
        <v>950.31513107307535</v>
      </c>
      <c r="U3181">
        <v>700</v>
      </c>
      <c r="V3181">
        <v>100</v>
      </c>
      <c r="W3181">
        <v>25000</v>
      </c>
      <c r="X3181">
        <v>852.92294718564028</v>
      </c>
      <c r="Y3181">
        <v>500</v>
      </c>
      <c r="Z3181">
        <v>100</v>
      </c>
      <c r="AA3181">
        <v>15000</v>
      </c>
      <c r="AB3181">
        <v>1902.7017399560971</v>
      </c>
      <c r="AC3181">
        <v>1500</v>
      </c>
      <c r="AD3181">
        <v>100</v>
      </c>
      <c r="AE3181">
        <v>30000</v>
      </c>
      <c r="AF3181">
        <v>1012.266050592903</v>
      </c>
      <c r="AG3181">
        <v>600</v>
      </c>
      <c r="AH3181">
        <v>100</v>
      </c>
      <c r="AI3181">
        <v>18000</v>
      </c>
      <c r="AJ3181">
        <v>2617.7054498596899</v>
      </c>
      <c r="AK3181">
        <v>1500</v>
      </c>
      <c r="AL3181">
        <v>50</v>
      </c>
      <c r="AM3181">
        <v>100000</v>
      </c>
      <c r="AN3181">
        <v>682.77713804228927</v>
      </c>
      <c r="AO3181">
        <v>600</v>
      </c>
      <c r="AP3181">
        <v>50</v>
      </c>
      <c r="AQ3181">
        <v>7000</v>
      </c>
      <c r="AR3181">
        <v>3451.5921234889129</v>
      </c>
      <c r="AS3181">
        <v>2000</v>
      </c>
      <c r="AT3181">
        <v>100</v>
      </c>
      <c r="AU3181">
        <v>87500</v>
      </c>
      <c r="AV3181">
        <v>2257</v>
      </c>
    </row>
    <row r="3183" spans="1:48" ht="45">
      <c r="A3183" s="22" t="s">
        <v>790</v>
      </c>
    </row>
    <row r="3184" spans="1:48">
      <c r="A3184" t="s">
        <v>184</v>
      </c>
      <c r="B3184" t="s">
        <v>185</v>
      </c>
      <c r="C3184" t="s">
        <v>186</v>
      </c>
      <c r="D3184" t="s">
        <v>742</v>
      </c>
      <c r="E3184" t="s">
        <v>743</v>
      </c>
      <c r="F3184" t="s">
        <v>744</v>
      </c>
      <c r="G3184" t="s">
        <v>745</v>
      </c>
      <c r="H3184" t="s">
        <v>746</v>
      </c>
      <c r="I3184" t="s">
        <v>747</v>
      </c>
      <c r="J3184" t="s">
        <v>748</v>
      </c>
      <c r="K3184" t="s">
        <v>749</v>
      </c>
      <c r="L3184" t="s">
        <v>750</v>
      </c>
      <c r="M3184" t="s">
        <v>751</v>
      </c>
      <c r="N3184" t="s">
        <v>752</v>
      </c>
      <c r="O3184" t="s">
        <v>753</v>
      </c>
      <c r="P3184" t="s">
        <v>754</v>
      </c>
      <c r="Q3184" t="s">
        <v>755</v>
      </c>
      <c r="R3184" t="s">
        <v>756</v>
      </c>
      <c r="S3184" t="s">
        <v>757</v>
      </c>
      <c r="T3184" t="s">
        <v>758</v>
      </c>
      <c r="U3184" t="s">
        <v>759</v>
      </c>
      <c r="V3184" t="s">
        <v>760</v>
      </c>
      <c r="W3184" t="s">
        <v>761</v>
      </c>
      <c r="X3184" t="s">
        <v>762</v>
      </c>
      <c r="Y3184" t="s">
        <v>763</v>
      </c>
      <c r="Z3184" t="s">
        <v>764</v>
      </c>
      <c r="AA3184" t="s">
        <v>765</v>
      </c>
      <c r="AB3184" t="s">
        <v>766</v>
      </c>
      <c r="AC3184" t="s">
        <v>767</v>
      </c>
      <c r="AD3184" t="s">
        <v>768</v>
      </c>
      <c r="AE3184" t="s">
        <v>769</v>
      </c>
      <c r="AF3184" t="s">
        <v>770</v>
      </c>
      <c r="AG3184" t="s">
        <v>771</v>
      </c>
      <c r="AH3184" t="s">
        <v>772</v>
      </c>
      <c r="AI3184" t="s">
        <v>773</v>
      </c>
      <c r="AJ3184" t="s">
        <v>774</v>
      </c>
      <c r="AK3184" t="s">
        <v>775</v>
      </c>
      <c r="AL3184" t="s">
        <v>776</v>
      </c>
      <c r="AM3184" t="s">
        <v>777</v>
      </c>
      <c r="AN3184" t="s">
        <v>778</v>
      </c>
      <c r="AO3184" t="s">
        <v>779</v>
      </c>
      <c r="AP3184" t="s">
        <v>780</v>
      </c>
      <c r="AQ3184" t="s">
        <v>781</v>
      </c>
      <c r="AR3184" t="s">
        <v>782</v>
      </c>
      <c r="AS3184" t="s">
        <v>783</v>
      </c>
      <c r="AT3184" t="s">
        <v>784</v>
      </c>
      <c r="AU3184" t="s">
        <v>785</v>
      </c>
      <c r="AV3184" t="s">
        <v>193</v>
      </c>
    </row>
    <row r="3185" spans="1:48">
      <c r="A3185" t="s">
        <v>194</v>
      </c>
      <c r="B3185" t="s">
        <v>195</v>
      </c>
      <c r="C3185" t="s">
        <v>217</v>
      </c>
      <c r="D3185">
        <v>8367.3681217380708</v>
      </c>
      <c r="E3185">
        <v>7000</v>
      </c>
      <c r="F3185">
        <v>400</v>
      </c>
      <c r="G3185">
        <v>30000</v>
      </c>
      <c r="H3185">
        <v>6706.3209394906962</v>
      </c>
      <c r="I3185">
        <v>6000</v>
      </c>
      <c r="J3185">
        <v>500</v>
      </c>
      <c r="K3185">
        <v>20000</v>
      </c>
      <c r="L3185">
        <v>492.17351964616</v>
      </c>
      <c r="M3185">
        <v>350</v>
      </c>
      <c r="N3185">
        <v>50</v>
      </c>
      <c r="O3185">
        <v>5000</v>
      </c>
      <c r="P3185">
        <v>653.8863622328646</v>
      </c>
      <c r="Q3185">
        <v>500</v>
      </c>
      <c r="R3185">
        <v>50</v>
      </c>
      <c r="S3185">
        <v>4000</v>
      </c>
      <c r="T3185">
        <v>966.54351596256413</v>
      </c>
      <c r="U3185">
        <v>700</v>
      </c>
      <c r="V3185">
        <v>100</v>
      </c>
      <c r="W3185">
        <v>5000</v>
      </c>
      <c r="X3185">
        <v>631.55348491712243</v>
      </c>
      <c r="Y3185">
        <v>400</v>
      </c>
      <c r="Z3185">
        <v>100</v>
      </c>
      <c r="AA3185">
        <v>6300</v>
      </c>
      <c r="AB3185">
        <v>1761.4744187089441</v>
      </c>
      <c r="AC3185">
        <v>1500</v>
      </c>
      <c r="AD3185">
        <v>200</v>
      </c>
      <c r="AE3185">
        <v>8000</v>
      </c>
      <c r="AF3185">
        <v>1140.2656279807679</v>
      </c>
      <c r="AG3185">
        <v>700</v>
      </c>
      <c r="AH3185">
        <v>100</v>
      </c>
      <c r="AI3185">
        <v>8000</v>
      </c>
      <c r="AJ3185">
        <v>2605.41772283822</v>
      </c>
      <c r="AK3185">
        <v>1000</v>
      </c>
      <c r="AL3185">
        <v>70</v>
      </c>
      <c r="AM3185">
        <v>37500</v>
      </c>
      <c r="AN3185">
        <v>763.6149135591038</v>
      </c>
      <c r="AO3185">
        <v>750</v>
      </c>
      <c r="AP3185">
        <v>54</v>
      </c>
      <c r="AQ3185">
        <v>4600</v>
      </c>
      <c r="AR3185">
        <v>1925.7558351332391</v>
      </c>
      <c r="AS3185">
        <v>1200</v>
      </c>
      <c r="AT3185">
        <v>300</v>
      </c>
      <c r="AU3185">
        <v>7000</v>
      </c>
      <c r="AV3185">
        <v>2257</v>
      </c>
    </row>
    <row r="3186" spans="1:48">
      <c r="A3186" t="s">
        <v>194</v>
      </c>
      <c r="B3186" t="s">
        <v>195</v>
      </c>
      <c r="C3186" t="s">
        <v>219</v>
      </c>
      <c r="D3186">
        <v>6138.8562165226786</v>
      </c>
      <c r="E3186">
        <v>5000</v>
      </c>
      <c r="F3186">
        <v>500</v>
      </c>
      <c r="G3186">
        <v>30000</v>
      </c>
      <c r="H3186">
        <v>5858.9841642010151</v>
      </c>
      <c r="I3186">
        <v>5000</v>
      </c>
      <c r="J3186">
        <v>300</v>
      </c>
      <c r="K3186">
        <v>17000</v>
      </c>
      <c r="L3186">
        <v>367.64906189912102</v>
      </c>
      <c r="M3186">
        <v>250</v>
      </c>
      <c r="N3186">
        <v>50</v>
      </c>
      <c r="O3186">
        <v>5000</v>
      </c>
      <c r="P3186">
        <v>376.6137566372434</v>
      </c>
      <c r="Q3186">
        <v>250</v>
      </c>
      <c r="R3186">
        <v>50</v>
      </c>
      <c r="S3186">
        <v>5000</v>
      </c>
      <c r="T3186">
        <v>784.7684179511806</v>
      </c>
      <c r="U3186">
        <v>500</v>
      </c>
      <c r="V3186">
        <v>100</v>
      </c>
      <c r="W3186">
        <v>5500</v>
      </c>
      <c r="X3186">
        <v>546.79001390496103</v>
      </c>
      <c r="Y3186">
        <v>400</v>
      </c>
      <c r="Z3186">
        <v>100</v>
      </c>
      <c r="AA3186">
        <v>3000</v>
      </c>
      <c r="AB3186">
        <v>1657.9672458356431</v>
      </c>
      <c r="AC3186">
        <v>1500</v>
      </c>
      <c r="AD3186">
        <v>130</v>
      </c>
      <c r="AE3186">
        <v>15000</v>
      </c>
      <c r="AF3186">
        <v>624.85373867698615</v>
      </c>
      <c r="AG3186">
        <v>500</v>
      </c>
      <c r="AH3186">
        <v>100</v>
      </c>
      <c r="AI3186">
        <v>3000</v>
      </c>
      <c r="AJ3186">
        <v>1050.0443497948179</v>
      </c>
      <c r="AK3186">
        <v>500</v>
      </c>
      <c r="AL3186">
        <v>50</v>
      </c>
      <c r="AM3186">
        <v>33000</v>
      </c>
      <c r="AN3186">
        <v>538.39647609571546</v>
      </c>
      <c r="AO3186">
        <v>500</v>
      </c>
      <c r="AP3186">
        <v>50</v>
      </c>
      <c r="AQ3186">
        <v>2950</v>
      </c>
      <c r="AR3186">
        <v>1622.7898907868041</v>
      </c>
      <c r="AS3186">
        <v>750</v>
      </c>
      <c r="AT3186">
        <v>200</v>
      </c>
      <c r="AU3186">
        <v>20000</v>
      </c>
      <c r="AV3186">
        <v>2257</v>
      </c>
    </row>
    <row r="3187" spans="1:48">
      <c r="A3187" t="s">
        <v>194</v>
      </c>
      <c r="B3187" t="s">
        <v>195</v>
      </c>
      <c r="C3187" t="s">
        <v>220</v>
      </c>
      <c r="D3187">
        <v>7782.860274706527</v>
      </c>
      <c r="E3187">
        <v>7000</v>
      </c>
      <c r="F3187">
        <v>300</v>
      </c>
      <c r="G3187">
        <v>40000</v>
      </c>
      <c r="H3187">
        <v>6928.5730013013308</v>
      </c>
      <c r="I3187">
        <v>6000</v>
      </c>
      <c r="J3187">
        <v>450</v>
      </c>
      <c r="K3187">
        <v>20000</v>
      </c>
      <c r="L3187">
        <v>427.97370124475492</v>
      </c>
      <c r="M3187">
        <v>400</v>
      </c>
      <c r="N3187">
        <v>50</v>
      </c>
      <c r="O3187">
        <v>1600</v>
      </c>
      <c r="P3187">
        <v>714.12916562954888</v>
      </c>
      <c r="Q3187">
        <v>500</v>
      </c>
      <c r="R3187">
        <v>60</v>
      </c>
      <c r="S3187">
        <v>10000</v>
      </c>
      <c r="T3187">
        <v>782.23695686763972</v>
      </c>
      <c r="U3187">
        <v>500</v>
      </c>
      <c r="V3187">
        <v>100</v>
      </c>
      <c r="W3187">
        <v>4000</v>
      </c>
      <c r="X3187">
        <v>1364.820760516161</v>
      </c>
      <c r="Y3187">
        <v>500</v>
      </c>
      <c r="Z3187">
        <v>100</v>
      </c>
      <c r="AA3187">
        <v>15000</v>
      </c>
      <c r="AB3187">
        <v>1996.7847018138109</v>
      </c>
      <c r="AC3187">
        <v>1400</v>
      </c>
      <c r="AD3187">
        <v>280</v>
      </c>
      <c r="AE3187">
        <v>30000</v>
      </c>
      <c r="AF3187">
        <v>750.61669643656069</v>
      </c>
      <c r="AG3187">
        <v>600</v>
      </c>
      <c r="AH3187">
        <v>400</v>
      </c>
      <c r="AI3187">
        <v>2000</v>
      </c>
      <c r="AJ3187">
        <v>2276.0845100545939</v>
      </c>
      <c r="AK3187">
        <v>1500</v>
      </c>
      <c r="AL3187">
        <v>64</v>
      </c>
      <c r="AM3187">
        <v>16000</v>
      </c>
      <c r="AN3187">
        <v>557.63064237383412</v>
      </c>
      <c r="AO3187">
        <v>500</v>
      </c>
      <c r="AP3187">
        <v>100</v>
      </c>
      <c r="AQ3187">
        <v>2000</v>
      </c>
      <c r="AR3187">
        <v>2518.9979491631948</v>
      </c>
      <c r="AS3187">
        <v>2800</v>
      </c>
      <c r="AT3187">
        <v>200</v>
      </c>
      <c r="AU3187">
        <v>7500</v>
      </c>
      <c r="AV3187">
        <v>2257</v>
      </c>
    </row>
    <row r="3188" spans="1:48">
      <c r="A3188" t="s">
        <v>194</v>
      </c>
      <c r="B3188" t="s">
        <v>199</v>
      </c>
      <c r="C3188" t="s">
        <v>217</v>
      </c>
      <c r="D3188">
        <v>10133.994691536711</v>
      </c>
      <c r="E3188">
        <v>10000</v>
      </c>
      <c r="F3188">
        <v>500</v>
      </c>
      <c r="G3188">
        <v>45000</v>
      </c>
      <c r="H3188">
        <v>7856.4779009973627</v>
      </c>
      <c r="I3188">
        <v>6000</v>
      </c>
      <c r="J3188">
        <v>300</v>
      </c>
      <c r="K3188">
        <v>40000</v>
      </c>
      <c r="L3188">
        <v>472.80988387024331</v>
      </c>
      <c r="M3188">
        <v>400</v>
      </c>
      <c r="N3188">
        <v>60</v>
      </c>
      <c r="O3188">
        <v>5000</v>
      </c>
      <c r="P3188">
        <v>653.26628536095325</v>
      </c>
      <c r="Q3188">
        <v>400</v>
      </c>
      <c r="R3188">
        <v>50</v>
      </c>
      <c r="S3188">
        <v>10000</v>
      </c>
      <c r="T3188">
        <v>1080.2476533345409</v>
      </c>
      <c r="U3188">
        <v>800</v>
      </c>
      <c r="V3188">
        <v>100</v>
      </c>
      <c r="W3188">
        <v>25000</v>
      </c>
      <c r="X3188">
        <v>1013.574486517843</v>
      </c>
      <c r="Y3188">
        <v>500</v>
      </c>
      <c r="Z3188">
        <v>100</v>
      </c>
      <c r="AA3188">
        <v>13800</v>
      </c>
      <c r="AB3188">
        <v>2165.3548380630582</v>
      </c>
      <c r="AC3188">
        <v>1600</v>
      </c>
      <c r="AD3188">
        <v>200</v>
      </c>
      <c r="AE3188">
        <v>12000</v>
      </c>
      <c r="AF3188">
        <v>1284.918182762086</v>
      </c>
      <c r="AG3188">
        <v>650</v>
      </c>
      <c r="AH3188">
        <v>100</v>
      </c>
      <c r="AI3188">
        <v>18000</v>
      </c>
      <c r="AJ3188">
        <v>3355.986863110491</v>
      </c>
      <c r="AK3188">
        <v>3000</v>
      </c>
      <c r="AL3188">
        <v>50</v>
      </c>
      <c r="AM3188">
        <v>100000</v>
      </c>
      <c r="AN3188">
        <v>775.33382802497511</v>
      </c>
      <c r="AO3188">
        <v>800</v>
      </c>
      <c r="AP3188">
        <v>90</v>
      </c>
      <c r="AQ3188">
        <v>7000</v>
      </c>
      <c r="AR3188">
        <v>4439.8132410637454</v>
      </c>
      <c r="AS3188">
        <v>2000</v>
      </c>
      <c r="AT3188">
        <v>150</v>
      </c>
      <c r="AU3188">
        <v>87500</v>
      </c>
      <c r="AV3188">
        <v>2257</v>
      </c>
    </row>
    <row r="3189" spans="1:48">
      <c r="A3189" t="s">
        <v>194</v>
      </c>
      <c r="B3189" t="s">
        <v>199</v>
      </c>
      <c r="C3189" t="s">
        <v>219</v>
      </c>
      <c r="D3189">
        <v>6528.7817435895677</v>
      </c>
      <c r="E3189">
        <v>5000</v>
      </c>
      <c r="F3189">
        <v>200</v>
      </c>
      <c r="G3189">
        <v>25000</v>
      </c>
      <c r="H3189">
        <v>4901.0149859638605</v>
      </c>
      <c r="I3189">
        <v>5000</v>
      </c>
      <c r="J3189">
        <v>800</v>
      </c>
      <c r="K3189">
        <v>12000</v>
      </c>
      <c r="L3189">
        <v>491.72112070307378</v>
      </c>
      <c r="M3189">
        <v>300</v>
      </c>
      <c r="N3189">
        <v>60</v>
      </c>
      <c r="O3189">
        <v>3000</v>
      </c>
      <c r="P3189">
        <v>490.34780969015293</v>
      </c>
      <c r="Q3189">
        <v>300</v>
      </c>
      <c r="R3189">
        <v>50</v>
      </c>
      <c r="S3189">
        <v>5000</v>
      </c>
      <c r="T3189">
        <v>826.40630372931787</v>
      </c>
      <c r="U3189">
        <v>500</v>
      </c>
      <c r="V3189">
        <v>100</v>
      </c>
      <c r="W3189">
        <v>10000</v>
      </c>
      <c r="X3189">
        <v>916.65735784320293</v>
      </c>
      <c r="Y3189">
        <v>400</v>
      </c>
      <c r="Z3189">
        <v>100</v>
      </c>
      <c r="AA3189">
        <v>5000</v>
      </c>
      <c r="AB3189">
        <v>1606.7928110613191</v>
      </c>
      <c r="AC3189">
        <v>1400</v>
      </c>
      <c r="AD3189">
        <v>100</v>
      </c>
      <c r="AE3189">
        <v>8000</v>
      </c>
      <c r="AF3189">
        <v>783.86091768157996</v>
      </c>
      <c r="AG3189">
        <v>400</v>
      </c>
      <c r="AH3189">
        <v>100</v>
      </c>
      <c r="AI3189">
        <v>13000</v>
      </c>
      <c r="AJ3189">
        <v>1566.1636784401351</v>
      </c>
      <c r="AK3189">
        <v>800</v>
      </c>
      <c r="AL3189">
        <v>50</v>
      </c>
      <c r="AM3189">
        <v>15000</v>
      </c>
      <c r="AN3189">
        <v>567.30101324712894</v>
      </c>
      <c r="AO3189">
        <v>500</v>
      </c>
      <c r="AP3189">
        <v>100</v>
      </c>
      <c r="AQ3189">
        <v>7000</v>
      </c>
      <c r="AR3189">
        <v>3056.4881634950311</v>
      </c>
      <c r="AS3189">
        <v>2000</v>
      </c>
      <c r="AT3189">
        <v>100</v>
      </c>
      <c r="AU3189">
        <v>15000</v>
      </c>
      <c r="AV3189">
        <v>2257</v>
      </c>
    </row>
    <row r="3190" spans="1:48">
      <c r="A3190" t="s">
        <v>194</v>
      </c>
      <c r="B3190" t="s">
        <v>199</v>
      </c>
      <c r="C3190" t="s">
        <v>220</v>
      </c>
      <c r="D3190">
        <v>9515.8608378697045</v>
      </c>
      <c r="E3190">
        <v>8000</v>
      </c>
      <c r="F3190">
        <v>200</v>
      </c>
      <c r="G3190">
        <v>50000</v>
      </c>
      <c r="H3190">
        <v>7671.9604661223293</v>
      </c>
      <c r="I3190">
        <v>7000</v>
      </c>
      <c r="J3190">
        <v>830</v>
      </c>
      <c r="K3190">
        <v>20000</v>
      </c>
      <c r="L3190">
        <v>926.5229272797643</v>
      </c>
      <c r="M3190">
        <v>500</v>
      </c>
      <c r="N3190">
        <v>60</v>
      </c>
      <c r="O3190">
        <v>5000</v>
      </c>
      <c r="P3190">
        <v>986.41493975341041</v>
      </c>
      <c r="Q3190">
        <v>500</v>
      </c>
      <c r="R3190">
        <v>70</v>
      </c>
      <c r="S3190">
        <v>5000</v>
      </c>
      <c r="T3190">
        <v>1065.3302071189121</v>
      </c>
      <c r="U3190">
        <v>800</v>
      </c>
      <c r="V3190">
        <v>150</v>
      </c>
      <c r="W3190">
        <v>5000</v>
      </c>
      <c r="X3190">
        <v>814.41266394135278</v>
      </c>
      <c r="Y3190">
        <v>500</v>
      </c>
      <c r="Z3190">
        <v>100</v>
      </c>
      <c r="AA3190">
        <v>3000</v>
      </c>
      <c r="AB3190">
        <v>1974.000841712324</v>
      </c>
      <c r="AC3190">
        <v>1800</v>
      </c>
      <c r="AD3190">
        <v>200</v>
      </c>
      <c r="AE3190">
        <v>7000</v>
      </c>
      <c r="AF3190">
        <v>781.00950208285485</v>
      </c>
      <c r="AG3190">
        <v>1000</v>
      </c>
      <c r="AH3190">
        <v>100</v>
      </c>
      <c r="AI3190">
        <v>2500</v>
      </c>
      <c r="AJ3190">
        <v>3497.0933073215879</v>
      </c>
      <c r="AK3190">
        <v>2750</v>
      </c>
      <c r="AL3190">
        <v>50</v>
      </c>
      <c r="AM3190">
        <v>13000</v>
      </c>
      <c r="AN3190">
        <v>731.79286874050376</v>
      </c>
      <c r="AO3190">
        <v>650</v>
      </c>
      <c r="AP3190">
        <v>100</v>
      </c>
      <c r="AQ3190">
        <v>6000</v>
      </c>
      <c r="AR3190">
        <v>2845.7575958539828</v>
      </c>
      <c r="AS3190">
        <v>2400</v>
      </c>
      <c r="AT3190">
        <v>300</v>
      </c>
      <c r="AU3190">
        <v>10000</v>
      </c>
      <c r="AV3190">
        <v>2257</v>
      </c>
    </row>
    <row r="3191" spans="1:48">
      <c r="A3191" t="s">
        <v>200</v>
      </c>
      <c r="B3191" t="s">
        <v>200</v>
      </c>
      <c r="C3191" t="s">
        <v>200</v>
      </c>
      <c r="D3191">
        <v>8429.0633655529964</v>
      </c>
      <c r="E3191">
        <v>7000</v>
      </c>
      <c r="F3191">
        <v>200</v>
      </c>
      <c r="G3191">
        <v>50000</v>
      </c>
      <c r="H3191">
        <v>6538.8454780640013</v>
      </c>
      <c r="I3191">
        <v>6000</v>
      </c>
      <c r="J3191">
        <v>300</v>
      </c>
      <c r="K3191">
        <v>40000</v>
      </c>
      <c r="L3191">
        <v>505.31036162741259</v>
      </c>
      <c r="M3191">
        <v>350</v>
      </c>
      <c r="N3191">
        <v>50</v>
      </c>
      <c r="O3191">
        <v>5000</v>
      </c>
      <c r="P3191">
        <v>612.76395029911748</v>
      </c>
      <c r="Q3191">
        <v>400</v>
      </c>
      <c r="R3191">
        <v>50</v>
      </c>
      <c r="S3191">
        <v>10000</v>
      </c>
      <c r="T3191">
        <v>950.31513107307535</v>
      </c>
      <c r="U3191">
        <v>700</v>
      </c>
      <c r="V3191">
        <v>100</v>
      </c>
      <c r="W3191">
        <v>25000</v>
      </c>
      <c r="X3191">
        <v>852.92294718564028</v>
      </c>
      <c r="Y3191">
        <v>500</v>
      </c>
      <c r="Z3191">
        <v>100</v>
      </c>
      <c r="AA3191">
        <v>15000</v>
      </c>
      <c r="AB3191">
        <v>1902.7017399560971</v>
      </c>
      <c r="AC3191">
        <v>1500</v>
      </c>
      <c r="AD3191">
        <v>100</v>
      </c>
      <c r="AE3191">
        <v>30000</v>
      </c>
      <c r="AF3191">
        <v>1012.266050592903</v>
      </c>
      <c r="AG3191">
        <v>600</v>
      </c>
      <c r="AH3191">
        <v>100</v>
      </c>
      <c r="AI3191">
        <v>18000</v>
      </c>
      <c r="AJ3191">
        <v>2617.7054498596899</v>
      </c>
      <c r="AK3191">
        <v>1500</v>
      </c>
      <c r="AL3191">
        <v>50</v>
      </c>
      <c r="AM3191">
        <v>100000</v>
      </c>
      <c r="AN3191">
        <v>682.77713804228927</v>
      </c>
      <c r="AO3191">
        <v>600</v>
      </c>
      <c r="AP3191">
        <v>50</v>
      </c>
      <c r="AQ3191">
        <v>7000</v>
      </c>
      <c r="AR3191">
        <v>3451.5921234889129</v>
      </c>
      <c r="AS3191">
        <v>2000</v>
      </c>
      <c r="AT3191">
        <v>100</v>
      </c>
      <c r="AU3191">
        <v>87500</v>
      </c>
      <c r="AV3191">
        <v>2257</v>
      </c>
    </row>
    <row r="3193" spans="1:48" ht="45">
      <c r="A3193" s="22" t="s">
        <v>791</v>
      </c>
    </row>
    <row r="3194" spans="1:48">
      <c r="A3194" t="s">
        <v>184</v>
      </c>
      <c r="B3194" t="s">
        <v>185</v>
      </c>
      <c r="C3194" t="s">
        <v>186</v>
      </c>
      <c r="D3194" t="s">
        <v>187</v>
      </c>
      <c r="E3194" t="s">
        <v>188</v>
      </c>
      <c r="F3194" t="s">
        <v>189</v>
      </c>
      <c r="G3194" t="s">
        <v>190</v>
      </c>
      <c r="H3194" t="s">
        <v>191</v>
      </c>
      <c r="I3194" t="s">
        <v>192</v>
      </c>
      <c r="J3194" t="s">
        <v>193</v>
      </c>
    </row>
    <row r="3195" spans="1:48">
      <c r="A3195" t="s">
        <v>194</v>
      </c>
      <c r="B3195" t="s">
        <v>195</v>
      </c>
      <c r="C3195" t="s">
        <v>196</v>
      </c>
      <c r="D3195" t="s">
        <v>197</v>
      </c>
      <c r="E3195">
        <v>2890.9446047556021</v>
      </c>
      <c r="F3195">
        <v>2500</v>
      </c>
      <c r="G3195">
        <v>0</v>
      </c>
      <c r="H3195">
        <v>42000</v>
      </c>
      <c r="I3195">
        <v>363</v>
      </c>
      <c r="J3195">
        <v>2400</v>
      </c>
    </row>
    <row r="3196" spans="1:48">
      <c r="A3196" t="s">
        <v>194</v>
      </c>
      <c r="B3196" t="s">
        <v>195</v>
      </c>
      <c r="C3196" t="s">
        <v>198</v>
      </c>
      <c r="D3196" t="s">
        <v>197</v>
      </c>
      <c r="E3196">
        <v>2107.188880943062</v>
      </c>
      <c r="F3196">
        <v>2000</v>
      </c>
      <c r="G3196">
        <v>0</v>
      </c>
      <c r="H3196">
        <v>12500</v>
      </c>
      <c r="I3196">
        <v>658</v>
      </c>
      <c r="J3196">
        <v>2400</v>
      </c>
    </row>
    <row r="3197" spans="1:48">
      <c r="A3197" t="s">
        <v>194</v>
      </c>
      <c r="B3197" t="s">
        <v>199</v>
      </c>
      <c r="C3197" t="s">
        <v>196</v>
      </c>
      <c r="D3197" t="s">
        <v>197</v>
      </c>
      <c r="E3197">
        <v>3447.9521237765948</v>
      </c>
      <c r="F3197">
        <v>3000</v>
      </c>
      <c r="G3197">
        <v>0</v>
      </c>
      <c r="H3197">
        <v>40000</v>
      </c>
      <c r="I3197">
        <v>481</v>
      </c>
      <c r="J3197">
        <v>2400</v>
      </c>
    </row>
    <row r="3198" spans="1:48">
      <c r="A3198" t="s">
        <v>194</v>
      </c>
      <c r="B3198" t="s">
        <v>199</v>
      </c>
      <c r="C3198" t="s">
        <v>198</v>
      </c>
      <c r="D3198" t="s">
        <v>197</v>
      </c>
      <c r="E3198">
        <v>2439.428265671404</v>
      </c>
      <c r="F3198">
        <v>2000</v>
      </c>
      <c r="G3198">
        <v>0</v>
      </c>
      <c r="H3198">
        <v>30000</v>
      </c>
      <c r="I3198">
        <v>866</v>
      </c>
      <c r="J3198">
        <v>2400</v>
      </c>
    </row>
    <row r="3199" spans="1:48">
      <c r="A3199" t="s">
        <v>200</v>
      </c>
      <c r="B3199" t="s">
        <v>200</v>
      </c>
      <c r="C3199" t="s">
        <v>200</v>
      </c>
      <c r="D3199" t="s">
        <v>200</v>
      </c>
      <c r="E3199">
        <v>2495.4244330737802</v>
      </c>
      <c r="F3199">
        <v>2000</v>
      </c>
      <c r="G3199">
        <v>0</v>
      </c>
      <c r="H3199">
        <v>42000</v>
      </c>
      <c r="I3199">
        <v>2400</v>
      </c>
      <c r="J3199">
        <v>2400</v>
      </c>
    </row>
    <row r="3201" spans="1:10" ht="45">
      <c r="A3201" s="22" t="s">
        <v>792</v>
      </c>
    </row>
    <row r="3202" spans="1:10">
      <c r="A3202" t="s">
        <v>184</v>
      </c>
      <c r="B3202" t="s">
        <v>185</v>
      </c>
      <c r="C3202" t="s">
        <v>186</v>
      </c>
      <c r="D3202" t="s">
        <v>187</v>
      </c>
      <c r="E3202" t="s">
        <v>188</v>
      </c>
      <c r="F3202" t="s">
        <v>189</v>
      </c>
      <c r="G3202" t="s">
        <v>190</v>
      </c>
      <c r="H3202" t="s">
        <v>191</v>
      </c>
      <c r="I3202" t="s">
        <v>192</v>
      </c>
      <c r="J3202" t="s">
        <v>193</v>
      </c>
    </row>
    <row r="3203" spans="1:10">
      <c r="A3203" t="s">
        <v>194</v>
      </c>
      <c r="B3203" t="s">
        <v>195</v>
      </c>
      <c r="C3203" t="s">
        <v>202</v>
      </c>
      <c r="D3203" t="s">
        <v>203</v>
      </c>
      <c r="E3203">
        <v>2271.433141694125</v>
      </c>
      <c r="F3203">
        <v>2000</v>
      </c>
      <c r="G3203">
        <v>0</v>
      </c>
      <c r="H3203">
        <v>30000</v>
      </c>
      <c r="I3203">
        <v>459</v>
      </c>
      <c r="J3203">
        <v>2400</v>
      </c>
    </row>
    <row r="3204" spans="1:10">
      <c r="A3204" t="s">
        <v>194</v>
      </c>
      <c r="B3204" t="s">
        <v>195</v>
      </c>
      <c r="C3204" t="s">
        <v>204</v>
      </c>
      <c r="D3204" t="s">
        <v>203</v>
      </c>
      <c r="E3204">
        <v>1983.877158949887</v>
      </c>
      <c r="F3204">
        <v>1900</v>
      </c>
      <c r="G3204">
        <v>0</v>
      </c>
      <c r="H3204">
        <v>11000</v>
      </c>
      <c r="I3204">
        <v>268</v>
      </c>
      <c r="J3204">
        <v>2400</v>
      </c>
    </row>
    <row r="3205" spans="1:10">
      <c r="A3205" t="s">
        <v>194</v>
      </c>
      <c r="B3205" t="s">
        <v>195</v>
      </c>
      <c r="C3205" t="s">
        <v>205</v>
      </c>
      <c r="D3205" t="s">
        <v>203</v>
      </c>
      <c r="E3205">
        <v>3008.7891302993912</v>
      </c>
      <c r="F3205">
        <v>2000</v>
      </c>
      <c r="G3205">
        <v>0</v>
      </c>
      <c r="H3205">
        <v>42000</v>
      </c>
      <c r="I3205">
        <v>294</v>
      </c>
      <c r="J3205">
        <v>2400</v>
      </c>
    </row>
    <row r="3206" spans="1:10">
      <c r="A3206" t="s">
        <v>194</v>
      </c>
      <c r="B3206" t="s">
        <v>199</v>
      </c>
      <c r="C3206" t="s">
        <v>202</v>
      </c>
      <c r="D3206" t="s">
        <v>203</v>
      </c>
      <c r="E3206">
        <v>2630.9622126490099</v>
      </c>
      <c r="F3206">
        <v>2000</v>
      </c>
      <c r="G3206">
        <v>0</v>
      </c>
      <c r="H3206">
        <v>25000</v>
      </c>
      <c r="I3206">
        <v>490</v>
      </c>
      <c r="J3206">
        <v>2400</v>
      </c>
    </row>
    <row r="3207" spans="1:10">
      <c r="A3207" t="s">
        <v>194</v>
      </c>
      <c r="B3207" t="s">
        <v>199</v>
      </c>
      <c r="C3207" t="s">
        <v>204</v>
      </c>
      <c r="D3207" t="s">
        <v>203</v>
      </c>
      <c r="E3207">
        <v>2419.3009230700109</v>
      </c>
      <c r="F3207">
        <v>2000</v>
      </c>
      <c r="G3207">
        <v>0</v>
      </c>
      <c r="H3207">
        <v>40000</v>
      </c>
      <c r="I3207">
        <v>404</v>
      </c>
      <c r="J3207">
        <v>2400</v>
      </c>
    </row>
    <row r="3208" spans="1:10">
      <c r="A3208" t="s">
        <v>194</v>
      </c>
      <c r="B3208" t="s">
        <v>199</v>
      </c>
      <c r="C3208" t="s">
        <v>205</v>
      </c>
      <c r="D3208" t="s">
        <v>203</v>
      </c>
      <c r="E3208">
        <v>2854.649228117727</v>
      </c>
      <c r="F3208">
        <v>2000</v>
      </c>
      <c r="G3208">
        <v>0</v>
      </c>
      <c r="H3208">
        <v>35000</v>
      </c>
      <c r="I3208">
        <v>453</v>
      </c>
      <c r="J3208">
        <v>2400</v>
      </c>
    </row>
    <row r="3209" spans="1:10">
      <c r="A3209" t="s">
        <v>200</v>
      </c>
      <c r="B3209" t="s">
        <v>200</v>
      </c>
      <c r="C3209" t="s">
        <v>200</v>
      </c>
      <c r="D3209" t="s">
        <v>200</v>
      </c>
      <c r="E3209">
        <v>2495.4244330737802</v>
      </c>
      <c r="F3209">
        <v>2000</v>
      </c>
      <c r="G3209">
        <v>0</v>
      </c>
      <c r="H3209">
        <v>42000</v>
      </c>
      <c r="I3209">
        <v>2400</v>
      </c>
      <c r="J3209">
        <v>2400</v>
      </c>
    </row>
    <row r="3211" spans="1:10" ht="45">
      <c r="A3211" s="22" t="s">
        <v>793</v>
      </c>
    </row>
    <row r="3212" spans="1:10">
      <c r="A3212" t="s">
        <v>184</v>
      </c>
      <c r="B3212" t="s">
        <v>185</v>
      </c>
      <c r="C3212" t="s">
        <v>186</v>
      </c>
      <c r="D3212" t="s">
        <v>187</v>
      </c>
      <c r="E3212" t="s">
        <v>188</v>
      </c>
      <c r="F3212" t="s">
        <v>189</v>
      </c>
      <c r="G3212" t="s">
        <v>190</v>
      </c>
      <c r="H3212" t="s">
        <v>191</v>
      </c>
      <c r="I3212" t="s">
        <v>192</v>
      </c>
      <c r="J3212" t="s">
        <v>193</v>
      </c>
    </row>
    <row r="3213" spans="1:10">
      <c r="A3213" t="s">
        <v>194</v>
      </c>
      <c r="B3213" t="s">
        <v>195</v>
      </c>
      <c r="C3213" t="s">
        <v>207</v>
      </c>
      <c r="D3213" t="s">
        <v>208</v>
      </c>
      <c r="E3213">
        <v>2580.6634955266782</v>
      </c>
      <c r="F3213">
        <v>2000</v>
      </c>
      <c r="G3213">
        <v>0</v>
      </c>
      <c r="H3213">
        <v>42000</v>
      </c>
      <c r="I3213">
        <v>286</v>
      </c>
      <c r="J3213">
        <v>2400</v>
      </c>
    </row>
    <row r="3214" spans="1:10">
      <c r="A3214" t="s">
        <v>194</v>
      </c>
      <c r="B3214" t="s">
        <v>195</v>
      </c>
      <c r="C3214" t="s">
        <v>209</v>
      </c>
      <c r="D3214" t="s">
        <v>208</v>
      </c>
      <c r="E3214">
        <v>2216.9149632791409</v>
      </c>
      <c r="F3214">
        <v>2000</v>
      </c>
      <c r="G3214">
        <v>0</v>
      </c>
      <c r="H3214">
        <v>30000</v>
      </c>
      <c r="I3214">
        <v>752</v>
      </c>
      <c r="J3214">
        <v>2400</v>
      </c>
    </row>
    <row r="3215" spans="1:10">
      <c r="A3215" t="s">
        <v>194</v>
      </c>
      <c r="B3215" t="s">
        <v>199</v>
      </c>
      <c r="C3215" t="s">
        <v>207</v>
      </c>
      <c r="D3215" t="s">
        <v>208</v>
      </c>
      <c r="E3215">
        <v>3329.245315276085</v>
      </c>
      <c r="F3215">
        <v>2800</v>
      </c>
      <c r="G3215">
        <v>0</v>
      </c>
      <c r="H3215">
        <v>35000</v>
      </c>
      <c r="I3215">
        <v>258</v>
      </c>
      <c r="J3215">
        <v>2400</v>
      </c>
    </row>
    <row r="3216" spans="1:10">
      <c r="A3216" t="s">
        <v>194</v>
      </c>
      <c r="B3216" t="s">
        <v>199</v>
      </c>
      <c r="C3216" t="s">
        <v>209</v>
      </c>
      <c r="D3216" t="s">
        <v>208</v>
      </c>
      <c r="E3216">
        <v>2531.306828969206</v>
      </c>
      <c r="F3216">
        <v>2000</v>
      </c>
      <c r="G3216">
        <v>0</v>
      </c>
      <c r="H3216">
        <v>40000</v>
      </c>
      <c r="I3216">
        <v>1104</v>
      </c>
      <c r="J3216">
        <v>2400</v>
      </c>
    </row>
    <row r="3217" spans="1:10">
      <c r="A3217" t="s">
        <v>200</v>
      </c>
      <c r="B3217" t="s">
        <v>200</v>
      </c>
      <c r="C3217" t="s">
        <v>200</v>
      </c>
      <c r="D3217" t="s">
        <v>200</v>
      </c>
      <c r="E3217">
        <v>2495.4244330737802</v>
      </c>
      <c r="F3217">
        <v>2000</v>
      </c>
      <c r="G3217">
        <v>0</v>
      </c>
      <c r="H3217">
        <v>42000</v>
      </c>
      <c r="I3217">
        <v>2400</v>
      </c>
      <c r="J3217">
        <v>2400</v>
      </c>
    </row>
    <row r="3219" spans="1:10" ht="45">
      <c r="A3219" s="22" t="s">
        <v>794</v>
      </c>
    </row>
    <row r="3220" spans="1:10">
      <c r="A3220" t="s">
        <v>184</v>
      </c>
      <c r="B3220" t="s">
        <v>185</v>
      </c>
      <c r="C3220" t="s">
        <v>188</v>
      </c>
      <c r="D3220" t="s">
        <v>189</v>
      </c>
      <c r="E3220" t="s">
        <v>190</v>
      </c>
      <c r="F3220" t="s">
        <v>191</v>
      </c>
      <c r="G3220" t="s">
        <v>192</v>
      </c>
      <c r="H3220" t="s">
        <v>193</v>
      </c>
    </row>
    <row r="3221" spans="1:10">
      <c r="A3221" t="s">
        <v>194</v>
      </c>
      <c r="B3221" t="s">
        <v>195</v>
      </c>
      <c r="C3221">
        <v>2312.546664700842</v>
      </c>
      <c r="D3221">
        <v>2000</v>
      </c>
      <c r="E3221">
        <v>0</v>
      </c>
      <c r="F3221">
        <v>42000</v>
      </c>
      <c r="G3221">
        <v>1038</v>
      </c>
      <c r="H3221">
        <v>2400</v>
      </c>
    </row>
    <row r="3222" spans="1:10">
      <c r="A3222" t="s">
        <v>194</v>
      </c>
      <c r="B3222" t="s">
        <v>199</v>
      </c>
      <c r="C3222">
        <v>2629.393531273156</v>
      </c>
      <c r="D3222">
        <v>2000</v>
      </c>
      <c r="E3222">
        <v>0</v>
      </c>
      <c r="F3222">
        <v>40000</v>
      </c>
      <c r="G3222">
        <v>1362</v>
      </c>
      <c r="H3222">
        <v>2400</v>
      </c>
    </row>
    <row r="3223" spans="1:10">
      <c r="A3223" t="s">
        <v>200</v>
      </c>
      <c r="B3223" t="s">
        <v>200</v>
      </c>
      <c r="C3223">
        <v>2495.4244330737802</v>
      </c>
      <c r="D3223">
        <v>2000</v>
      </c>
      <c r="E3223">
        <v>0</v>
      </c>
      <c r="F3223">
        <v>42000</v>
      </c>
      <c r="G3223">
        <v>2400</v>
      </c>
      <c r="H3223">
        <v>2400</v>
      </c>
    </row>
    <row r="3225" spans="1:10" ht="45">
      <c r="A3225" s="22" t="s">
        <v>795</v>
      </c>
    </row>
    <row r="3226" spans="1:10">
      <c r="A3226" t="s">
        <v>184</v>
      </c>
      <c r="B3226" t="s">
        <v>185</v>
      </c>
      <c r="C3226" t="s">
        <v>186</v>
      </c>
      <c r="D3226" t="s">
        <v>187</v>
      </c>
      <c r="E3226" t="s">
        <v>188</v>
      </c>
      <c r="F3226" t="s">
        <v>189</v>
      </c>
      <c r="G3226" t="s">
        <v>190</v>
      </c>
      <c r="H3226" t="s">
        <v>191</v>
      </c>
      <c r="I3226" t="s">
        <v>192</v>
      </c>
      <c r="J3226" t="s">
        <v>193</v>
      </c>
    </row>
    <row r="3227" spans="1:10">
      <c r="A3227" t="s">
        <v>194</v>
      </c>
      <c r="B3227" t="s">
        <v>195</v>
      </c>
      <c r="C3227" t="s">
        <v>212</v>
      </c>
      <c r="D3227" t="s">
        <v>213</v>
      </c>
      <c r="E3227">
        <v>2264.155884000294</v>
      </c>
      <c r="F3227">
        <v>2000</v>
      </c>
      <c r="G3227">
        <v>0</v>
      </c>
      <c r="H3227">
        <v>30000</v>
      </c>
      <c r="I3227">
        <v>767</v>
      </c>
      <c r="J3227">
        <v>2400</v>
      </c>
    </row>
    <row r="3228" spans="1:10">
      <c r="A3228" t="s">
        <v>194</v>
      </c>
      <c r="B3228" t="s">
        <v>195</v>
      </c>
      <c r="C3228" t="s">
        <v>214</v>
      </c>
      <c r="D3228" t="s">
        <v>213</v>
      </c>
      <c r="E3228">
        <v>1550.0311462693951</v>
      </c>
      <c r="F3228">
        <v>1500</v>
      </c>
      <c r="G3228">
        <v>0</v>
      </c>
      <c r="H3228">
        <v>20000</v>
      </c>
      <c r="I3228">
        <v>147</v>
      </c>
      <c r="J3228">
        <v>2400</v>
      </c>
    </row>
    <row r="3229" spans="1:10">
      <c r="A3229" t="s">
        <v>194</v>
      </c>
      <c r="B3229" t="s">
        <v>195</v>
      </c>
      <c r="C3229" t="s">
        <v>215</v>
      </c>
      <c r="D3229" t="s">
        <v>213</v>
      </c>
      <c r="E3229">
        <v>4106.5458039028754</v>
      </c>
      <c r="F3229">
        <v>4000</v>
      </c>
      <c r="G3229">
        <v>0</v>
      </c>
      <c r="H3229">
        <v>42000</v>
      </c>
      <c r="I3229">
        <v>124</v>
      </c>
      <c r="J3229">
        <v>2400</v>
      </c>
    </row>
    <row r="3230" spans="1:10">
      <c r="A3230" t="s">
        <v>194</v>
      </c>
      <c r="B3230" t="s">
        <v>199</v>
      </c>
      <c r="C3230" t="s">
        <v>212</v>
      </c>
      <c r="D3230" t="s">
        <v>213</v>
      </c>
      <c r="E3230">
        <v>2651.229654132444</v>
      </c>
      <c r="F3230">
        <v>2000</v>
      </c>
      <c r="G3230">
        <v>0</v>
      </c>
      <c r="H3230">
        <v>40000</v>
      </c>
      <c r="I3230">
        <v>1029</v>
      </c>
      <c r="J3230">
        <v>2400</v>
      </c>
    </row>
    <row r="3231" spans="1:10">
      <c r="A3231" t="s">
        <v>194</v>
      </c>
      <c r="B3231" t="s">
        <v>199</v>
      </c>
      <c r="C3231" t="s">
        <v>214</v>
      </c>
      <c r="D3231" t="s">
        <v>213</v>
      </c>
      <c r="E3231">
        <v>1895.0725725785901</v>
      </c>
      <c r="F3231">
        <v>1800</v>
      </c>
      <c r="G3231">
        <v>0</v>
      </c>
      <c r="H3231">
        <v>16000</v>
      </c>
      <c r="I3231">
        <v>173</v>
      </c>
      <c r="J3231">
        <v>2400</v>
      </c>
    </row>
    <row r="3232" spans="1:10">
      <c r="A3232" t="s">
        <v>194</v>
      </c>
      <c r="B3232" t="s">
        <v>199</v>
      </c>
      <c r="C3232" t="s">
        <v>215</v>
      </c>
      <c r="D3232" t="s">
        <v>213</v>
      </c>
      <c r="E3232">
        <v>3766.5188163775751</v>
      </c>
      <c r="F3232">
        <v>3500</v>
      </c>
      <c r="G3232">
        <v>0</v>
      </c>
      <c r="H3232">
        <v>30000</v>
      </c>
      <c r="I3232">
        <v>160</v>
      </c>
      <c r="J3232">
        <v>2400</v>
      </c>
    </row>
    <row r="3233" spans="1:14">
      <c r="A3233" t="s">
        <v>200</v>
      </c>
      <c r="B3233" t="s">
        <v>200</v>
      </c>
      <c r="C3233" t="s">
        <v>200</v>
      </c>
      <c r="D3233" t="s">
        <v>200</v>
      </c>
      <c r="E3233">
        <v>2495.4244330737802</v>
      </c>
      <c r="F3233">
        <v>2000</v>
      </c>
      <c r="G3233">
        <v>0</v>
      </c>
      <c r="H3233">
        <v>42000</v>
      </c>
      <c r="I3233">
        <v>2400</v>
      </c>
      <c r="J3233">
        <v>2400</v>
      </c>
    </row>
    <row r="3235" spans="1:14" ht="45">
      <c r="A3235" s="22" t="s">
        <v>796</v>
      </c>
    </row>
    <row r="3236" spans="1:14">
      <c r="A3236" t="s">
        <v>184</v>
      </c>
      <c r="B3236" t="s">
        <v>185</v>
      </c>
      <c r="C3236" t="s">
        <v>186</v>
      </c>
      <c r="D3236" t="s">
        <v>187</v>
      </c>
      <c r="E3236" t="s">
        <v>188</v>
      </c>
      <c r="F3236" t="s">
        <v>189</v>
      </c>
      <c r="G3236" t="s">
        <v>190</v>
      </c>
      <c r="H3236" t="s">
        <v>191</v>
      </c>
      <c r="I3236" t="s">
        <v>192</v>
      </c>
      <c r="J3236" t="s">
        <v>193</v>
      </c>
    </row>
    <row r="3237" spans="1:14">
      <c r="A3237" t="s">
        <v>194</v>
      </c>
      <c r="B3237" t="s">
        <v>195</v>
      </c>
      <c r="C3237" t="s">
        <v>217</v>
      </c>
      <c r="D3237" t="s">
        <v>218</v>
      </c>
      <c r="E3237">
        <v>2653.2001460895372</v>
      </c>
      <c r="F3237">
        <v>2000</v>
      </c>
      <c r="G3237">
        <v>0</v>
      </c>
      <c r="H3237">
        <v>30000</v>
      </c>
      <c r="I3237">
        <v>442</v>
      </c>
      <c r="J3237">
        <v>2400</v>
      </c>
    </row>
    <row r="3238" spans="1:14">
      <c r="A3238" t="s">
        <v>194</v>
      </c>
      <c r="B3238" t="s">
        <v>195</v>
      </c>
      <c r="C3238" t="s">
        <v>219</v>
      </c>
      <c r="D3238" t="s">
        <v>218</v>
      </c>
      <c r="E3238">
        <v>2132.5800020322549</v>
      </c>
      <c r="F3238">
        <v>2000</v>
      </c>
      <c r="G3238">
        <v>0</v>
      </c>
      <c r="H3238">
        <v>42000</v>
      </c>
      <c r="I3238">
        <v>442</v>
      </c>
      <c r="J3238">
        <v>2400</v>
      </c>
    </row>
    <row r="3239" spans="1:14">
      <c r="A3239" t="s">
        <v>194</v>
      </c>
      <c r="B3239" t="s">
        <v>195</v>
      </c>
      <c r="C3239" t="s">
        <v>220</v>
      </c>
      <c r="D3239" t="s">
        <v>218</v>
      </c>
      <c r="E3239">
        <v>1862.253648593244</v>
      </c>
      <c r="F3239">
        <v>1750</v>
      </c>
      <c r="G3239">
        <v>0</v>
      </c>
      <c r="H3239">
        <v>10000</v>
      </c>
      <c r="I3239">
        <v>153</v>
      </c>
      <c r="J3239">
        <v>2400</v>
      </c>
    </row>
    <row r="3240" spans="1:14">
      <c r="A3240" t="s">
        <v>194</v>
      </c>
      <c r="B3240" t="s">
        <v>199</v>
      </c>
      <c r="C3240" t="s">
        <v>217</v>
      </c>
      <c r="D3240" t="s">
        <v>218</v>
      </c>
      <c r="E3240">
        <v>2700.8167311278162</v>
      </c>
      <c r="F3240">
        <v>2000</v>
      </c>
      <c r="G3240">
        <v>0</v>
      </c>
      <c r="H3240">
        <v>40000</v>
      </c>
      <c r="I3240">
        <v>747</v>
      </c>
      <c r="J3240">
        <v>2400</v>
      </c>
    </row>
    <row r="3241" spans="1:14">
      <c r="A3241" t="s">
        <v>194</v>
      </c>
      <c r="B3241" t="s">
        <v>199</v>
      </c>
      <c r="C3241" t="s">
        <v>219</v>
      </c>
      <c r="D3241" t="s">
        <v>218</v>
      </c>
      <c r="E3241">
        <v>2480.7937711181821</v>
      </c>
      <c r="F3241">
        <v>2000</v>
      </c>
      <c r="G3241">
        <v>0</v>
      </c>
      <c r="H3241">
        <v>18000</v>
      </c>
      <c r="I3241">
        <v>417</v>
      </c>
      <c r="J3241">
        <v>2400</v>
      </c>
    </row>
    <row r="3242" spans="1:14">
      <c r="A3242" t="s">
        <v>194</v>
      </c>
      <c r="B3242" t="s">
        <v>199</v>
      </c>
      <c r="C3242" t="s">
        <v>220</v>
      </c>
      <c r="D3242" t="s">
        <v>218</v>
      </c>
      <c r="E3242">
        <v>2585.110010587568</v>
      </c>
      <c r="F3242">
        <v>2000</v>
      </c>
      <c r="G3242">
        <v>0</v>
      </c>
      <c r="H3242">
        <v>20000</v>
      </c>
      <c r="I3242">
        <v>198</v>
      </c>
      <c r="J3242">
        <v>2400</v>
      </c>
    </row>
    <row r="3243" spans="1:14">
      <c r="A3243" t="s">
        <v>200</v>
      </c>
      <c r="B3243" t="s">
        <v>200</v>
      </c>
      <c r="C3243" t="s">
        <v>200</v>
      </c>
      <c r="D3243" t="s">
        <v>200</v>
      </c>
      <c r="E3243">
        <v>2495.4244330737802</v>
      </c>
      <c r="F3243">
        <v>2000</v>
      </c>
      <c r="G3243">
        <v>0</v>
      </c>
      <c r="H3243">
        <v>42000</v>
      </c>
      <c r="I3243">
        <v>2400</v>
      </c>
      <c r="J3243">
        <v>2400</v>
      </c>
    </row>
    <row r="3245" spans="1:14" ht="45">
      <c r="A3245" s="22" t="s">
        <v>797</v>
      </c>
    </row>
    <row r="3246" spans="1:14">
      <c r="A3246" t="s">
        <v>185</v>
      </c>
      <c r="B3246" t="s">
        <v>186</v>
      </c>
      <c r="C3246" t="s">
        <v>192</v>
      </c>
      <c r="D3246" t="s">
        <v>184</v>
      </c>
      <c r="E3246" t="s">
        <v>193</v>
      </c>
      <c r="F3246" t="s">
        <v>798</v>
      </c>
      <c r="G3246" t="s">
        <v>799</v>
      </c>
      <c r="H3246" t="s">
        <v>570</v>
      </c>
      <c r="I3246" t="s">
        <v>800</v>
      </c>
      <c r="J3246" t="s">
        <v>801</v>
      </c>
      <c r="K3246" t="s">
        <v>802</v>
      </c>
      <c r="L3246" t="s">
        <v>329</v>
      </c>
      <c r="M3246" t="s">
        <v>247</v>
      </c>
      <c r="N3246" t="s">
        <v>803</v>
      </c>
    </row>
    <row r="3247" spans="1:14">
      <c r="A3247" t="s">
        <v>195</v>
      </c>
      <c r="B3247" t="s">
        <v>196</v>
      </c>
      <c r="C3247">
        <v>409</v>
      </c>
      <c r="D3247" t="s">
        <v>194</v>
      </c>
      <c r="E3247">
        <v>2661</v>
      </c>
      <c r="F3247" s="3">
        <v>6.1699999999999998E-2</v>
      </c>
      <c r="G3247" s="3">
        <v>0.12540000000000001</v>
      </c>
      <c r="H3247" s="3">
        <v>2.2800000000000001E-2</v>
      </c>
      <c r="I3247" s="3">
        <v>0.23960000000000001</v>
      </c>
      <c r="J3247" s="3">
        <v>0.77900000000000003</v>
      </c>
      <c r="K3247" s="3">
        <v>0.51119999999999999</v>
      </c>
      <c r="L3247" s="3">
        <v>6.0199999999999997E-2</v>
      </c>
      <c r="M3247" s="3">
        <v>3.8E-3</v>
      </c>
      <c r="N3247" s="3">
        <v>0.28320000000000001</v>
      </c>
    </row>
    <row r="3248" spans="1:14">
      <c r="A3248" t="s">
        <v>195</v>
      </c>
      <c r="B3248" t="s">
        <v>198</v>
      </c>
      <c r="C3248">
        <v>751</v>
      </c>
      <c r="D3248" t="s">
        <v>194</v>
      </c>
      <c r="E3248">
        <v>2661</v>
      </c>
      <c r="F3248" s="3">
        <v>5.04E-2</v>
      </c>
      <c r="G3248" s="3">
        <v>0.1411</v>
      </c>
      <c r="H3248" s="3">
        <v>2.8999999999999998E-3</v>
      </c>
      <c r="I3248" s="3">
        <v>0.33760000000000001</v>
      </c>
      <c r="J3248" s="3">
        <v>0.79669999999999996</v>
      </c>
      <c r="K3248" s="3">
        <v>0.57979999999999998</v>
      </c>
      <c r="L3248" s="3">
        <v>5.96E-2</v>
      </c>
      <c r="M3248" s="3">
        <v>7.4000000000000003E-3</v>
      </c>
      <c r="N3248" s="3">
        <v>0.14849999999999999</v>
      </c>
    </row>
    <row r="3249" spans="1:14">
      <c r="A3249" t="s">
        <v>199</v>
      </c>
      <c r="B3249" t="s">
        <v>196</v>
      </c>
      <c r="C3249">
        <v>523</v>
      </c>
      <c r="D3249" t="s">
        <v>194</v>
      </c>
      <c r="E3249">
        <v>2661</v>
      </c>
      <c r="F3249" s="3">
        <v>0.13969999999999999</v>
      </c>
      <c r="G3249" s="3">
        <v>0.13750000000000001</v>
      </c>
      <c r="H3249" s="3">
        <v>4.3E-3</v>
      </c>
      <c r="I3249" s="3">
        <v>0.36980000000000002</v>
      </c>
      <c r="J3249" s="3">
        <v>0.7954</v>
      </c>
      <c r="K3249" s="3">
        <v>0.68089999999999995</v>
      </c>
      <c r="L3249" s="3">
        <v>2.5600000000000001E-2</v>
      </c>
      <c r="N3249" s="3">
        <v>0.3765</v>
      </c>
    </row>
    <row r="3250" spans="1:14">
      <c r="A3250" t="s">
        <v>199</v>
      </c>
      <c r="B3250" t="s">
        <v>198</v>
      </c>
      <c r="C3250">
        <v>939</v>
      </c>
      <c r="D3250" t="s">
        <v>194</v>
      </c>
      <c r="E3250">
        <v>2661</v>
      </c>
      <c r="F3250" s="3">
        <v>0.18099999999999999</v>
      </c>
      <c r="G3250" s="3">
        <v>9.4899999999999998E-2</v>
      </c>
      <c r="H3250" s="3">
        <v>1.8E-3</v>
      </c>
      <c r="I3250" s="3">
        <v>0.39279999999999998</v>
      </c>
      <c r="J3250" s="3">
        <v>0.81179999999999997</v>
      </c>
      <c r="K3250" s="3">
        <v>0.73629999999999995</v>
      </c>
      <c r="L3250" s="3">
        <v>2.3300000000000001E-2</v>
      </c>
      <c r="M3250" s="3">
        <v>5.9999999999999995E-4</v>
      </c>
      <c r="N3250" s="3">
        <v>0.27029999999999998</v>
      </c>
    </row>
    <row r="3251" spans="1:14">
      <c r="A3251" t="s">
        <v>200</v>
      </c>
      <c r="B3251" t="s">
        <v>200</v>
      </c>
      <c r="C3251">
        <v>2661</v>
      </c>
      <c r="D3251" t="s">
        <v>200</v>
      </c>
      <c r="E3251">
        <v>2661</v>
      </c>
      <c r="F3251" s="3">
        <v>0.1198</v>
      </c>
      <c r="G3251" s="3">
        <v>0.1177</v>
      </c>
      <c r="H3251" s="3">
        <v>5.0000000000000001E-3</v>
      </c>
      <c r="I3251" s="3">
        <v>0.3543</v>
      </c>
      <c r="J3251" s="3">
        <v>0.80130000000000001</v>
      </c>
      <c r="K3251" s="3">
        <v>0.6522</v>
      </c>
      <c r="L3251" s="3">
        <v>3.9800000000000002E-2</v>
      </c>
      <c r="M3251" s="3">
        <v>3.0999999999999999E-3</v>
      </c>
      <c r="N3251" s="3">
        <v>0.2429</v>
      </c>
    </row>
    <row r="3253" spans="1:14" ht="45">
      <c r="A3253" s="22" t="s">
        <v>804</v>
      </c>
    </row>
    <row r="3254" spans="1:14">
      <c r="A3254" t="s">
        <v>185</v>
      </c>
      <c r="B3254" t="s">
        <v>186</v>
      </c>
      <c r="C3254" t="s">
        <v>192</v>
      </c>
      <c r="D3254" t="s">
        <v>184</v>
      </c>
      <c r="E3254" t="s">
        <v>193</v>
      </c>
      <c r="F3254" t="s">
        <v>798</v>
      </c>
      <c r="G3254" t="s">
        <v>799</v>
      </c>
      <c r="H3254" t="s">
        <v>570</v>
      </c>
      <c r="I3254" t="s">
        <v>800</v>
      </c>
      <c r="J3254" t="s">
        <v>801</v>
      </c>
      <c r="K3254" t="s">
        <v>802</v>
      </c>
      <c r="L3254" t="s">
        <v>329</v>
      </c>
      <c r="M3254" t="s">
        <v>247</v>
      </c>
      <c r="N3254" t="s">
        <v>803</v>
      </c>
    </row>
    <row r="3255" spans="1:14">
      <c r="A3255" t="s">
        <v>195</v>
      </c>
      <c r="B3255" t="s">
        <v>202</v>
      </c>
      <c r="C3255">
        <v>528</v>
      </c>
      <c r="D3255" t="s">
        <v>194</v>
      </c>
      <c r="E3255">
        <v>2661</v>
      </c>
      <c r="F3255" s="3">
        <v>5.11E-2</v>
      </c>
      <c r="G3255" s="3">
        <v>0.13139999999999999</v>
      </c>
      <c r="H3255" s="3">
        <v>8.3999999999999995E-3</v>
      </c>
      <c r="I3255" s="3">
        <v>0.3004</v>
      </c>
      <c r="J3255" s="3">
        <v>0.79349999999999998</v>
      </c>
      <c r="K3255" s="3">
        <v>0.53990000000000005</v>
      </c>
      <c r="L3255" s="3">
        <v>6.6000000000000003E-2</v>
      </c>
      <c r="M3255" s="3">
        <v>7.6E-3</v>
      </c>
      <c r="N3255" s="3">
        <v>0.2077</v>
      </c>
    </row>
    <row r="3256" spans="1:14">
      <c r="A3256" t="s">
        <v>195</v>
      </c>
      <c r="B3256" t="s">
        <v>204</v>
      </c>
      <c r="C3256">
        <v>300</v>
      </c>
      <c r="D3256" t="s">
        <v>194</v>
      </c>
      <c r="E3256">
        <v>2661</v>
      </c>
      <c r="F3256" s="3">
        <v>3.7900000000000003E-2</v>
      </c>
      <c r="G3256" s="3">
        <v>0.15140000000000001</v>
      </c>
      <c r="H3256" s="3">
        <v>1.09E-2</v>
      </c>
      <c r="I3256" s="3">
        <v>0.3337</v>
      </c>
      <c r="J3256" s="3">
        <v>0.76370000000000005</v>
      </c>
      <c r="K3256" s="3">
        <v>0.65480000000000005</v>
      </c>
      <c r="L3256" s="3">
        <v>5.1499999999999997E-2</v>
      </c>
      <c r="M3256" s="3">
        <v>2E-3</v>
      </c>
      <c r="N3256" s="3">
        <v>0.1234</v>
      </c>
    </row>
    <row r="3257" spans="1:14">
      <c r="A3257" t="s">
        <v>195</v>
      </c>
      <c r="B3257" t="s">
        <v>205</v>
      </c>
      <c r="C3257">
        <v>332</v>
      </c>
      <c r="D3257" t="s">
        <v>194</v>
      </c>
      <c r="E3257">
        <v>2661</v>
      </c>
      <c r="F3257" s="3">
        <v>8.8900000000000007E-2</v>
      </c>
      <c r="G3257" s="3">
        <v>0.14000000000000001</v>
      </c>
      <c r="H3257" s="3">
        <v>3.0999999999999999E-3</v>
      </c>
      <c r="I3257" s="3">
        <v>0.32800000000000001</v>
      </c>
      <c r="J3257" s="3">
        <v>0.82940000000000003</v>
      </c>
      <c r="K3257" s="3">
        <v>0.51570000000000005</v>
      </c>
      <c r="L3257" s="3">
        <v>4.2999999999999997E-2</v>
      </c>
      <c r="M3257" s="3">
        <v>7.4999999999999997E-3</v>
      </c>
      <c r="N3257" s="3">
        <v>0.17180000000000001</v>
      </c>
    </row>
    <row r="3258" spans="1:14">
      <c r="A3258" t="s">
        <v>199</v>
      </c>
      <c r="B3258" t="s">
        <v>202</v>
      </c>
      <c r="C3258">
        <v>536</v>
      </c>
      <c r="D3258" t="s">
        <v>194</v>
      </c>
      <c r="E3258">
        <v>2661</v>
      </c>
      <c r="F3258" s="3">
        <v>0.20069999999999999</v>
      </c>
      <c r="G3258" s="3">
        <v>0.1023</v>
      </c>
      <c r="H3258" s="3">
        <v>1E-3</v>
      </c>
      <c r="I3258" s="3">
        <v>0.40260000000000001</v>
      </c>
      <c r="J3258" s="3">
        <v>0.78720000000000001</v>
      </c>
      <c r="K3258" s="3">
        <v>0.73019999999999996</v>
      </c>
      <c r="L3258" s="3">
        <v>2.5499999999999998E-2</v>
      </c>
      <c r="M3258" s="3">
        <v>5.9999999999999995E-4</v>
      </c>
      <c r="N3258" s="3">
        <v>0.28320000000000001</v>
      </c>
    </row>
    <row r="3259" spans="1:14">
      <c r="A3259" t="s">
        <v>199</v>
      </c>
      <c r="B3259" t="s">
        <v>204</v>
      </c>
      <c r="C3259">
        <v>425</v>
      </c>
      <c r="D3259" t="s">
        <v>194</v>
      </c>
      <c r="E3259">
        <v>2661</v>
      </c>
      <c r="F3259" s="3">
        <v>0.1283</v>
      </c>
      <c r="G3259" s="3">
        <v>7.3200000000000001E-2</v>
      </c>
      <c r="H3259" s="3">
        <v>2.5999999999999999E-3</v>
      </c>
      <c r="I3259" s="3">
        <v>0.36980000000000002</v>
      </c>
      <c r="J3259" s="3">
        <v>0.81479999999999997</v>
      </c>
      <c r="K3259" s="3">
        <v>0.74170000000000003</v>
      </c>
      <c r="L3259" s="3">
        <v>2.64E-2</v>
      </c>
      <c r="N3259" s="3">
        <v>0.3075</v>
      </c>
    </row>
    <row r="3260" spans="1:14">
      <c r="A3260" t="s">
        <v>199</v>
      </c>
      <c r="B3260" t="s">
        <v>205</v>
      </c>
      <c r="C3260">
        <v>501</v>
      </c>
      <c r="D3260" t="s">
        <v>194</v>
      </c>
      <c r="E3260">
        <v>2661</v>
      </c>
      <c r="F3260" s="3">
        <v>0.12239999999999999</v>
      </c>
      <c r="G3260" s="3">
        <v>0.13930000000000001</v>
      </c>
      <c r="H3260" s="3">
        <v>6.1999999999999998E-3</v>
      </c>
      <c r="I3260" s="3">
        <v>0.35709999999999997</v>
      </c>
      <c r="J3260" s="3">
        <v>0.88249999999999995</v>
      </c>
      <c r="K3260" s="3">
        <v>0.69199999999999995</v>
      </c>
      <c r="L3260" s="3">
        <v>1.4200000000000001E-2</v>
      </c>
      <c r="M3260" s="3">
        <v>6.9999999999999999E-4</v>
      </c>
      <c r="N3260" s="3">
        <v>0.29580000000000001</v>
      </c>
    </row>
    <row r="3261" spans="1:14">
      <c r="A3261" t="s">
        <v>200</v>
      </c>
      <c r="B3261" t="s">
        <v>200</v>
      </c>
      <c r="C3261">
        <v>2661</v>
      </c>
      <c r="D3261" t="s">
        <v>200</v>
      </c>
      <c r="E3261">
        <v>2661</v>
      </c>
      <c r="F3261" s="3">
        <v>0.1198</v>
      </c>
      <c r="G3261" s="3">
        <v>0.1177</v>
      </c>
      <c r="H3261" s="3">
        <v>5.0000000000000001E-3</v>
      </c>
      <c r="I3261" s="3">
        <v>0.3543</v>
      </c>
      <c r="J3261" s="3">
        <v>0.80130000000000001</v>
      </c>
      <c r="K3261" s="3">
        <v>0.6522</v>
      </c>
      <c r="L3261" s="3">
        <v>3.9800000000000002E-2</v>
      </c>
      <c r="M3261" s="3">
        <v>3.0999999999999999E-3</v>
      </c>
      <c r="N3261" s="3">
        <v>0.2429</v>
      </c>
    </row>
    <row r="3263" spans="1:14" ht="45">
      <c r="A3263" s="22" t="s">
        <v>805</v>
      </c>
    </row>
    <row r="3264" spans="1:14">
      <c r="A3264" t="s">
        <v>185</v>
      </c>
      <c r="B3264" t="s">
        <v>186</v>
      </c>
      <c r="C3264" t="s">
        <v>192</v>
      </c>
      <c r="D3264" t="s">
        <v>184</v>
      </c>
      <c r="E3264" t="s">
        <v>193</v>
      </c>
      <c r="F3264" t="s">
        <v>798</v>
      </c>
      <c r="G3264" t="s">
        <v>799</v>
      </c>
      <c r="H3264" t="s">
        <v>570</v>
      </c>
      <c r="I3264" t="s">
        <v>800</v>
      </c>
      <c r="J3264" t="s">
        <v>801</v>
      </c>
      <c r="K3264" t="s">
        <v>802</v>
      </c>
      <c r="L3264" t="s">
        <v>329</v>
      </c>
      <c r="M3264" t="s">
        <v>247</v>
      </c>
      <c r="N3264" t="s">
        <v>803</v>
      </c>
    </row>
    <row r="3265" spans="1:14">
      <c r="A3265" t="s">
        <v>195</v>
      </c>
      <c r="B3265" t="s">
        <v>207</v>
      </c>
      <c r="C3265">
        <v>317</v>
      </c>
      <c r="D3265" t="s">
        <v>194</v>
      </c>
      <c r="E3265">
        <v>2661</v>
      </c>
      <c r="F3265" s="3">
        <v>5.6000000000000001E-2</v>
      </c>
      <c r="G3265" s="3">
        <v>0.14910000000000001</v>
      </c>
      <c r="H3265" s="3">
        <v>1.2200000000000001E-2</v>
      </c>
      <c r="I3265" s="3">
        <v>0.2296</v>
      </c>
      <c r="J3265" s="3">
        <v>0.86309999999999998</v>
      </c>
      <c r="K3265" s="3">
        <v>0.43530000000000002</v>
      </c>
      <c r="L3265" s="3">
        <v>5.6300000000000003E-2</v>
      </c>
      <c r="M3265" s="3">
        <v>5.0000000000000001E-3</v>
      </c>
      <c r="N3265" s="3">
        <v>0.25490000000000002</v>
      </c>
    </row>
    <row r="3266" spans="1:14">
      <c r="A3266" t="s">
        <v>195</v>
      </c>
      <c r="B3266" t="s">
        <v>209</v>
      </c>
      <c r="C3266">
        <v>864</v>
      </c>
      <c r="D3266" t="s">
        <v>194</v>
      </c>
      <c r="E3266">
        <v>2661</v>
      </c>
      <c r="F3266" s="3">
        <v>5.2200000000000003E-2</v>
      </c>
      <c r="G3266" s="3">
        <v>0.13170000000000001</v>
      </c>
      <c r="H3266" s="3">
        <v>6.8999999999999999E-3</v>
      </c>
      <c r="I3266" s="3">
        <v>0.33989999999999998</v>
      </c>
      <c r="J3266" s="3">
        <v>0.76829999999999998</v>
      </c>
      <c r="K3266" s="3">
        <v>0.60360000000000003</v>
      </c>
      <c r="L3266" s="3">
        <v>6.08E-2</v>
      </c>
      <c r="M3266" s="3">
        <v>6.8999999999999999E-3</v>
      </c>
      <c r="N3266" s="3">
        <v>0.15989999999999999</v>
      </c>
    </row>
    <row r="3267" spans="1:14">
      <c r="A3267" t="s">
        <v>199</v>
      </c>
      <c r="B3267" t="s">
        <v>207</v>
      </c>
      <c r="C3267">
        <v>283</v>
      </c>
      <c r="D3267" t="s">
        <v>194</v>
      </c>
      <c r="E3267">
        <v>2661</v>
      </c>
      <c r="F3267" s="3">
        <v>0.15110000000000001</v>
      </c>
      <c r="G3267" s="3">
        <v>0.1726</v>
      </c>
      <c r="H3267" s="3">
        <v>4.4999999999999997E-3</v>
      </c>
      <c r="I3267" s="3">
        <v>0.40710000000000002</v>
      </c>
      <c r="J3267" s="3">
        <v>0.90710000000000002</v>
      </c>
      <c r="K3267" s="3">
        <v>0.66779999999999995</v>
      </c>
      <c r="L3267" s="3">
        <v>5.8999999999999999E-3</v>
      </c>
      <c r="M3267" s="3">
        <v>8.9999999999999998E-4</v>
      </c>
      <c r="N3267" s="3">
        <v>0.36520000000000002</v>
      </c>
    </row>
    <row r="3268" spans="1:14">
      <c r="A3268" t="s">
        <v>199</v>
      </c>
      <c r="B3268" t="s">
        <v>209</v>
      </c>
      <c r="C3268">
        <v>1197</v>
      </c>
      <c r="D3268" t="s">
        <v>194</v>
      </c>
      <c r="E3268">
        <v>2661</v>
      </c>
      <c r="F3268" s="3">
        <v>0.17610000000000001</v>
      </c>
      <c r="G3268" s="3">
        <v>9.3100000000000002E-2</v>
      </c>
      <c r="H3268" s="3">
        <v>2E-3</v>
      </c>
      <c r="I3268" s="3">
        <v>0.3856</v>
      </c>
      <c r="J3268" s="3">
        <v>0.79459999999999997</v>
      </c>
      <c r="K3268" s="3">
        <v>0.73329999999999995</v>
      </c>
      <c r="L3268" s="3">
        <v>2.6499999999999999E-2</v>
      </c>
      <c r="M3268" s="3">
        <v>4.0000000000000002E-4</v>
      </c>
      <c r="N3268" s="3">
        <v>0.27950000000000003</v>
      </c>
    </row>
    <row r="3269" spans="1:14">
      <c r="A3269" t="s">
        <v>200</v>
      </c>
      <c r="B3269" t="s">
        <v>200</v>
      </c>
      <c r="C3269">
        <v>2661</v>
      </c>
      <c r="D3269" t="s">
        <v>200</v>
      </c>
      <c r="E3269">
        <v>2661</v>
      </c>
      <c r="F3269" s="3">
        <v>0.1198</v>
      </c>
      <c r="G3269" s="3">
        <v>0.1177</v>
      </c>
      <c r="H3269" s="3">
        <v>5.0000000000000001E-3</v>
      </c>
      <c r="I3269" s="3">
        <v>0.3543</v>
      </c>
      <c r="J3269" s="3">
        <v>0.80130000000000001</v>
      </c>
      <c r="K3269" s="3">
        <v>0.6522</v>
      </c>
      <c r="L3269" s="3">
        <v>3.9800000000000002E-2</v>
      </c>
      <c r="M3269" s="3">
        <v>3.0999999999999999E-3</v>
      </c>
      <c r="N3269" s="3">
        <v>0.2429</v>
      </c>
    </row>
    <row r="3271" spans="1:14" ht="45">
      <c r="A3271" s="22" t="s">
        <v>806</v>
      </c>
    </row>
    <row r="3272" spans="1:14">
      <c r="A3272" t="s">
        <v>185</v>
      </c>
      <c r="B3272" t="s">
        <v>192</v>
      </c>
      <c r="C3272" t="s">
        <v>184</v>
      </c>
      <c r="D3272" t="s">
        <v>193</v>
      </c>
      <c r="E3272" t="s">
        <v>798</v>
      </c>
      <c r="F3272" t="s">
        <v>799</v>
      </c>
      <c r="G3272" t="s">
        <v>570</v>
      </c>
      <c r="H3272" t="s">
        <v>800</v>
      </c>
      <c r="I3272" t="s">
        <v>801</v>
      </c>
      <c r="J3272" t="s">
        <v>802</v>
      </c>
      <c r="K3272" t="s">
        <v>329</v>
      </c>
      <c r="L3272" t="s">
        <v>247</v>
      </c>
      <c r="M3272" t="s">
        <v>803</v>
      </c>
    </row>
    <row r="3273" spans="1:14">
      <c r="A3273" t="s">
        <v>195</v>
      </c>
      <c r="B3273">
        <v>1181</v>
      </c>
      <c r="C3273" t="s">
        <v>194</v>
      </c>
      <c r="D3273">
        <v>2661</v>
      </c>
      <c r="E3273" s="3">
        <v>5.3199999999999997E-2</v>
      </c>
      <c r="F3273" s="3">
        <v>0.13619999999999999</v>
      </c>
      <c r="G3273" s="3">
        <v>8.2000000000000007E-3</v>
      </c>
      <c r="H3273" s="3">
        <v>0.31180000000000002</v>
      </c>
      <c r="I3273" s="3">
        <v>0.79239999999999999</v>
      </c>
      <c r="J3273" s="3">
        <v>0.56069999999999998</v>
      </c>
      <c r="K3273" s="3">
        <v>5.9700000000000003E-2</v>
      </c>
      <c r="L3273" s="3">
        <v>6.4000000000000003E-3</v>
      </c>
      <c r="M3273" s="3">
        <v>0.18410000000000001</v>
      </c>
    </row>
    <row r="3274" spans="1:14">
      <c r="A3274" t="s">
        <v>199</v>
      </c>
      <c r="B3274">
        <v>1480</v>
      </c>
      <c r="C3274" t="s">
        <v>194</v>
      </c>
      <c r="D3274">
        <v>2661</v>
      </c>
      <c r="E3274" s="3">
        <v>0.1731</v>
      </c>
      <c r="F3274" s="3">
        <v>0.10290000000000001</v>
      </c>
      <c r="G3274" s="3">
        <v>2.3E-3</v>
      </c>
      <c r="H3274" s="3">
        <v>0.38819999999999999</v>
      </c>
      <c r="I3274" s="3">
        <v>0.80840000000000001</v>
      </c>
      <c r="J3274" s="3">
        <v>0.72529999999999994</v>
      </c>
      <c r="K3274" s="3">
        <v>2.4E-2</v>
      </c>
      <c r="L3274" s="3">
        <v>5.0000000000000001E-4</v>
      </c>
      <c r="M3274" s="3">
        <v>0.28999999999999998</v>
      </c>
    </row>
    <row r="3275" spans="1:14">
      <c r="A3275" t="s">
        <v>200</v>
      </c>
      <c r="B3275">
        <v>2661</v>
      </c>
      <c r="C3275" t="s">
        <v>200</v>
      </c>
      <c r="D3275">
        <v>2661</v>
      </c>
      <c r="E3275" s="3">
        <v>0.1198</v>
      </c>
      <c r="F3275" s="3">
        <v>0.1177</v>
      </c>
      <c r="G3275" s="3">
        <v>5.0000000000000001E-3</v>
      </c>
      <c r="H3275" s="3">
        <v>0.3543</v>
      </c>
      <c r="I3275" s="3">
        <v>0.80130000000000001</v>
      </c>
      <c r="J3275" s="3">
        <v>0.6522</v>
      </c>
      <c r="K3275" s="3">
        <v>3.9800000000000002E-2</v>
      </c>
      <c r="L3275" s="3">
        <v>3.0999999999999999E-3</v>
      </c>
      <c r="M3275" s="3">
        <v>0.2429</v>
      </c>
    </row>
    <row r="3277" spans="1:14" ht="45">
      <c r="A3277" s="22" t="s">
        <v>807</v>
      </c>
    </row>
    <row r="3278" spans="1:14">
      <c r="A3278" t="s">
        <v>185</v>
      </c>
      <c r="B3278" t="s">
        <v>186</v>
      </c>
      <c r="C3278" t="s">
        <v>192</v>
      </c>
      <c r="D3278" t="s">
        <v>184</v>
      </c>
      <c r="E3278" t="s">
        <v>193</v>
      </c>
      <c r="F3278" t="s">
        <v>798</v>
      </c>
      <c r="G3278" t="s">
        <v>799</v>
      </c>
      <c r="H3278" t="s">
        <v>570</v>
      </c>
      <c r="I3278" t="s">
        <v>800</v>
      </c>
      <c r="J3278" t="s">
        <v>801</v>
      </c>
      <c r="K3278" t="s">
        <v>802</v>
      </c>
      <c r="L3278" t="s">
        <v>329</v>
      </c>
      <c r="M3278" t="s">
        <v>247</v>
      </c>
      <c r="N3278" t="s">
        <v>803</v>
      </c>
    </row>
    <row r="3279" spans="1:14">
      <c r="A3279" t="s">
        <v>195</v>
      </c>
      <c r="B3279" t="s">
        <v>212</v>
      </c>
      <c r="C3279">
        <v>869</v>
      </c>
      <c r="D3279" t="s">
        <v>194</v>
      </c>
      <c r="E3279">
        <v>2661</v>
      </c>
      <c r="F3279" s="3">
        <v>4.5999999999999999E-2</v>
      </c>
      <c r="G3279" s="3">
        <v>0.12640000000000001</v>
      </c>
      <c r="H3279" s="3">
        <v>8.3000000000000001E-3</v>
      </c>
      <c r="I3279" s="3">
        <v>0.34799999999999998</v>
      </c>
      <c r="J3279" s="3">
        <v>0.80549999999999999</v>
      </c>
      <c r="K3279" s="3">
        <v>0.61519999999999997</v>
      </c>
      <c r="L3279" s="3">
        <v>5.2499999999999998E-2</v>
      </c>
      <c r="M3279" s="3">
        <v>8.9999999999999998E-4</v>
      </c>
      <c r="N3279" s="3">
        <v>0.17169999999999999</v>
      </c>
    </row>
    <row r="3280" spans="1:14">
      <c r="A3280" t="s">
        <v>195</v>
      </c>
      <c r="B3280" t="s">
        <v>214</v>
      </c>
      <c r="C3280">
        <v>177</v>
      </c>
      <c r="D3280" t="s">
        <v>194</v>
      </c>
      <c r="E3280">
        <v>2661</v>
      </c>
      <c r="F3280" s="3">
        <v>0.10539999999999999</v>
      </c>
      <c r="G3280" s="3">
        <v>0.1573</v>
      </c>
      <c r="H3280" s="3">
        <v>7.3000000000000001E-3</v>
      </c>
      <c r="I3280" s="3">
        <v>7.6200000000000004E-2</v>
      </c>
      <c r="J3280" s="3">
        <v>0.71630000000000005</v>
      </c>
      <c r="K3280" s="3">
        <v>0.30959999999999999</v>
      </c>
      <c r="L3280" s="3">
        <v>0.1027</v>
      </c>
      <c r="M3280" s="3">
        <v>1.4E-2</v>
      </c>
      <c r="N3280" s="3">
        <v>0.18729999999999999</v>
      </c>
    </row>
    <row r="3281" spans="1:14">
      <c r="A3281" t="s">
        <v>195</v>
      </c>
      <c r="B3281" t="s">
        <v>215</v>
      </c>
      <c r="C3281">
        <v>135</v>
      </c>
      <c r="D3281" t="s">
        <v>194</v>
      </c>
      <c r="E3281">
        <v>2661</v>
      </c>
      <c r="F3281" s="3">
        <v>1.5900000000000001E-2</v>
      </c>
      <c r="G3281" s="3">
        <v>0.1822</v>
      </c>
      <c r="H3281" s="3">
        <v>9.7000000000000003E-3</v>
      </c>
      <c r="I3281" s="3">
        <v>0.44690000000000002</v>
      </c>
      <c r="J3281" s="3">
        <v>0.8236</v>
      </c>
      <c r="K3281" s="3">
        <v>0.5625</v>
      </c>
      <c r="L3281" s="3">
        <v>4.07E-2</v>
      </c>
      <c r="M3281" s="3">
        <v>4.07E-2</v>
      </c>
      <c r="N3281" s="3">
        <v>0.28789999999999999</v>
      </c>
    </row>
    <row r="3282" spans="1:14">
      <c r="A3282" t="s">
        <v>199</v>
      </c>
      <c r="B3282" t="s">
        <v>212</v>
      </c>
      <c r="C3282">
        <v>1114</v>
      </c>
      <c r="D3282" t="s">
        <v>194</v>
      </c>
      <c r="E3282">
        <v>2661</v>
      </c>
      <c r="F3282" s="3">
        <v>0.14580000000000001</v>
      </c>
      <c r="G3282" s="3">
        <v>8.7999999999999995E-2</v>
      </c>
      <c r="H3282" s="3">
        <v>2E-3</v>
      </c>
      <c r="I3282" s="3">
        <v>0.38269999999999998</v>
      </c>
      <c r="J3282" s="3">
        <v>0.81340000000000001</v>
      </c>
      <c r="K3282" s="3">
        <v>0.76019999999999999</v>
      </c>
      <c r="L3282" s="3">
        <v>2.41E-2</v>
      </c>
      <c r="M3282" s="3">
        <v>5.9999999999999995E-4</v>
      </c>
      <c r="N3282" s="3">
        <v>0.307</v>
      </c>
    </row>
    <row r="3283" spans="1:14">
      <c r="A3283" t="s">
        <v>199</v>
      </c>
      <c r="B3283" t="s">
        <v>214</v>
      </c>
      <c r="C3283">
        <v>194</v>
      </c>
      <c r="D3283" t="s">
        <v>194</v>
      </c>
      <c r="E3283">
        <v>2661</v>
      </c>
      <c r="F3283" s="3">
        <v>0.32079999999999997</v>
      </c>
      <c r="G3283" s="3">
        <v>0.12509999999999999</v>
      </c>
      <c r="H3283" s="3">
        <v>5.4999999999999997E-3</v>
      </c>
      <c r="I3283" s="3">
        <v>0.2165</v>
      </c>
      <c r="J3283" s="3">
        <v>0.73070000000000002</v>
      </c>
      <c r="K3283" s="3">
        <v>0.56669999999999998</v>
      </c>
      <c r="L3283" s="3">
        <v>0.03</v>
      </c>
      <c r="N3283" s="3">
        <v>0.13619999999999999</v>
      </c>
    </row>
    <row r="3284" spans="1:14">
      <c r="A3284" t="s">
        <v>199</v>
      </c>
      <c r="B3284" t="s">
        <v>215</v>
      </c>
      <c r="C3284">
        <v>172</v>
      </c>
      <c r="D3284" t="s">
        <v>194</v>
      </c>
      <c r="E3284">
        <v>2661</v>
      </c>
      <c r="F3284" s="3">
        <v>0.15359999999999999</v>
      </c>
      <c r="G3284" s="3">
        <v>0.19700000000000001</v>
      </c>
      <c r="I3284" s="3">
        <v>0.74719999999999998</v>
      </c>
      <c r="J3284" s="3">
        <v>0.90280000000000005</v>
      </c>
      <c r="K3284" s="3">
        <v>0.69540000000000002</v>
      </c>
      <c r="L3284" s="3">
        <v>1.23E-2</v>
      </c>
      <c r="N3284" s="3">
        <v>0.41310000000000002</v>
      </c>
    </row>
    <row r="3285" spans="1:14">
      <c r="A3285" t="s">
        <v>200</v>
      </c>
      <c r="B3285" t="s">
        <v>200</v>
      </c>
      <c r="C3285">
        <v>2661</v>
      </c>
      <c r="D3285" t="s">
        <v>200</v>
      </c>
      <c r="E3285">
        <v>2661</v>
      </c>
      <c r="F3285" s="3">
        <v>0.1198</v>
      </c>
      <c r="G3285" s="3">
        <v>0.1177</v>
      </c>
      <c r="H3285" s="3">
        <v>5.0000000000000001E-3</v>
      </c>
      <c r="I3285" s="3">
        <v>0.3543</v>
      </c>
      <c r="J3285" s="3">
        <v>0.80130000000000001</v>
      </c>
      <c r="K3285" s="3">
        <v>0.6522</v>
      </c>
      <c r="L3285" s="3">
        <v>3.9800000000000002E-2</v>
      </c>
      <c r="M3285" s="3">
        <v>3.0999999999999999E-3</v>
      </c>
      <c r="N3285" s="3">
        <v>0.2429</v>
      </c>
    </row>
    <row r="3287" spans="1:14" ht="45">
      <c r="A3287" s="22" t="s">
        <v>808</v>
      </c>
    </row>
    <row r="3288" spans="1:14">
      <c r="A3288" t="s">
        <v>185</v>
      </c>
      <c r="B3288" t="s">
        <v>186</v>
      </c>
      <c r="C3288" t="s">
        <v>192</v>
      </c>
      <c r="D3288" t="s">
        <v>184</v>
      </c>
      <c r="E3288" t="s">
        <v>193</v>
      </c>
      <c r="F3288" t="s">
        <v>798</v>
      </c>
      <c r="G3288" t="s">
        <v>799</v>
      </c>
      <c r="H3288" t="s">
        <v>570</v>
      </c>
      <c r="I3288" t="s">
        <v>800</v>
      </c>
      <c r="J3288" t="s">
        <v>801</v>
      </c>
      <c r="K3288" t="s">
        <v>802</v>
      </c>
      <c r="L3288" t="s">
        <v>329</v>
      </c>
      <c r="M3288" t="s">
        <v>247</v>
      </c>
      <c r="N3288" t="s">
        <v>803</v>
      </c>
    </row>
    <row r="3289" spans="1:14">
      <c r="A3289" t="s">
        <v>195</v>
      </c>
      <c r="B3289" t="s">
        <v>217</v>
      </c>
      <c r="C3289">
        <v>497</v>
      </c>
      <c r="D3289" t="s">
        <v>194</v>
      </c>
      <c r="E3289">
        <v>2661</v>
      </c>
      <c r="F3289" s="3">
        <v>5.5500000000000001E-2</v>
      </c>
      <c r="G3289" s="3">
        <v>0.1462</v>
      </c>
      <c r="H3289" s="3">
        <v>4.0000000000000001E-3</v>
      </c>
      <c r="I3289" s="3">
        <v>0.33389999999999997</v>
      </c>
      <c r="J3289" s="3">
        <v>0.85289999999999999</v>
      </c>
      <c r="K3289" s="3">
        <v>0.67510000000000003</v>
      </c>
      <c r="L3289" s="3">
        <v>4.5699999999999998E-2</v>
      </c>
      <c r="N3289" s="3">
        <v>0.19189999999999999</v>
      </c>
    </row>
    <row r="3290" spans="1:14">
      <c r="A3290" t="s">
        <v>195</v>
      </c>
      <c r="B3290" t="s">
        <v>219</v>
      </c>
      <c r="C3290">
        <v>501</v>
      </c>
      <c r="D3290" t="s">
        <v>194</v>
      </c>
      <c r="E3290">
        <v>2661</v>
      </c>
      <c r="F3290" s="3">
        <v>2.9399999999999999E-2</v>
      </c>
      <c r="G3290" s="3">
        <v>0.128</v>
      </c>
      <c r="H3290" s="3">
        <v>7.4000000000000003E-3</v>
      </c>
      <c r="I3290" s="3">
        <v>0.29820000000000002</v>
      </c>
      <c r="J3290" s="3">
        <v>0.77780000000000005</v>
      </c>
      <c r="K3290" s="3">
        <v>0.47689999999999999</v>
      </c>
      <c r="L3290" s="3">
        <v>8.7400000000000005E-2</v>
      </c>
      <c r="M3290" s="3">
        <v>1.38E-2</v>
      </c>
      <c r="N3290" s="3">
        <v>0.1767</v>
      </c>
    </row>
    <row r="3291" spans="1:14">
      <c r="A3291" t="s">
        <v>195</v>
      </c>
      <c r="B3291" t="s">
        <v>220</v>
      </c>
      <c r="C3291">
        <v>182</v>
      </c>
      <c r="D3291" t="s">
        <v>194</v>
      </c>
      <c r="E3291">
        <v>2661</v>
      </c>
      <c r="F3291" s="3">
        <v>9.6500000000000002E-2</v>
      </c>
      <c r="G3291" s="3">
        <v>0.1308</v>
      </c>
      <c r="H3291" s="3">
        <v>1.9400000000000001E-2</v>
      </c>
      <c r="I3291" s="3">
        <v>0.29070000000000001</v>
      </c>
      <c r="J3291" s="3">
        <v>0.68810000000000004</v>
      </c>
      <c r="K3291" s="3">
        <v>0.4783</v>
      </c>
      <c r="L3291" s="3">
        <v>3.4200000000000001E-2</v>
      </c>
      <c r="M3291" s="3">
        <v>5.3E-3</v>
      </c>
      <c r="N3291" s="3">
        <v>0.18149999999999999</v>
      </c>
    </row>
    <row r="3292" spans="1:14">
      <c r="A3292" t="s">
        <v>199</v>
      </c>
      <c r="B3292" t="s">
        <v>217</v>
      </c>
      <c r="C3292">
        <v>811</v>
      </c>
      <c r="D3292" t="s">
        <v>194</v>
      </c>
      <c r="E3292">
        <v>2661</v>
      </c>
      <c r="F3292" s="3">
        <v>0.16839999999999999</v>
      </c>
      <c r="G3292" s="3">
        <v>8.9399999999999993E-2</v>
      </c>
      <c r="H3292" s="3">
        <v>2E-3</v>
      </c>
      <c r="I3292" s="3">
        <v>0.40479999999999999</v>
      </c>
      <c r="J3292" s="3">
        <v>0.80549999999999999</v>
      </c>
      <c r="K3292" s="3">
        <v>0.75880000000000003</v>
      </c>
      <c r="L3292" s="3">
        <v>2.6800000000000001E-2</v>
      </c>
      <c r="M3292" s="3">
        <v>2.0000000000000001E-4</v>
      </c>
      <c r="N3292" s="3">
        <v>0.29339999999999999</v>
      </c>
    </row>
    <row r="3293" spans="1:14">
      <c r="A3293" t="s">
        <v>199</v>
      </c>
      <c r="B3293" t="s">
        <v>219</v>
      </c>
      <c r="C3293">
        <v>447</v>
      </c>
      <c r="D3293" t="s">
        <v>194</v>
      </c>
      <c r="E3293">
        <v>2661</v>
      </c>
      <c r="F3293" s="3">
        <v>0.1565</v>
      </c>
      <c r="G3293" s="3">
        <v>9.5399999999999999E-2</v>
      </c>
      <c r="H3293" s="3">
        <v>2.3E-3</v>
      </c>
      <c r="I3293" s="3">
        <v>0.3216</v>
      </c>
      <c r="J3293" s="3">
        <v>0.81</v>
      </c>
      <c r="K3293" s="3">
        <v>0.63290000000000002</v>
      </c>
      <c r="L3293" s="3">
        <v>2.0899999999999998E-2</v>
      </c>
      <c r="M3293" s="3">
        <v>1.5E-3</v>
      </c>
      <c r="N3293" s="3">
        <v>0.24110000000000001</v>
      </c>
    </row>
    <row r="3294" spans="1:14">
      <c r="A3294" t="s">
        <v>199</v>
      </c>
      <c r="B3294" t="s">
        <v>220</v>
      </c>
      <c r="C3294">
        <v>222</v>
      </c>
      <c r="D3294" t="s">
        <v>194</v>
      </c>
      <c r="E3294">
        <v>2661</v>
      </c>
      <c r="F3294" s="3">
        <v>0.21690000000000001</v>
      </c>
      <c r="G3294" s="3">
        <v>0.16539999999999999</v>
      </c>
      <c r="H3294" s="3">
        <v>3.8E-3</v>
      </c>
      <c r="I3294" s="3">
        <v>0.43020000000000003</v>
      </c>
      <c r="J3294" s="3">
        <v>0.81669999999999998</v>
      </c>
      <c r="K3294" s="3">
        <v>0.74380000000000002</v>
      </c>
      <c r="L3294" s="3">
        <v>1.8100000000000002E-2</v>
      </c>
      <c r="N3294" s="3">
        <v>0.35399999999999998</v>
      </c>
    </row>
    <row r="3295" spans="1:14">
      <c r="A3295" t="s">
        <v>200</v>
      </c>
      <c r="B3295" t="s">
        <v>200</v>
      </c>
      <c r="C3295">
        <v>2661</v>
      </c>
      <c r="D3295" t="s">
        <v>200</v>
      </c>
      <c r="E3295">
        <v>2661</v>
      </c>
      <c r="F3295" s="3">
        <v>0.1198</v>
      </c>
      <c r="G3295" s="3">
        <v>0.1177</v>
      </c>
      <c r="H3295" s="3">
        <v>5.0000000000000001E-3</v>
      </c>
      <c r="I3295" s="3">
        <v>0.3543</v>
      </c>
      <c r="J3295" s="3">
        <v>0.80130000000000001</v>
      </c>
      <c r="K3295" s="3">
        <v>0.6522</v>
      </c>
      <c r="L3295" s="3">
        <v>3.9800000000000002E-2</v>
      </c>
      <c r="M3295" s="3">
        <v>3.0999999999999999E-3</v>
      </c>
      <c r="N3295" s="3">
        <v>0.2429</v>
      </c>
    </row>
    <row r="3297" spans="1:28" ht="45">
      <c r="A3297" s="22" t="s">
        <v>809</v>
      </c>
    </row>
    <row r="3298" spans="1:28">
      <c r="A3298" t="s">
        <v>184</v>
      </c>
      <c r="B3298" t="s">
        <v>185</v>
      </c>
      <c r="C3298" t="s">
        <v>186</v>
      </c>
      <c r="D3298" t="s">
        <v>810</v>
      </c>
      <c r="E3298" t="s">
        <v>811</v>
      </c>
      <c r="F3298" t="s">
        <v>812</v>
      </c>
      <c r="G3298" t="s">
        <v>813</v>
      </c>
      <c r="H3298" t="s">
        <v>814</v>
      </c>
      <c r="I3298" t="s">
        <v>815</v>
      </c>
      <c r="J3298" t="s">
        <v>816</v>
      </c>
      <c r="K3298" t="s">
        <v>817</v>
      </c>
      <c r="L3298" t="s">
        <v>818</v>
      </c>
      <c r="M3298" t="s">
        <v>819</v>
      </c>
      <c r="N3298" t="s">
        <v>820</v>
      </c>
      <c r="O3298" t="s">
        <v>821</v>
      </c>
      <c r="P3298" t="s">
        <v>822</v>
      </c>
      <c r="Q3298" t="s">
        <v>823</v>
      </c>
      <c r="R3298" t="s">
        <v>824</v>
      </c>
      <c r="S3298" t="s">
        <v>825</v>
      </c>
      <c r="T3298" t="s">
        <v>826</v>
      </c>
      <c r="U3298" t="s">
        <v>827</v>
      </c>
      <c r="V3298" t="s">
        <v>828</v>
      </c>
      <c r="W3298" t="s">
        <v>829</v>
      </c>
      <c r="X3298" t="s">
        <v>830</v>
      </c>
      <c r="Y3298" t="s">
        <v>831</v>
      </c>
      <c r="Z3298" t="s">
        <v>832</v>
      </c>
      <c r="AA3298" t="s">
        <v>833</v>
      </c>
      <c r="AB3298" t="s">
        <v>193</v>
      </c>
    </row>
    <row r="3299" spans="1:28">
      <c r="A3299" t="s">
        <v>194</v>
      </c>
      <c r="B3299" t="s">
        <v>195</v>
      </c>
      <c r="C3299" t="s">
        <v>196</v>
      </c>
      <c r="D3299">
        <v>19565.46003928623</v>
      </c>
      <c r="E3299">
        <v>5000</v>
      </c>
      <c r="F3299">
        <v>250</v>
      </c>
      <c r="G3299">
        <v>200000</v>
      </c>
      <c r="H3299">
        <v>9224.8250785114014</v>
      </c>
      <c r="I3299">
        <v>5000</v>
      </c>
      <c r="J3299">
        <v>300</v>
      </c>
      <c r="K3299">
        <v>100000</v>
      </c>
      <c r="L3299">
        <v>10023.136786742039</v>
      </c>
      <c r="M3299">
        <v>5000</v>
      </c>
      <c r="N3299">
        <v>100</v>
      </c>
      <c r="O3299">
        <v>250000</v>
      </c>
      <c r="P3299">
        <v>4261.1962897416679</v>
      </c>
      <c r="Q3299">
        <v>1500</v>
      </c>
      <c r="R3299">
        <v>200</v>
      </c>
      <c r="S3299">
        <v>30000</v>
      </c>
      <c r="T3299">
        <v>11880.091829989569</v>
      </c>
      <c r="U3299">
        <v>12000</v>
      </c>
      <c r="V3299">
        <v>1000</v>
      </c>
      <c r="W3299">
        <v>50000</v>
      </c>
      <c r="X3299">
        <v>21145.99455556519</v>
      </c>
      <c r="Y3299">
        <v>7000</v>
      </c>
      <c r="Z3299">
        <v>700</v>
      </c>
      <c r="AA3299">
        <v>240000</v>
      </c>
      <c r="AB3299">
        <v>578</v>
      </c>
    </row>
    <row r="3300" spans="1:28">
      <c r="A3300" t="s">
        <v>194</v>
      </c>
      <c r="B3300" t="s">
        <v>195</v>
      </c>
      <c r="C3300" t="s">
        <v>198</v>
      </c>
      <c r="D3300">
        <v>12559.244486421219</v>
      </c>
      <c r="E3300">
        <v>4000</v>
      </c>
      <c r="F3300">
        <v>300</v>
      </c>
      <c r="G3300">
        <v>200000</v>
      </c>
      <c r="H3300">
        <v>8087.3099153696494</v>
      </c>
      <c r="I3300">
        <v>6000</v>
      </c>
      <c r="J3300">
        <v>250</v>
      </c>
      <c r="K3300">
        <v>68000</v>
      </c>
      <c r="L3300">
        <v>12959.223803631079</v>
      </c>
      <c r="M3300">
        <v>6000</v>
      </c>
      <c r="N3300">
        <v>100</v>
      </c>
      <c r="O3300">
        <v>320000</v>
      </c>
      <c r="P3300">
        <v>8876.5932263420327</v>
      </c>
      <c r="Q3300">
        <v>5000</v>
      </c>
      <c r="R3300">
        <v>100</v>
      </c>
      <c r="S3300">
        <v>100000</v>
      </c>
      <c r="T3300">
        <v>78924.362341720669</v>
      </c>
      <c r="U3300">
        <v>8000</v>
      </c>
      <c r="V3300">
        <v>250</v>
      </c>
      <c r="W3300">
        <v>2000100</v>
      </c>
      <c r="X3300">
        <v>12834.00057929948</v>
      </c>
      <c r="Y3300">
        <v>5000</v>
      </c>
      <c r="Z3300">
        <v>400</v>
      </c>
      <c r="AA3300">
        <v>80000</v>
      </c>
      <c r="AB3300">
        <v>578</v>
      </c>
    </row>
    <row r="3301" spans="1:28">
      <c r="A3301" t="s">
        <v>194</v>
      </c>
      <c r="B3301" t="s">
        <v>199</v>
      </c>
      <c r="C3301" t="s">
        <v>196</v>
      </c>
      <c r="D3301">
        <v>30462.089077711131</v>
      </c>
      <c r="E3301">
        <v>10000</v>
      </c>
      <c r="F3301">
        <v>300</v>
      </c>
      <c r="G3301">
        <v>400000</v>
      </c>
      <c r="H3301">
        <v>11799.51802399748</v>
      </c>
      <c r="I3301">
        <v>8000</v>
      </c>
      <c r="J3301">
        <v>100</v>
      </c>
      <c r="K3301">
        <v>200000</v>
      </c>
      <c r="L3301">
        <v>15912.00507811906</v>
      </c>
      <c r="M3301">
        <v>6000</v>
      </c>
      <c r="N3301">
        <v>200</v>
      </c>
      <c r="O3301">
        <v>200000</v>
      </c>
      <c r="P3301">
        <v>13250.503108637829</v>
      </c>
      <c r="Q3301">
        <v>6000</v>
      </c>
      <c r="R3301">
        <v>100</v>
      </c>
      <c r="S3301">
        <v>360000</v>
      </c>
      <c r="T3301">
        <v>31809.136176743461</v>
      </c>
      <c r="U3301">
        <v>15000</v>
      </c>
      <c r="V3301">
        <v>300</v>
      </c>
      <c r="W3301">
        <v>570000</v>
      </c>
      <c r="X3301">
        <v>14580.800439477191</v>
      </c>
      <c r="Y3301">
        <v>6000</v>
      </c>
      <c r="Z3301">
        <v>400</v>
      </c>
      <c r="AA3301">
        <v>70000</v>
      </c>
      <c r="AB3301">
        <v>578</v>
      </c>
    </row>
    <row r="3302" spans="1:28">
      <c r="A3302" t="s">
        <v>194</v>
      </c>
      <c r="B3302" t="s">
        <v>199</v>
      </c>
      <c r="C3302" t="s">
        <v>198</v>
      </c>
      <c r="D3302">
        <v>11572.607531786271</v>
      </c>
      <c r="E3302">
        <v>8000</v>
      </c>
      <c r="F3302">
        <v>200</v>
      </c>
      <c r="G3302">
        <v>300000</v>
      </c>
      <c r="H3302">
        <v>11465.453769597119</v>
      </c>
      <c r="I3302">
        <v>8000</v>
      </c>
      <c r="J3302">
        <v>200</v>
      </c>
      <c r="K3302">
        <v>100000</v>
      </c>
      <c r="L3302">
        <v>15356.90161877022</v>
      </c>
      <c r="M3302">
        <v>5000</v>
      </c>
      <c r="N3302">
        <v>100</v>
      </c>
      <c r="O3302">
        <v>500000</v>
      </c>
      <c r="P3302">
        <v>10509.360329511281</v>
      </c>
      <c r="Q3302">
        <v>6000</v>
      </c>
      <c r="R3302">
        <v>100</v>
      </c>
      <c r="S3302">
        <v>120000</v>
      </c>
      <c r="T3302">
        <v>22176.457250496911</v>
      </c>
      <c r="U3302">
        <v>10000</v>
      </c>
      <c r="V3302">
        <v>300</v>
      </c>
      <c r="W3302">
        <v>120000</v>
      </c>
      <c r="X3302">
        <v>22491.767156811071</v>
      </c>
      <c r="Y3302">
        <v>10000</v>
      </c>
      <c r="Z3302">
        <v>300</v>
      </c>
      <c r="AA3302">
        <v>242800</v>
      </c>
      <c r="AB3302">
        <v>578</v>
      </c>
    </row>
    <row r="3303" spans="1:28">
      <c r="A3303" t="s">
        <v>200</v>
      </c>
      <c r="B3303" t="s">
        <v>200</v>
      </c>
      <c r="C3303" t="s">
        <v>200</v>
      </c>
      <c r="D3303">
        <v>15839.04189143797</v>
      </c>
      <c r="E3303">
        <v>6500</v>
      </c>
      <c r="F3303">
        <v>200</v>
      </c>
      <c r="G3303">
        <v>400000</v>
      </c>
      <c r="H3303">
        <v>10378.83789361323</v>
      </c>
      <c r="I3303">
        <v>7000</v>
      </c>
      <c r="J3303">
        <v>100</v>
      </c>
      <c r="K3303">
        <v>200000</v>
      </c>
      <c r="L3303">
        <v>14046.9073967083</v>
      </c>
      <c r="M3303">
        <v>5700</v>
      </c>
      <c r="N3303">
        <v>100</v>
      </c>
      <c r="O3303">
        <v>500000</v>
      </c>
      <c r="P3303">
        <v>9837.522254461448</v>
      </c>
      <c r="Q3303">
        <v>5000</v>
      </c>
      <c r="R3303">
        <v>100</v>
      </c>
      <c r="S3303">
        <v>360000</v>
      </c>
      <c r="T3303">
        <v>44140.020204573761</v>
      </c>
      <c r="U3303">
        <v>10000</v>
      </c>
      <c r="V3303">
        <v>250</v>
      </c>
      <c r="W3303">
        <v>2000100</v>
      </c>
      <c r="X3303">
        <v>20121.033007910861</v>
      </c>
      <c r="Y3303">
        <v>8000</v>
      </c>
      <c r="Z3303">
        <v>300</v>
      </c>
      <c r="AA3303">
        <v>242800</v>
      </c>
      <c r="AB3303">
        <v>578</v>
      </c>
    </row>
    <row r="3305" spans="1:28" ht="45">
      <c r="A3305" s="22" t="s">
        <v>834</v>
      </c>
    </row>
    <row r="3306" spans="1:28">
      <c r="A3306" t="s">
        <v>184</v>
      </c>
      <c r="B3306" t="s">
        <v>185</v>
      </c>
      <c r="C3306" t="s">
        <v>186</v>
      </c>
      <c r="D3306" t="s">
        <v>810</v>
      </c>
      <c r="E3306" t="s">
        <v>811</v>
      </c>
      <c r="F3306" t="s">
        <v>812</v>
      </c>
      <c r="G3306" t="s">
        <v>813</v>
      </c>
      <c r="H3306" t="s">
        <v>814</v>
      </c>
      <c r="I3306" t="s">
        <v>815</v>
      </c>
      <c r="J3306" t="s">
        <v>816</v>
      </c>
      <c r="K3306" t="s">
        <v>817</v>
      </c>
      <c r="L3306" t="s">
        <v>818</v>
      </c>
      <c r="M3306" t="s">
        <v>819</v>
      </c>
      <c r="N3306" t="s">
        <v>820</v>
      </c>
      <c r="O3306" t="s">
        <v>821</v>
      </c>
      <c r="P3306" t="s">
        <v>822</v>
      </c>
      <c r="Q3306" t="s">
        <v>823</v>
      </c>
      <c r="R3306" t="s">
        <v>824</v>
      </c>
      <c r="S3306" t="s">
        <v>825</v>
      </c>
      <c r="T3306" t="s">
        <v>826</v>
      </c>
      <c r="U3306" t="s">
        <v>827</v>
      </c>
      <c r="V3306" t="s">
        <v>828</v>
      </c>
      <c r="W3306" t="s">
        <v>829</v>
      </c>
      <c r="X3306" t="s">
        <v>830</v>
      </c>
      <c r="Y3306" t="s">
        <v>831</v>
      </c>
      <c r="Z3306" t="s">
        <v>832</v>
      </c>
      <c r="AA3306" t="s">
        <v>833</v>
      </c>
      <c r="AB3306" t="s">
        <v>193</v>
      </c>
    </row>
    <row r="3307" spans="1:28">
      <c r="A3307" t="s">
        <v>194</v>
      </c>
      <c r="B3307" t="s">
        <v>195</v>
      </c>
      <c r="C3307" t="s">
        <v>202</v>
      </c>
      <c r="D3307">
        <v>16136.94819109016</v>
      </c>
      <c r="E3307">
        <v>5000</v>
      </c>
      <c r="F3307">
        <v>250</v>
      </c>
      <c r="G3307">
        <v>200000</v>
      </c>
      <c r="H3307">
        <v>9033.9126394061841</v>
      </c>
      <c r="I3307">
        <v>5000</v>
      </c>
      <c r="J3307">
        <v>250</v>
      </c>
      <c r="K3307">
        <v>100000</v>
      </c>
      <c r="L3307">
        <v>14026.19309036609</v>
      </c>
      <c r="M3307">
        <v>6000</v>
      </c>
      <c r="N3307">
        <v>100</v>
      </c>
      <c r="O3307">
        <v>320000</v>
      </c>
      <c r="P3307">
        <v>7943.2975765091078</v>
      </c>
      <c r="Q3307">
        <v>4000</v>
      </c>
      <c r="R3307">
        <v>100</v>
      </c>
      <c r="S3307">
        <v>100000</v>
      </c>
      <c r="T3307">
        <v>94721.684225736361</v>
      </c>
      <c r="U3307">
        <v>11000</v>
      </c>
      <c r="V3307">
        <v>600</v>
      </c>
      <c r="W3307">
        <v>2000100</v>
      </c>
      <c r="X3307">
        <v>21615.30874862674</v>
      </c>
      <c r="Y3307">
        <v>10000</v>
      </c>
      <c r="Z3307">
        <v>800</v>
      </c>
      <c r="AA3307">
        <v>180000</v>
      </c>
      <c r="AB3307">
        <v>578</v>
      </c>
    </row>
    <row r="3308" spans="1:28">
      <c r="A3308" t="s">
        <v>194</v>
      </c>
      <c r="B3308" t="s">
        <v>195</v>
      </c>
      <c r="C3308" t="s">
        <v>204</v>
      </c>
      <c r="D3308">
        <v>14996.93182538455</v>
      </c>
      <c r="E3308">
        <v>5000</v>
      </c>
      <c r="F3308">
        <v>500</v>
      </c>
      <c r="G3308">
        <v>200000</v>
      </c>
      <c r="H3308">
        <v>7900.2888940979983</v>
      </c>
      <c r="I3308">
        <v>6000</v>
      </c>
      <c r="J3308">
        <v>300</v>
      </c>
      <c r="K3308">
        <v>60000</v>
      </c>
      <c r="L3308">
        <v>8286.6214383219358</v>
      </c>
      <c r="M3308">
        <v>5000</v>
      </c>
      <c r="N3308">
        <v>350</v>
      </c>
      <c r="O3308">
        <v>100000</v>
      </c>
      <c r="P3308">
        <v>6883.5236217410957</v>
      </c>
      <c r="Q3308">
        <v>3000</v>
      </c>
      <c r="R3308">
        <v>300</v>
      </c>
      <c r="S3308">
        <v>48000</v>
      </c>
      <c r="T3308">
        <v>8956.9860013769521</v>
      </c>
      <c r="U3308">
        <v>6000</v>
      </c>
      <c r="V3308">
        <v>1500</v>
      </c>
      <c r="W3308">
        <v>35000</v>
      </c>
      <c r="X3308">
        <v>4649.2954968015292</v>
      </c>
      <c r="Y3308">
        <v>3600</v>
      </c>
      <c r="Z3308">
        <v>700</v>
      </c>
      <c r="AA3308">
        <v>240000</v>
      </c>
      <c r="AB3308">
        <v>578</v>
      </c>
    </row>
    <row r="3309" spans="1:28">
      <c r="A3309" t="s">
        <v>194</v>
      </c>
      <c r="B3309" t="s">
        <v>195</v>
      </c>
      <c r="C3309" t="s">
        <v>205</v>
      </c>
      <c r="D3309">
        <v>11373.359219755541</v>
      </c>
      <c r="E3309">
        <v>5000</v>
      </c>
      <c r="F3309">
        <v>300</v>
      </c>
      <c r="G3309">
        <v>200000</v>
      </c>
      <c r="H3309">
        <v>6328.81635270893</v>
      </c>
      <c r="I3309">
        <v>5000</v>
      </c>
      <c r="J3309">
        <v>300</v>
      </c>
      <c r="K3309">
        <v>30000</v>
      </c>
      <c r="L3309">
        <v>9587.2664392656879</v>
      </c>
      <c r="M3309">
        <v>5000</v>
      </c>
      <c r="N3309">
        <v>100</v>
      </c>
      <c r="O3309">
        <v>150000</v>
      </c>
      <c r="P3309">
        <v>9337.0264789064968</v>
      </c>
      <c r="Q3309">
        <v>5000</v>
      </c>
      <c r="R3309">
        <v>300</v>
      </c>
      <c r="S3309">
        <v>35000</v>
      </c>
      <c r="T3309">
        <v>8721.0927925239721</v>
      </c>
      <c r="U3309">
        <v>6000</v>
      </c>
      <c r="V3309">
        <v>250</v>
      </c>
      <c r="W3309">
        <v>60000</v>
      </c>
      <c r="X3309">
        <v>5977.1125289743613</v>
      </c>
      <c r="Y3309">
        <v>1800</v>
      </c>
      <c r="Z3309">
        <v>400</v>
      </c>
      <c r="AA3309">
        <v>48000</v>
      </c>
      <c r="AB3309">
        <v>578</v>
      </c>
    </row>
    <row r="3310" spans="1:28">
      <c r="A3310" t="s">
        <v>194</v>
      </c>
      <c r="B3310" t="s">
        <v>199</v>
      </c>
      <c r="C3310" t="s">
        <v>202</v>
      </c>
      <c r="D3310">
        <v>19000.487973173669</v>
      </c>
      <c r="E3310">
        <v>10000</v>
      </c>
      <c r="F3310">
        <v>300</v>
      </c>
      <c r="G3310">
        <v>300000</v>
      </c>
      <c r="H3310">
        <v>11887.515829749589</v>
      </c>
      <c r="I3310">
        <v>8000</v>
      </c>
      <c r="J3310">
        <v>100</v>
      </c>
      <c r="K3310">
        <v>200000</v>
      </c>
      <c r="L3310">
        <v>17469.54002306746</v>
      </c>
      <c r="M3310">
        <v>6000</v>
      </c>
      <c r="N3310">
        <v>100</v>
      </c>
      <c r="O3310">
        <v>400000</v>
      </c>
      <c r="P3310">
        <v>11188.81825799342</v>
      </c>
      <c r="Q3310">
        <v>6000</v>
      </c>
      <c r="R3310">
        <v>100</v>
      </c>
      <c r="S3310">
        <v>360000</v>
      </c>
      <c r="T3310">
        <v>29010.00947820679</v>
      </c>
      <c r="U3310">
        <v>12000</v>
      </c>
      <c r="V3310">
        <v>1000</v>
      </c>
      <c r="W3310">
        <v>570000</v>
      </c>
      <c r="X3310">
        <v>23898.798307191239</v>
      </c>
      <c r="Y3310">
        <v>9500</v>
      </c>
      <c r="Z3310">
        <v>300</v>
      </c>
      <c r="AA3310">
        <v>242800</v>
      </c>
      <c r="AB3310">
        <v>578</v>
      </c>
    </row>
    <row r="3311" spans="1:28">
      <c r="A3311" t="s">
        <v>194</v>
      </c>
      <c r="B3311" t="s">
        <v>199</v>
      </c>
      <c r="C3311" t="s">
        <v>204</v>
      </c>
      <c r="D3311">
        <v>11478.59845335872</v>
      </c>
      <c r="E3311">
        <v>8000</v>
      </c>
      <c r="F3311">
        <v>380</v>
      </c>
      <c r="G3311">
        <v>400000</v>
      </c>
      <c r="H3311">
        <v>11361.401777462121</v>
      </c>
      <c r="I3311">
        <v>7000</v>
      </c>
      <c r="J3311">
        <v>200</v>
      </c>
      <c r="K3311">
        <v>100000</v>
      </c>
      <c r="L3311">
        <v>11439.68047873166</v>
      </c>
      <c r="M3311">
        <v>4000</v>
      </c>
      <c r="N3311">
        <v>200</v>
      </c>
      <c r="O3311">
        <v>500000</v>
      </c>
      <c r="P3311">
        <v>7381.3952263224219</v>
      </c>
      <c r="Q3311">
        <v>6000</v>
      </c>
      <c r="R3311">
        <v>100</v>
      </c>
      <c r="S3311">
        <v>40000</v>
      </c>
      <c r="T3311">
        <v>10270.39658690746</v>
      </c>
      <c r="U3311">
        <v>10000</v>
      </c>
      <c r="V3311">
        <v>300</v>
      </c>
      <c r="W3311">
        <v>50000</v>
      </c>
      <c r="X3311">
        <v>16963.04386793232</v>
      </c>
      <c r="Y3311">
        <v>10000</v>
      </c>
      <c r="Z3311">
        <v>300</v>
      </c>
      <c r="AA3311">
        <v>80000</v>
      </c>
      <c r="AB3311">
        <v>578</v>
      </c>
    </row>
    <row r="3312" spans="1:28">
      <c r="A3312" t="s">
        <v>194</v>
      </c>
      <c r="B3312" t="s">
        <v>199</v>
      </c>
      <c r="C3312" t="s">
        <v>205</v>
      </c>
      <c r="D3312">
        <v>10610.63198781774</v>
      </c>
      <c r="E3312">
        <v>6000</v>
      </c>
      <c r="F3312">
        <v>200</v>
      </c>
      <c r="G3312">
        <v>200000</v>
      </c>
      <c r="H3312">
        <v>10244.37151613987</v>
      </c>
      <c r="I3312">
        <v>7000</v>
      </c>
      <c r="J3312">
        <v>250</v>
      </c>
      <c r="K3312">
        <v>60000</v>
      </c>
      <c r="L3312">
        <v>13079.42896994273</v>
      </c>
      <c r="M3312">
        <v>5000</v>
      </c>
      <c r="N3312">
        <v>200</v>
      </c>
      <c r="O3312">
        <v>350000</v>
      </c>
      <c r="P3312">
        <v>14416.551001994811</v>
      </c>
      <c r="Q3312">
        <v>6000</v>
      </c>
      <c r="R3312">
        <v>300</v>
      </c>
      <c r="S3312">
        <v>120000</v>
      </c>
      <c r="T3312">
        <v>22125.709860678449</v>
      </c>
      <c r="U3312">
        <v>10000</v>
      </c>
      <c r="V3312">
        <v>1000</v>
      </c>
      <c r="W3312">
        <v>100000</v>
      </c>
      <c r="X3312">
        <v>12342.153425295401</v>
      </c>
      <c r="Y3312">
        <v>6000</v>
      </c>
      <c r="Z3312">
        <v>600</v>
      </c>
      <c r="AA3312">
        <v>44000</v>
      </c>
      <c r="AB3312">
        <v>578</v>
      </c>
    </row>
    <row r="3313" spans="1:28">
      <c r="A3313" t="s">
        <v>200</v>
      </c>
      <c r="B3313" t="s">
        <v>200</v>
      </c>
      <c r="C3313" t="s">
        <v>200</v>
      </c>
      <c r="D3313">
        <v>15839.04189143797</v>
      </c>
      <c r="E3313">
        <v>6500</v>
      </c>
      <c r="F3313">
        <v>200</v>
      </c>
      <c r="G3313">
        <v>400000</v>
      </c>
      <c r="H3313">
        <v>10378.83789361323</v>
      </c>
      <c r="I3313">
        <v>7000</v>
      </c>
      <c r="J3313">
        <v>100</v>
      </c>
      <c r="K3313">
        <v>200000</v>
      </c>
      <c r="L3313">
        <v>14046.9073967083</v>
      </c>
      <c r="M3313">
        <v>5700</v>
      </c>
      <c r="N3313">
        <v>100</v>
      </c>
      <c r="O3313">
        <v>500000</v>
      </c>
      <c r="P3313">
        <v>9837.522254461448</v>
      </c>
      <c r="Q3313">
        <v>5000</v>
      </c>
      <c r="R3313">
        <v>100</v>
      </c>
      <c r="S3313">
        <v>360000</v>
      </c>
      <c r="T3313">
        <v>44140.020204573761</v>
      </c>
      <c r="U3313">
        <v>10000</v>
      </c>
      <c r="V3313">
        <v>250</v>
      </c>
      <c r="W3313">
        <v>2000100</v>
      </c>
      <c r="X3313">
        <v>20121.033007910861</v>
      </c>
      <c r="Y3313">
        <v>8000</v>
      </c>
      <c r="Z3313">
        <v>300</v>
      </c>
      <c r="AA3313">
        <v>242800</v>
      </c>
      <c r="AB3313">
        <v>578</v>
      </c>
    </row>
    <row r="3315" spans="1:28" ht="45">
      <c r="A3315" s="22" t="s">
        <v>835</v>
      </c>
    </row>
    <row r="3316" spans="1:28">
      <c r="A3316" t="s">
        <v>184</v>
      </c>
      <c r="B3316" t="s">
        <v>185</v>
      </c>
      <c r="C3316" t="s">
        <v>186</v>
      </c>
      <c r="D3316" t="s">
        <v>810</v>
      </c>
      <c r="E3316" t="s">
        <v>811</v>
      </c>
      <c r="F3316" t="s">
        <v>812</v>
      </c>
      <c r="G3316" t="s">
        <v>813</v>
      </c>
      <c r="H3316" t="s">
        <v>814</v>
      </c>
      <c r="I3316" t="s">
        <v>815</v>
      </c>
      <c r="J3316" t="s">
        <v>816</v>
      </c>
      <c r="K3316" t="s">
        <v>817</v>
      </c>
      <c r="L3316" t="s">
        <v>818</v>
      </c>
      <c r="M3316" t="s">
        <v>819</v>
      </c>
      <c r="N3316" t="s">
        <v>820</v>
      </c>
      <c r="O3316" t="s">
        <v>821</v>
      </c>
      <c r="P3316" t="s">
        <v>822</v>
      </c>
      <c r="Q3316" t="s">
        <v>823</v>
      </c>
      <c r="R3316" t="s">
        <v>824</v>
      </c>
      <c r="S3316" t="s">
        <v>825</v>
      </c>
      <c r="T3316" t="s">
        <v>826</v>
      </c>
      <c r="U3316" t="s">
        <v>827</v>
      </c>
      <c r="V3316" t="s">
        <v>828</v>
      </c>
      <c r="W3316" t="s">
        <v>829</v>
      </c>
      <c r="X3316" t="s">
        <v>830</v>
      </c>
      <c r="Y3316" t="s">
        <v>831</v>
      </c>
      <c r="Z3316" t="s">
        <v>832</v>
      </c>
      <c r="AA3316" t="s">
        <v>833</v>
      </c>
      <c r="AB3316" t="s">
        <v>193</v>
      </c>
    </row>
    <row r="3317" spans="1:28">
      <c r="A3317" t="s">
        <v>194</v>
      </c>
      <c r="B3317" t="s">
        <v>195</v>
      </c>
      <c r="C3317" t="s">
        <v>207</v>
      </c>
      <c r="D3317">
        <v>22040.900588283999</v>
      </c>
      <c r="E3317">
        <v>4000</v>
      </c>
      <c r="F3317">
        <v>300</v>
      </c>
      <c r="G3317">
        <v>200000</v>
      </c>
      <c r="H3317">
        <v>11192.20181634276</v>
      </c>
      <c r="I3317">
        <v>5000</v>
      </c>
      <c r="J3317">
        <v>300</v>
      </c>
      <c r="K3317">
        <v>100000</v>
      </c>
      <c r="L3317">
        <v>17113.433768660681</v>
      </c>
      <c r="M3317">
        <v>9000</v>
      </c>
      <c r="N3317">
        <v>400</v>
      </c>
      <c r="O3317">
        <v>320000</v>
      </c>
      <c r="P3317">
        <v>12310.01437800374</v>
      </c>
      <c r="Q3317">
        <v>6000</v>
      </c>
      <c r="R3317">
        <v>200</v>
      </c>
      <c r="S3317">
        <v>100000</v>
      </c>
      <c r="T3317">
        <v>183202.6996308981</v>
      </c>
      <c r="U3317">
        <v>6000</v>
      </c>
      <c r="V3317">
        <v>250</v>
      </c>
      <c r="W3317">
        <v>2000100</v>
      </c>
      <c r="X3317">
        <v>19401.691425851561</v>
      </c>
      <c r="Y3317">
        <v>1000</v>
      </c>
      <c r="Z3317">
        <v>400</v>
      </c>
      <c r="AA3317">
        <v>180000</v>
      </c>
      <c r="AB3317">
        <v>578</v>
      </c>
    </row>
    <row r="3318" spans="1:28">
      <c r="A3318" t="s">
        <v>194</v>
      </c>
      <c r="B3318" t="s">
        <v>195</v>
      </c>
      <c r="C3318" t="s">
        <v>209</v>
      </c>
      <c r="D3318">
        <v>11566.261902364889</v>
      </c>
      <c r="E3318">
        <v>5000</v>
      </c>
      <c r="F3318">
        <v>250</v>
      </c>
      <c r="G3318">
        <v>200000</v>
      </c>
      <c r="H3318">
        <v>7656.9087244732391</v>
      </c>
      <c r="I3318">
        <v>5000</v>
      </c>
      <c r="J3318">
        <v>250</v>
      </c>
      <c r="K3318">
        <v>68000</v>
      </c>
      <c r="L3318">
        <v>10129.49151888676</v>
      </c>
      <c r="M3318">
        <v>5000</v>
      </c>
      <c r="N3318">
        <v>100</v>
      </c>
      <c r="O3318">
        <v>230000</v>
      </c>
      <c r="P3318">
        <v>6796.9592423973509</v>
      </c>
      <c r="Q3318">
        <v>3000</v>
      </c>
      <c r="R3318">
        <v>100</v>
      </c>
      <c r="S3318">
        <v>60000</v>
      </c>
      <c r="T3318">
        <v>16473.3494932215</v>
      </c>
      <c r="U3318">
        <v>9000</v>
      </c>
      <c r="V3318">
        <v>600</v>
      </c>
      <c r="W3318">
        <v>240000</v>
      </c>
      <c r="X3318">
        <v>13970.801032545151</v>
      </c>
      <c r="Y3318">
        <v>7000</v>
      </c>
      <c r="Z3318">
        <v>400</v>
      </c>
      <c r="AA3318">
        <v>240000</v>
      </c>
      <c r="AB3318">
        <v>578</v>
      </c>
    </row>
    <row r="3319" spans="1:28">
      <c r="A3319" t="s">
        <v>194</v>
      </c>
      <c r="B3319" t="s">
        <v>199</v>
      </c>
      <c r="C3319" t="s">
        <v>207</v>
      </c>
      <c r="D3319">
        <v>21263.567927449771</v>
      </c>
      <c r="E3319">
        <v>12000</v>
      </c>
      <c r="F3319">
        <v>304</v>
      </c>
      <c r="G3319">
        <v>400000</v>
      </c>
      <c r="H3319">
        <v>13699.827462760461</v>
      </c>
      <c r="I3319">
        <v>10000</v>
      </c>
      <c r="J3319">
        <v>230</v>
      </c>
      <c r="K3319">
        <v>60000</v>
      </c>
      <c r="L3319">
        <v>27865.351873195588</v>
      </c>
      <c r="M3319">
        <v>16000</v>
      </c>
      <c r="N3319">
        <v>600</v>
      </c>
      <c r="O3319">
        <v>500000</v>
      </c>
      <c r="P3319">
        <v>11115.539189073061</v>
      </c>
      <c r="Q3319">
        <v>10000</v>
      </c>
      <c r="R3319">
        <v>500</v>
      </c>
      <c r="S3319">
        <v>120000</v>
      </c>
      <c r="T3319">
        <v>26372.81820788894</v>
      </c>
      <c r="U3319">
        <v>20000</v>
      </c>
      <c r="V3319">
        <v>1000</v>
      </c>
      <c r="W3319">
        <v>570000</v>
      </c>
      <c r="X3319">
        <v>15268.42225999101</v>
      </c>
      <c r="Y3319">
        <v>9500</v>
      </c>
      <c r="Z3319">
        <v>500</v>
      </c>
      <c r="AA3319">
        <v>44000</v>
      </c>
      <c r="AB3319">
        <v>578</v>
      </c>
    </row>
    <row r="3320" spans="1:28">
      <c r="A3320" t="s">
        <v>194</v>
      </c>
      <c r="B3320" t="s">
        <v>199</v>
      </c>
      <c r="C3320" t="s">
        <v>209</v>
      </c>
      <c r="D3320">
        <v>15110.46515324995</v>
      </c>
      <c r="E3320">
        <v>8000</v>
      </c>
      <c r="F3320">
        <v>200</v>
      </c>
      <c r="G3320">
        <v>400000</v>
      </c>
      <c r="H3320">
        <v>11255.61339153936</v>
      </c>
      <c r="I3320">
        <v>8000</v>
      </c>
      <c r="J3320">
        <v>100</v>
      </c>
      <c r="K3320">
        <v>200000</v>
      </c>
      <c r="L3320">
        <v>13486.274021985329</v>
      </c>
      <c r="M3320">
        <v>5000</v>
      </c>
      <c r="N3320">
        <v>100</v>
      </c>
      <c r="O3320">
        <v>400000</v>
      </c>
      <c r="P3320">
        <v>10996.737479456349</v>
      </c>
      <c r="Q3320">
        <v>6000</v>
      </c>
      <c r="R3320">
        <v>100</v>
      </c>
      <c r="S3320">
        <v>360000</v>
      </c>
      <c r="T3320">
        <v>24236.90731757721</v>
      </c>
      <c r="U3320">
        <v>8000</v>
      </c>
      <c r="V3320">
        <v>300</v>
      </c>
      <c r="W3320">
        <v>120000</v>
      </c>
      <c r="X3320">
        <v>22176.222781451219</v>
      </c>
      <c r="Y3320">
        <v>10000</v>
      </c>
      <c r="Z3320">
        <v>300</v>
      </c>
      <c r="AA3320">
        <v>242800</v>
      </c>
      <c r="AB3320">
        <v>578</v>
      </c>
    </row>
    <row r="3321" spans="1:28">
      <c r="A3321" t="s">
        <v>200</v>
      </c>
      <c r="B3321" t="s">
        <v>200</v>
      </c>
      <c r="C3321" t="s">
        <v>200</v>
      </c>
      <c r="D3321">
        <v>15839.04189143797</v>
      </c>
      <c r="E3321">
        <v>6500</v>
      </c>
      <c r="F3321">
        <v>200</v>
      </c>
      <c r="G3321">
        <v>400000</v>
      </c>
      <c r="H3321">
        <v>10378.83789361323</v>
      </c>
      <c r="I3321">
        <v>7000</v>
      </c>
      <c r="J3321">
        <v>100</v>
      </c>
      <c r="K3321">
        <v>200000</v>
      </c>
      <c r="L3321">
        <v>14046.9073967083</v>
      </c>
      <c r="M3321">
        <v>5700</v>
      </c>
      <c r="N3321">
        <v>100</v>
      </c>
      <c r="O3321">
        <v>500000</v>
      </c>
      <c r="P3321">
        <v>9837.522254461448</v>
      </c>
      <c r="Q3321">
        <v>5000</v>
      </c>
      <c r="R3321">
        <v>100</v>
      </c>
      <c r="S3321">
        <v>360000</v>
      </c>
      <c r="T3321">
        <v>44140.020204573761</v>
      </c>
      <c r="U3321">
        <v>10000</v>
      </c>
      <c r="V3321">
        <v>250</v>
      </c>
      <c r="W3321">
        <v>2000100</v>
      </c>
      <c r="X3321">
        <v>20121.033007910861</v>
      </c>
      <c r="Y3321">
        <v>8000</v>
      </c>
      <c r="Z3321">
        <v>300</v>
      </c>
      <c r="AA3321">
        <v>242800</v>
      </c>
      <c r="AB3321">
        <v>578</v>
      </c>
    </row>
    <row r="3323" spans="1:28" ht="45">
      <c r="A3323" s="22" t="s">
        <v>836</v>
      </c>
    </row>
    <row r="3324" spans="1:28">
      <c r="A3324" t="s">
        <v>184</v>
      </c>
      <c r="B3324" t="s">
        <v>185</v>
      </c>
      <c r="C3324" t="s">
        <v>810</v>
      </c>
      <c r="D3324" t="s">
        <v>811</v>
      </c>
      <c r="E3324" t="s">
        <v>812</v>
      </c>
      <c r="F3324" t="s">
        <v>813</v>
      </c>
      <c r="G3324" t="s">
        <v>814</v>
      </c>
      <c r="H3324" t="s">
        <v>815</v>
      </c>
      <c r="I3324" t="s">
        <v>816</v>
      </c>
      <c r="J3324" t="s">
        <v>817</v>
      </c>
      <c r="K3324" t="s">
        <v>818</v>
      </c>
      <c r="L3324" t="s">
        <v>819</v>
      </c>
      <c r="M3324" t="s">
        <v>820</v>
      </c>
      <c r="N3324" t="s">
        <v>821</v>
      </c>
      <c r="O3324" t="s">
        <v>822</v>
      </c>
      <c r="P3324" t="s">
        <v>823</v>
      </c>
      <c r="Q3324" t="s">
        <v>824</v>
      </c>
      <c r="R3324" t="s">
        <v>825</v>
      </c>
      <c r="S3324" t="s">
        <v>826</v>
      </c>
      <c r="T3324" t="s">
        <v>827</v>
      </c>
      <c r="U3324" t="s">
        <v>828</v>
      </c>
      <c r="V3324" t="s">
        <v>829</v>
      </c>
      <c r="W3324" t="s">
        <v>830</v>
      </c>
      <c r="X3324" t="s">
        <v>831</v>
      </c>
      <c r="Y3324" t="s">
        <v>832</v>
      </c>
      <c r="Z3324" t="s">
        <v>833</v>
      </c>
      <c r="AA3324" t="s">
        <v>193</v>
      </c>
    </row>
    <row r="3325" spans="1:28">
      <c r="A3325" t="s">
        <v>194</v>
      </c>
      <c r="B3325" t="s">
        <v>195</v>
      </c>
      <c r="C3325">
        <v>15349.25199614287</v>
      </c>
      <c r="D3325">
        <v>5000</v>
      </c>
      <c r="E3325">
        <v>250</v>
      </c>
      <c r="F3325">
        <v>200000</v>
      </c>
      <c r="G3325">
        <v>8354.591904734847</v>
      </c>
      <c r="H3325">
        <v>5000</v>
      </c>
      <c r="I3325">
        <v>250</v>
      </c>
      <c r="J3325">
        <v>100000</v>
      </c>
      <c r="K3325">
        <v>12142.25998530869</v>
      </c>
      <c r="L3325">
        <v>6000</v>
      </c>
      <c r="M3325">
        <v>100</v>
      </c>
      <c r="N3325">
        <v>320000</v>
      </c>
      <c r="O3325">
        <v>7904.9867225175922</v>
      </c>
      <c r="P3325">
        <v>4000</v>
      </c>
      <c r="Q3325">
        <v>100</v>
      </c>
      <c r="R3325">
        <v>100000</v>
      </c>
      <c r="S3325">
        <v>62662.772700801681</v>
      </c>
      <c r="T3325">
        <v>8000</v>
      </c>
      <c r="U3325">
        <v>250</v>
      </c>
      <c r="V3325">
        <v>2000100</v>
      </c>
      <c r="W3325">
        <v>15461.74230523004</v>
      </c>
      <c r="X3325">
        <v>5000</v>
      </c>
      <c r="Y3325">
        <v>400</v>
      </c>
      <c r="Z3325">
        <v>240000</v>
      </c>
      <c r="AA3325">
        <v>578</v>
      </c>
    </row>
    <row r="3326" spans="1:28">
      <c r="A3326" t="s">
        <v>194</v>
      </c>
      <c r="B3326" t="s">
        <v>199</v>
      </c>
      <c r="C3326">
        <v>16064.43955929255</v>
      </c>
      <c r="D3326">
        <v>8000</v>
      </c>
      <c r="E3326">
        <v>200</v>
      </c>
      <c r="F3326">
        <v>400000</v>
      </c>
      <c r="G3326">
        <v>11524.81519419607</v>
      </c>
      <c r="H3326">
        <v>8000</v>
      </c>
      <c r="I3326">
        <v>100</v>
      </c>
      <c r="J3326">
        <v>200000</v>
      </c>
      <c r="K3326">
        <v>15451.81054932515</v>
      </c>
      <c r="L3326">
        <v>5500</v>
      </c>
      <c r="M3326">
        <v>100</v>
      </c>
      <c r="N3326">
        <v>500000</v>
      </c>
      <c r="O3326">
        <v>11010.81141765083</v>
      </c>
      <c r="P3326">
        <v>6000</v>
      </c>
      <c r="Q3326">
        <v>100</v>
      </c>
      <c r="R3326">
        <v>360000</v>
      </c>
      <c r="S3326">
        <v>24692.768265232669</v>
      </c>
      <c r="T3326">
        <v>10000</v>
      </c>
      <c r="U3326">
        <v>300</v>
      </c>
      <c r="V3326">
        <v>570000</v>
      </c>
      <c r="W3326">
        <v>21371.103448991849</v>
      </c>
      <c r="X3326">
        <v>9000</v>
      </c>
      <c r="Y3326">
        <v>300</v>
      </c>
      <c r="Z3326">
        <v>242800</v>
      </c>
      <c r="AA3326">
        <v>578</v>
      </c>
    </row>
    <row r="3327" spans="1:28">
      <c r="A3327" t="s">
        <v>200</v>
      </c>
      <c r="B3327" t="s">
        <v>200</v>
      </c>
      <c r="C3327">
        <v>15839.04189143797</v>
      </c>
      <c r="D3327">
        <v>6500</v>
      </c>
      <c r="E3327">
        <v>200</v>
      </c>
      <c r="F3327">
        <v>400000</v>
      </c>
      <c r="G3327">
        <v>10378.83789361323</v>
      </c>
      <c r="H3327">
        <v>7000</v>
      </c>
      <c r="I3327">
        <v>100</v>
      </c>
      <c r="J3327">
        <v>200000</v>
      </c>
      <c r="K3327">
        <v>14046.9073967083</v>
      </c>
      <c r="L3327">
        <v>5700</v>
      </c>
      <c r="M3327">
        <v>100</v>
      </c>
      <c r="N3327">
        <v>500000</v>
      </c>
      <c r="O3327">
        <v>9837.522254461448</v>
      </c>
      <c r="P3327">
        <v>5000</v>
      </c>
      <c r="Q3327">
        <v>100</v>
      </c>
      <c r="R3327">
        <v>360000</v>
      </c>
      <c r="S3327">
        <v>44140.020204573761</v>
      </c>
      <c r="T3327">
        <v>10000</v>
      </c>
      <c r="U3327">
        <v>250</v>
      </c>
      <c r="V3327">
        <v>2000100</v>
      </c>
      <c r="W3327">
        <v>20121.033007910861</v>
      </c>
      <c r="X3327">
        <v>8000</v>
      </c>
      <c r="Y3327">
        <v>300</v>
      </c>
      <c r="Z3327">
        <v>242800</v>
      </c>
      <c r="AA3327">
        <v>578</v>
      </c>
    </row>
    <row r="3329" spans="1:28" ht="45">
      <c r="A3329" s="22" t="s">
        <v>837</v>
      </c>
    </row>
    <row r="3330" spans="1:28">
      <c r="A3330" t="s">
        <v>184</v>
      </c>
      <c r="B3330" t="s">
        <v>185</v>
      </c>
      <c r="C3330" t="s">
        <v>186</v>
      </c>
      <c r="D3330" t="s">
        <v>810</v>
      </c>
      <c r="E3330" t="s">
        <v>811</v>
      </c>
      <c r="F3330" t="s">
        <v>812</v>
      </c>
      <c r="G3330" t="s">
        <v>813</v>
      </c>
      <c r="H3330" t="s">
        <v>814</v>
      </c>
      <c r="I3330" t="s">
        <v>815</v>
      </c>
      <c r="J3330" t="s">
        <v>816</v>
      </c>
      <c r="K3330" t="s">
        <v>817</v>
      </c>
      <c r="L3330" t="s">
        <v>818</v>
      </c>
      <c r="M3330" t="s">
        <v>819</v>
      </c>
      <c r="N3330" t="s">
        <v>820</v>
      </c>
      <c r="O3330" t="s">
        <v>821</v>
      </c>
      <c r="P3330" t="s">
        <v>822</v>
      </c>
      <c r="Q3330" t="s">
        <v>823</v>
      </c>
      <c r="R3330" t="s">
        <v>824</v>
      </c>
      <c r="S3330" t="s">
        <v>825</v>
      </c>
      <c r="T3330" t="s">
        <v>826</v>
      </c>
      <c r="U3330" t="s">
        <v>827</v>
      </c>
      <c r="V3330" t="s">
        <v>828</v>
      </c>
      <c r="W3330" t="s">
        <v>829</v>
      </c>
      <c r="X3330" t="s">
        <v>830</v>
      </c>
      <c r="Y3330" t="s">
        <v>831</v>
      </c>
      <c r="Z3330" t="s">
        <v>832</v>
      </c>
      <c r="AA3330" t="s">
        <v>833</v>
      </c>
      <c r="AB3330" t="s">
        <v>193</v>
      </c>
    </row>
    <row r="3331" spans="1:28">
      <c r="A3331" t="s">
        <v>194</v>
      </c>
      <c r="B3331" t="s">
        <v>195</v>
      </c>
      <c r="C3331" t="s">
        <v>212</v>
      </c>
      <c r="D3331">
        <v>16649.08624452501</v>
      </c>
      <c r="E3331">
        <v>4700</v>
      </c>
      <c r="F3331">
        <v>250</v>
      </c>
      <c r="G3331">
        <v>200000</v>
      </c>
      <c r="H3331">
        <v>8390.20926138096</v>
      </c>
      <c r="I3331">
        <v>5000</v>
      </c>
      <c r="J3331">
        <v>300</v>
      </c>
      <c r="K3331">
        <v>100000</v>
      </c>
      <c r="L3331">
        <v>11762.587936634311</v>
      </c>
      <c r="M3331">
        <v>6000</v>
      </c>
      <c r="N3331">
        <v>300</v>
      </c>
      <c r="O3331">
        <v>320000</v>
      </c>
      <c r="P3331">
        <v>7500.6493690370344</v>
      </c>
      <c r="Q3331">
        <v>3000</v>
      </c>
      <c r="R3331">
        <v>100</v>
      </c>
      <c r="S3331">
        <v>100000</v>
      </c>
      <c r="T3331">
        <v>17747.454405883731</v>
      </c>
      <c r="U3331">
        <v>10000</v>
      </c>
      <c r="V3331">
        <v>600</v>
      </c>
      <c r="W3331">
        <v>240000</v>
      </c>
      <c r="X3331">
        <v>14115.06239956169</v>
      </c>
      <c r="Y3331">
        <v>7000</v>
      </c>
      <c r="Z3331">
        <v>400</v>
      </c>
      <c r="AA3331">
        <v>100000</v>
      </c>
      <c r="AB3331">
        <v>578</v>
      </c>
    </row>
    <row r="3332" spans="1:28">
      <c r="A3332" t="s">
        <v>194</v>
      </c>
      <c r="B3332" t="s">
        <v>195</v>
      </c>
      <c r="C3332" t="s">
        <v>214</v>
      </c>
      <c r="D3332">
        <v>10517.24461787496</v>
      </c>
      <c r="E3332">
        <v>6000</v>
      </c>
      <c r="F3332">
        <v>600</v>
      </c>
      <c r="G3332">
        <v>45000</v>
      </c>
      <c r="H3332">
        <v>4061.0306068832651</v>
      </c>
      <c r="I3332">
        <v>2000</v>
      </c>
      <c r="J3332">
        <v>250</v>
      </c>
      <c r="K3332">
        <v>20000</v>
      </c>
      <c r="L3332">
        <v>6253.6260920071054</v>
      </c>
      <c r="M3332">
        <v>3000</v>
      </c>
      <c r="N3332">
        <v>100</v>
      </c>
      <c r="O3332">
        <v>100000</v>
      </c>
      <c r="P3332">
        <v>20736.043050976441</v>
      </c>
      <c r="Q3332">
        <v>35000</v>
      </c>
      <c r="R3332">
        <v>1000</v>
      </c>
      <c r="S3332">
        <v>35000</v>
      </c>
      <c r="T3332">
        <v>305648.80731520732</v>
      </c>
      <c r="U3332">
        <v>10800</v>
      </c>
      <c r="V3332">
        <v>1800</v>
      </c>
      <c r="W3332">
        <v>2000100</v>
      </c>
      <c r="X3332">
        <v>5036.093909872493</v>
      </c>
      <c r="Y3332">
        <v>1000</v>
      </c>
      <c r="Z3332">
        <v>400</v>
      </c>
      <c r="AA3332">
        <v>33000</v>
      </c>
      <c r="AB3332">
        <v>578</v>
      </c>
    </row>
    <row r="3333" spans="1:28">
      <c r="A3333" t="s">
        <v>194</v>
      </c>
      <c r="B3333" t="s">
        <v>195</v>
      </c>
      <c r="C3333" t="s">
        <v>215</v>
      </c>
      <c r="D3333">
        <v>14276.476049743511</v>
      </c>
      <c r="E3333">
        <v>8000</v>
      </c>
      <c r="F3333">
        <v>600</v>
      </c>
      <c r="G3333">
        <v>70000</v>
      </c>
      <c r="H3333">
        <v>13389.964998011759</v>
      </c>
      <c r="I3333">
        <v>10000</v>
      </c>
      <c r="J3333">
        <v>1000</v>
      </c>
      <c r="K3333">
        <v>75000</v>
      </c>
      <c r="L3333">
        <v>25564.078344964859</v>
      </c>
      <c r="M3333">
        <v>7000</v>
      </c>
      <c r="N3333">
        <v>100</v>
      </c>
      <c r="O3333">
        <v>200000</v>
      </c>
      <c r="P3333">
        <v>7228.5382248930537</v>
      </c>
      <c r="Q3333">
        <v>5000</v>
      </c>
      <c r="R3333">
        <v>300</v>
      </c>
      <c r="S3333">
        <v>30000</v>
      </c>
      <c r="T3333">
        <v>8186.5685722097714</v>
      </c>
      <c r="U3333">
        <v>6000</v>
      </c>
      <c r="V3333">
        <v>250</v>
      </c>
      <c r="W3333">
        <v>30000</v>
      </c>
      <c r="X3333">
        <v>183020.8206531899</v>
      </c>
      <c r="Y3333">
        <v>180000</v>
      </c>
      <c r="Z3333">
        <v>180000</v>
      </c>
      <c r="AA3333">
        <v>240000</v>
      </c>
      <c r="AB3333">
        <v>578</v>
      </c>
    </row>
    <row r="3334" spans="1:28">
      <c r="A3334" t="s">
        <v>194</v>
      </c>
      <c r="B3334" t="s">
        <v>199</v>
      </c>
      <c r="C3334" t="s">
        <v>212</v>
      </c>
      <c r="D3334">
        <v>15525.91059248573</v>
      </c>
      <c r="E3334">
        <v>8000</v>
      </c>
      <c r="F3334">
        <v>300</v>
      </c>
      <c r="G3334">
        <v>400000</v>
      </c>
      <c r="H3334">
        <v>12232.09716277511</v>
      </c>
      <c r="I3334">
        <v>8000</v>
      </c>
      <c r="J3334">
        <v>200</v>
      </c>
      <c r="K3334">
        <v>200000</v>
      </c>
      <c r="L3334">
        <v>13472.29968208498</v>
      </c>
      <c r="M3334">
        <v>5000</v>
      </c>
      <c r="N3334">
        <v>100</v>
      </c>
      <c r="O3334">
        <v>500000</v>
      </c>
      <c r="P3334">
        <v>11326.21012487344</v>
      </c>
      <c r="Q3334">
        <v>6000</v>
      </c>
      <c r="R3334">
        <v>100</v>
      </c>
      <c r="S3334">
        <v>360000</v>
      </c>
      <c r="T3334">
        <v>27433.25392019307</v>
      </c>
      <c r="U3334">
        <v>10000</v>
      </c>
      <c r="V3334">
        <v>300</v>
      </c>
      <c r="W3334">
        <v>570000</v>
      </c>
      <c r="X3334">
        <v>15023.25282460818</v>
      </c>
      <c r="Y3334">
        <v>9000</v>
      </c>
      <c r="Z3334">
        <v>300</v>
      </c>
      <c r="AA3334">
        <v>123000</v>
      </c>
      <c r="AB3334">
        <v>578</v>
      </c>
    </row>
    <row r="3335" spans="1:28">
      <c r="A3335" t="s">
        <v>194</v>
      </c>
      <c r="B3335" t="s">
        <v>199</v>
      </c>
      <c r="C3335" t="s">
        <v>214</v>
      </c>
      <c r="D3335">
        <v>12481.120481057749</v>
      </c>
      <c r="E3335">
        <v>5000</v>
      </c>
      <c r="F3335">
        <v>200</v>
      </c>
      <c r="G3335">
        <v>150000</v>
      </c>
      <c r="H3335">
        <v>5718.5395077725852</v>
      </c>
      <c r="I3335">
        <v>4800</v>
      </c>
      <c r="J3335">
        <v>100</v>
      </c>
      <c r="K3335">
        <v>60000</v>
      </c>
      <c r="L3335">
        <v>26138.95842278899</v>
      </c>
      <c r="M3335">
        <v>3000</v>
      </c>
      <c r="N3335">
        <v>200</v>
      </c>
      <c r="O3335">
        <v>400000</v>
      </c>
      <c r="P3335">
        <v>8178.7610008140482</v>
      </c>
      <c r="Q3335">
        <v>10000</v>
      </c>
      <c r="R3335">
        <v>400</v>
      </c>
      <c r="S3335">
        <v>60000</v>
      </c>
      <c r="T3335">
        <v>8101.992125116727</v>
      </c>
      <c r="U3335">
        <v>8600</v>
      </c>
      <c r="V3335">
        <v>1200</v>
      </c>
      <c r="W3335">
        <v>100000</v>
      </c>
      <c r="X3335">
        <v>13955.30140197025</v>
      </c>
      <c r="Y3335">
        <v>10000</v>
      </c>
      <c r="Z3335">
        <v>1000</v>
      </c>
      <c r="AA3335">
        <v>45000</v>
      </c>
      <c r="AB3335">
        <v>578</v>
      </c>
    </row>
    <row r="3336" spans="1:28">
      <c r="A3336" t="s">
        <v>194</v>
      </c>
      <c r="B3336" t="s">
        <v>199</v>
      </c>
      <c r="C3336" t="s">
        <v>215</v>
      </c>
      <c r="D3336">
        <v>21774.49500297954</v>
      </c>
      <c r="E3336">
        <v>5000</v>
      </c>
      <c r="F3336">
        <v>300</v>
      </c>
      <c r="G3336">
        <v>200000</v>
      </c>
      <c r="H3336">
        <v>13353.17195394878</v>
      </c>
      <c r="I3336">
        <v>10000</v>
      </c>
      <c r="J3336">
        <v>250</v>
      </c>
      <c r="K3336">
        <v>60000</v>
      </c>
      <c r="L3336">
        <v>16101.849688778981</v>
      </c>
      <c r="M3336">
        <v>7000</v>
      </c>
      <c r="N3336">
        <v>400</v>
      </c>
      <c r="O3336">
        <v>90000</v>
      </c>
      <c r="P3336">
        <v>11107.809921310431</v>
      </c>
      <c r="Q3336">
        <v>7000</v>
      </c>
      <c r="R3336">
        <v>100</v>
      </c>
      <c r="S3336">
        <v>240000</v>
      </c>
      <c r="T3336">
        <v>27828.416337800631</v>
      </c>
      <c r="U3336">
        <v>24000</v>
      </c>
      <c r="V3336">
        <v>300</v>
      </c>
      <c r="W3336">
        <v>60000</v>
      </c>
      <c r="X3336">
        <v>97074.786259336732</v>
      </c>
      <c r="Y3336">
        <v>14000</v>
      </c>
      <c r="Z3336">
        <v>300</v>
      </c>
      <c r="AA3336">
        <v>242800</v>
      </c>
      <c r="AB3336">
        <v>578</v>
      </c>
    </row>
    <row r="3337" spans="1:28">
      <c r="A3337" t="s">
        <v>200</v>
      </c>
      <c r="B3337" t="s">
        <v>200</v>
      </c>
      <c r="C3337" t="s">
        <v>200</v>
      </c>
      <c r="D3337">
        <v>15839.04189143797</v>
      </c>
      <c r="E3337">
        <v>6500</v>
      </c>
      <c r="F3337">
        <v>200</v>
      </c>
      <c r="G3337">
        <v>400000</v>
      </c>
      <c r="H3337">
        <v>10378.83789361323</v>
      </c>
      <c r="I3337">
        <v>7000</v>
      </c>
      <c r="J3337">
        <v>100</v>
      </c>
      <c r="K3337">
        <v>200000</v>
      </c>
      <c r="L3337">
        <v>14046.9073967083</v>
      </c>
      <c r="M3337">
        <v>5700</v>
      </c>
      <c r="N3337">
        <v>100</v>
      </c>
      <c r="O3337">
        <v>500000</v>
      </c>
      <c r="P3337">
        <v>9837.522254461448</v>
      </c>
      <c r="Q3337">
        <v>5000</v>
      </c>
      <c r="R3337">
        <v>100</v>
      </c>
      <c r="S3337">
        <v>360000</v>
      </c>
      <c r="T3337">
        <v>44140.020204573761</v>
      </c>
      <c r="U3337">
        <v>10000</v>
      </c>
      <c r="V3337">
        <v>250</v>
      </c>
      <c r="W3337">
        <v>2000100</v>
      </c>
      <c r="X3337">
        <v>20121.033007910861</v>
      </c>
      <c r="Y3337">
        <v>8000</v>
      </c>
      <c r="Z3337">
        <v>300</v>
      </c>
      <c r="AA3337">
        <v>242800</v>
      </c>
      <c r="AB3337">
        <v>578</v>
      </c>
    </row>
    <row r="3339" spans="1:28" ht="45">
      <c r="A3339" s="22" t="s">
        <v>838</v>
      </c>
    </row>
    <row r="3340" spans="1:28">
      <c r="A3340" t="s">
        <v>184</v>
      </c>
      <c r="B3340" t="s">
        <v>185</v>
      </c>
      <c r="C3340" t="s">
        <v>186</v>
      </c>
      <c r="D3340" t="s">
        <v>810</v>
      </c>
      <c r="E3340" t="s">
        <v>811</v>
      </c>
      <c r="F3340" t="s">
        <v>812</v>
      </c>
      <c r="G3340" t="s">
        <v>813</v>
      </c>
      <c r="H3340" t="s">
        <v>814</v>
      </c>
      <c r="I3340" t="s">
        <v>815</v>
      </c>
      <c r="J3340" t="s">
        <v>816</v>
      </c>
      <c r="K3340" t="s">
        <v>817</v>
      </c>
      <c r="L3340" t="s">
        <v>818</v>
      </c>
      <c r="M3340" t="s">
        <v>819</v>
      </c>
      <c r="N3340" t="s">
        <v>820</v>
      </c>
      <c r="O3340" t="s">
        <v>821</v>
      </c>
      <c r="P3340" t="s">
        <v>822</v>
      </c>
      <c r="Q3340" t="s">
        <v>823</v>
      </c>
      <c r="R3340" t="s">
        <v>824</v>
      </c>
      <c r="S3340" t="s">
        <v>825</v>
      </c>
      <c r="T3340" t="s">
        <v>826</v>
      </c>
      <c r="U3340" t="s">
        <v>827</v>
      </c>
      <c r="V3340" t="s">
        <v>828</v>
      </c>
      <c r="W3340" t="s">
        <v>829</v>
      </c>
      <c r="X3340" t="s">
        <v>830</v>
      </c>
      <c r="Y3340" t="s">
        <v>831</v>
      </c>
      <c r="Z3340" t="s">
        <v>832</v>
      </c>
      <c r="AA3340" t="s">
        <v>833</v>
      </c>
      <c r="AB3340" t="s">
        <v>193</v>
      </c>
    </row>
    <row r="3341" spans="1:28">
      <c r="A3341" t="s">
        <v>194</v>
      </c>
      <c r="B3341" t="s">
        <v>195</v>
      </c>
      <c r="C3341" t="s">
        <v>217</v>
      </c>
      <c r="D3341">
        <v>17996.276927094779</v>
      </c>
      <c r="E3341">
        <v>5000</v>
      </c>
      <c r="F3341">
        <v>250</v>
      </c>
      <c r="G3341">
        <v>200000</v>
      </c>
      <c r="H3341">
        <v>10024.54342648863</v>
      </c>
      <c r="I3341">
        <v>6000</v>
      </c>
      <c r="J3341">
        <v>300</v>
      </c>
      <c r="K3341">
        <v>100000</v>
      </c>
      <c r="L3341">
        <v>13760.982927622619</v>
      </c>
      <c r="M3341">
        <v>6000</v>
      </c>
      <c r="N3341">
        <v>100</v>
      </c>
      <c r="O3341">
        <v>300000</v>
      </c>
      <c r="P3341">
        <v>7414.5606442606222</v>
      </c>
      <c r="Q3341">
        <v>4200</v>
      </c>
      <c r="R3341">
        <v>200</v>
      </c>
      <c r="S3341">
        <v>68000</v>
      </c>
      <c r="T3341">
        <v>15159.97428299965</v>
      </c>
      <c r="U3341">
        <v>10000</v>
      </c>
      <c r="V3341">
        <v>250</v>
      </c>
      <c r="W3341">
        <v>50000</v>
      </c>
      <c r="X3341">
        <v>26060.0720067742</v>
      </c>
      <c r="Y3341">
        <v>10000</v>
      </c>
      <c r="Z3341">
        <v>700</v>
      </c>
      <c r="AA3341">
        <v>240000</v>
      </c>
      <c r="AB3341">
        <v>578</v>
      </c>
    </row>
    <row r="3342" spans="1:28">
      <c r="A3342" t="s">
        <v>194</v>
      </c>
      <c r="B3342" t="s">
        <v>195</v>
      </c>
      <c r="C3342" t="s">
        <v>219</v>
      </c>
      <c r="D3342">
        <v>12032.95116948712</v>
      </c>
      <c r="E3342">
        <v>5000</v>
      </c>
      <c r="F3342">
        <v>300</v>
      </c>
      <c r="G3342">
        <v>150000</v>
      </c>
      <c r="H3342">
        <v>6716.765057481538</v>
      </c>
      <c r="I3342">
        <v>4000</v>
      </c>
      <c r="J3342">
        <v>250</v>
      </c>
      <c r="K3342">
        <v>60000</v>
      </c>
      <c r="L3342">
        <v>9591.0996495242871</v>
      </c>
      <c r="M3342">
        <v>5000</v>
      </c>
      <c r="N3342">
        <v>300</v>
      </c>
      <c r="O3342">
        <v>320000</v>
      </c>
      <c r="P3342">
        <v>6741.551362678214</v>
      </c>
      <c r="Q3342">
        <v>3000</v>
      </c>
      <c r="R3342">
        <v>100</v>
      </c>
      <c r="S3342">
        <v>100000</v>
      </c>
      <c r="T3342">
        <v>136920.0930719662</v>
      </c>
      <c r="U3342">
        <v>8000</v>
      </c>
      <c r="V3342">
        <v>600</v>
      </c>
      <c r="W3342">
        <v>2000100</v>
      </c>
      <c r="X3342">
        <v>1717.565704067064</v>
      </c>
      <c r="Y3342">
        <v>1100</v>
      </c>
      <c r="Z3342">
        <v>400</v>
      </c>
      <c r="AA3342">
        <v>6000</v>
      </c>
      <c r="AB3342">
        <v>578</v>
      </c>
    </row>
    <row r="3343" spans="1:28">
      <c r="A3343" t="s">
        <v>194</v>
      </c>
      <c r="B3343" t="s">
        <v>195</v>
      </c>
      <c r="C3343" t="s">
        <v>220</v>
      </c>
      <c r="D3343">
        <v>15533.720512653321</v>
      </c>
      <c r="E3343">
        <v>6000</v>
      </c>
      <c r="F3343">
        <v>300</v>
      </c>
      <c r="G3343">
        <v>200000</v>
      </c>
      <c r="H3343">
        <v>6362.97910966381</v>
      </c>
      <c r="I3343">
        <v>5000</v>
      </c>
      <c r="J3343">
        <v>500</v>
      </c>
      <c r="K3343">
        <v>30000</v>
      </c>
      <c r="L3343">
        <v>13642.47565653042</v>
      </c>
      <c r="M3343">
        <v>6000</v>
      </c>
      <c r="N3343">
        <v>100</v>
      </c>
      <c r="O3343">
        <v>90000</v>
      </c>
      <c r="P3343">
        <v>11885.9650790248</v>
      </c>
      <c r="Q3343">
        <v>5000</v>
      </c>
      <c r="R3343">
        <v>250</v>
      </c>
      <c r="S3343">
        <v>60000</v>
      </c>
      <c r="T3343">
        <v>26150.21449010861</v>
      </c>
      <c r="U3343">
        <v>15000</v>
      </c>
      <c r="V3343">
        <v>2000</v>
      </c>
      <c r="W3343">
        <v>240000</v>
      </c>
      <c r="X3343">
        <v>10570.771848023751</v>
      </c>
      <c r="Y3343">
        <v>13000</v>
      </c>
      <c r="Z3343">
        <v>800</v>
      </c>
      <c r="AA3343">
        <v>44000</v>
      </c>
      <c r="AB3343">
        <v>578</v>
      </c>
    </row>
    <row r="3344" spans="1:28">
      <c r="A3344" t="s">
        <v>194</v>
      </c>
      <c r="B3344" t="s">
        <v>199</v>
      </c>
      <c r="C3344" t="s">
        <v>217</v>
      </c>
      <c r="D3344">
        <v>14908.754994783651</v>
      </c>
      <c r="E3344">
        <v>8000</v>
      </c>
      <c r="F3344">
        <v>300</v>
      </c>
      <c r="G3344">
        <v>400000</v>
      </c>
      <c r="H3344">
        <v>11761.38109249125</v>
      </c>
      <c r="I3344">
        <v>8000</v>
      </c>
      <c r="J3344">
        <v>200</v>
      </c>
      <c r="K3344">
        <v>200000</v>
      </c>
      <c r="L3344">
        <v>11504.207907098789</v>
      </c>
      <c r="M3344">
        <v>5000</v>
      </c>
      <c r="N3344">
        <v>100</v>
      </c>
      <c r="O3344">
        <v>250000</v>
      </c>
      <c r="P3344">
        <v>11175.26623794232</v>
      </c>
      <c r="Q3344">
        <v>6000</v>
      </c>
      <c r="R3344">
        <v>100</v>
      </c>
      <c r="S3344">
        <v>360000</v>
      </c>
      <c r="T3344">
        <v>24748.460959869721</v>
      </c>
      <c r="U3344">
        <v>15000</v>
      </c>
      <c r="V3344">
        <v>300</v>
      </c>
      <c r="W3344">
        <v>570000</v>
      </c>
      <c r="X3344">
        <v>13820.27968550562</v>
      </c>
      <c r="Y3344">
        <v>9500</v>
      </c>
      <c r="Z3344">
        <v>300</v>
      </c>
      <c r="AA3344">
        <v>123000</v>
      </c>
      <c r="AB3344">
        <v>578</v>
      </c>
    </row>
    <row r="3345" spans="1:28">
      <c r="A3345" t="s">
        <v>194</v>
      </c>
      <c r="B3345" t="s">
        <v>199</v>
      </c>
      <c r="C3345" t="s">
        <v>219</v>
      </c>
      <c r="D3345">
        <v>12507.399874769349</v>
      </c>
      <c r="E3345">
        <v>6500</v>
      </c>
      <c r="F3345">
        <v>200</v>
      </c>
      <c r="G3345">
        <v>200000</v>
      </c>
      <c r="H3345">
        <v>10355.559511323279</v>
      </c>
      <c r="I3345">
        <v>7000</v>
      </c>
      <c r="J3345">
        <v>100</v>
      </c>
      <c r="K3345">
        <v>90000</v>
      </c>
      <c r="L3345">
        <v>13022.047145525979</v>
      </c>
      <c r="M3345">
        <v>6000</v>
      </c>
      <c r="N3345">
        <v>200</v>
      </c>
      <c r="O3345">
        <v>350000</v>
      </c>
      <c r="P3345">
        <v>10030.742225753151</v>
      </c>
      <c r="Q3345">
        <v>6000</v>
      </c>
      <c r="R3345">
        <v>100</v>
      </c>
      <c r="S3345">
        <v>78000</v>
      </c>
      <c r="T3345">
        <v>11718.8629405225</v>
      </c>
      <c r="U3345">
        <v>8000</v>
      </c>
      <c r="V3345">
        <v>500</v>
      </c>
      <c r="W3345">
        <v>70000</v>
      </c>
      <c r="X3345">
        <v>13025.422787119271</v>
      </c>
      <c r="Y3345">
        <v>8000</v>
      </c>
      <c r="Z3345">
        <v>500</v>
      </c>
      <c r="AA3345">
        <v>75000</v>
      </c>
      <c r="AB3345">
        <v>578</v>
      </c>
    </row>
    <row r="3346" spans="1:28">
      <c r="A3346" t="s">
        <v>194</v>
      </c>
      <c r="B3346" t="s">
        <v>199</v>
      </c>
      <c r="C3346" t="s">
        <v>220</v>
      </c>
      <c r="D3346">
        <v>23384.90574871788</v>
      </c>
      <c r="E3346">
        <v>10000</v>
      </c>
      <c r="F3346">
        <v>300</v>
      </c>
      <c r="G3346">
        <v>400000</v>
      </c>
      <c r="H3346">
        <v>12186.363591857669</v>
      </c>
      <c r="I3346">
        <v>8000</v>
      </c>
      <c r="J3346">
        <v>250</v>
      </c>
      <c r="K3346">
        <v>100000</v>
      </c>
      <c r="L3346">
        <v>34014.952365366247</v>
      </c>
      <c r="M3346">
        <v>5000</v>
      </c>
      <c r="N3346">
        <v>200</v>
      </c>
      <c r="O3346">
        <v>500000</v>
      </c>
      <c r="P3346">
        <v>11613.79146664996</v>
      </c>
      <c r="Q3346">
        <v>10000</v>
      </c>
      <c r="R3346">
        <v>300</v>
      </c>
      <c r="S3346">
        <v>90000</v>
      </c>
      <c r="T3346">
        <v>33763.631239111914</v>
      </c>
      <c r="U3346">
        <v>8000</v>
      </c>
      <c r="V3346">
        <v>300</v>
      </c>
      <c r="W3346">
        <v>120000</v>
      </c>
      <c r="X3346">
        <v>49774.816143782577</v>
      </c>
      <c r="Y3346">
        <v>18000</v>
      </c>
      <c r="Z3346">
        <v>300</v>
      </c>
      <c r="AA3346">
        <v>242800</v>
      </c>
      <c r="AB3346">
        <v>578</v>
      </c>
    </row>
    <row r="3347" spans="1:28">
      <c r="A3347" t="s">
        <v>200</v>
      </c>
      <c r="B3347" t="s">
        <v>200</v>
      </c>
      <c r="C3347" t="s">
        <v>200</v>
      </c>
      <c r="D3347">
        <v>15839.04189143797</v>
      </c>
      <c r="E3347">
        <v>6500</v>
      </c>
      <c r="F3347">
        <v>200</v>
      </c>
      <c r="G3347">
        <v>400000</v>
      </c>
      <c r="H3347">
        <v>10378.83789361323</v>
      </c>
      <c r="I3347">
        <v>7000</v>
      </c>
      <c r="J3347">
        <v>100</v>
      </c>
      <c r="K3347">
        <v>200000</v>
      </c>
      <c r="L3347">
        <v>14046.9073967083</v>
      </c>
      <c r="M3347">
        <v>5700</v>
      </c>
      <c r="N3347">
        <v>100</v>
      </c>
      <c r="O3347">
        <v>500000</v>
      </c>
      <c r="P3347">
        <v>9837.522254461448</v>
      </c>
      <c r="Q3347">
        <v>5000</v>
      </c>
      <c r="R3347">
        <v>100</v>
      </c>
      <c r="S3347">
        <v>360000</v>
      </c>
      <c r="T3347">
        <v>44140.020204573761</v>
      </c>
      <c r="U3347">
        <v>10000</v>
      </c>
      <c r="V3347">
        <v>250</v>
      </c>
      <c r="W3347">
        <v>2000100</v>
      </c>
      <c r="X3347">
        <v>20121.033007910861</v>
      </c>
      <c r="Y3347">
        <v>8000</v>
      </c>
      <c r="Z3347">
        <v>300</v>
      </c>
      <c r="AA3347">
        <v>242800</v>
      </c>
      <c r="AB3347">
        <v>578</v>
      </c>
    </row>
    <row r="3349" spans="1:28" ht="45">
      <c r="A3349" s="22" t="s">
        <v>839</v>
      </c>
    </row>
    <row r="3350" spans="1:28">
      <c r="A3350" t="s">
        <v>184</v>
      </c>
      <c r="B3350" t="s">
        <v>185</v>
      </c>
      <c r="C3350" t="s">
        <v>186</v>
      </c>
      <c r="D3350" t="s">
        <v>187</v>
      </c>
      <c r="E3350" t="s">
        <v>188</v>
      </c>
      <c r="F3350" t="s">
        <v>189</v>
      </c>
      <c r="G3350" t="s">
        <v>190</v>
      </c>
      <c r="H3350" t="s">
        <v>191</v>
      </c>
      <c r="I3350" t="s">
        <v>192</v>
      </c>
      <c r="J3350" t="s">
        <v>193</v>
      </c>
    </row>
    <row r="3351" spans="1:28">
      <c r="A3351" t="s">
        <v>194</v>
      </c>
      <c r="B3351" t="s">
        <v>195</v>
      </c>
      <c r="C3351" t="s">
        <v>196</v>
      </c>
      <c r="D3351" t="s">
        <v>197</v>
      </c>
      <c r="E3351">
        <v>5819.0006938453698</v>
      </c>
      <c r="F3351">
        <v>4566.6666666666697</v>
      </c>
      <c r="G3351">
        <v>100</v>
      </c>
      <c r="H3351">
        <v>29488.888888888901</v>
      </c>
      <c r="I3351">
        <v>405</v>
      </c>
      <c r="J3351">
        <v>2631</v>
      </c>
    </row>
    <row r="3352" spans="1:28">
      <c r="A3352" t="s">
        <v>194</v>
      </c>
      <c r="B3352" t="s">
        <v>195</v>
      </c>
      <c r="C3352" t="s">
        <v>198</v>
      </c>
      <c r="D3352" t="s">
        <v>197</v>
      </c>
      <c r="E3352">
        <v>9284.3956613730552</v>
      </c>
      <c r="F3352">
        <v>6777.7777777777801</v>
      </c>
      <c r="G3352">
        <v>25</v>
      </c>
      <c r="H3352">
        <v>335491.66666666698</v>
      </c>
      <c r="I3352">
        <v>739</v>
      </c>
      <c r="J3352">
        <v>2631</v>
      </c>
    </row>
    <row r="3353" spans="1:28">
      <c r="A3353" t="s">
        <v>194</v>
      </c>
      <c r="B3353" t="s">
        <v>199</v>
      </c>
      <c r="C3353" t="s">
        <v>196</v>
      </c>
      <c r="D3353" t="s">
        <v>197</v>
      </c>
      <c r="E3353">
        <v>8011.2838463659918</v>
      </c>
      <c r="F3353">
        <v>6104.1666666666697</v>
      </c>
      <c r="G3353">
        <v>100</v>
      </c>
      <c r="H3353">
        <v>77666.666666666701</v>
      </c>
      <c r="I3353">
        <v>519</v>
      </c>
      <c r="J3353">
        <v>2631</v>
      </c>
    </row>
    <row r="3354" spans="1:28">
      <c r="A3354" t="s">
        <v>194</v>
      </c>
      <c r="B3354" t="s">
        <v>199</v>
      </c>
      <c r="C3354" t="s">
        <v>198</v>
      </c>
      <c r="D3354" t="s">
        <v>197</v>
      </c>
      <c r="E3354">
        <v>9679.9117458092624</v>
      </c>
      <c r="F3354">
        <v>7400</v>
      </c>
      <c r="G3354">
        <v>150</v>
      </c>
      <c r="H3354">
        <v>91633.333333333299</v>
      </c>
      <c r="I3354">
        <v>933</v>
      </c>
      <c r="J3354">
        <v>2631</v>
      </c>
    </row>
    <row r="3355" spans="1:28">
      <c r="A3355" t="s">
        <v>200</v>
      </c>
      <c r="B3355" t="s">
        <v>200</v>
      </c>
      <c r="C3355" t="s">
        <v>200</v>
      </c>
      <c r="D3355" t="s">
        <v>200</v>
      </c>
      <c r="E3355">
        <v>8916.8687331099518</v>
      </c>
      <c r="F3355">
        <v>6683.3333333333303</v>
      </c>
      <c r="G3355">
        <v>25</v>
      </c>
      <c r="H3355">
        <v>335491.66666666698</v>
      </c>
      <c r="I3355">
        <v>2631</v>
      </c>
      <c r="J3355">
        <v>2631</v>
      </c>
    </row>
    <row r="3363" spans="1:10" ht="45">
      <c r="A3363" s="22" t="s">
        <v>840</v>
      </c>
    </row>
    <row r="3364" spans="1:10">
      <c r="A3364" t="s">
        <v>184</v>
      </c>
      <c r="B3364" t="s">
        <v>185</v>
      </c>
      <c r="C3364" t="s">
        <v>186</v>
      </c>
      <c r="D3364" t="s">
        <v>187</v>
      </c>
      <c r="E3364" t="s">
        <v>188</v>
      </c>
      <c r="F3364" t="s">
        <v>189</v>
      </c>
      <c r="G3364" t="s">
        <v>190</v>
      </c>
      <c r="H3364" t="s">
        <v>191</v>
      </c>
      <c r="I3364" t="s">
        <v>192</v>
      </c>
      <c r="J3364" t="s">
        <v>193</v>
      </c>
    </row>
    <row r="3365" spans="1:10">
      <c r="A3365" t="s">
        <v>194</v>
      </c>
      <c r="B3365" t="s">
        <v>195</v>
      </c>
      <c r="C3365" t="s">
        <v>202</v>
      </c>
      <c r="D3365" t="s">
        <v>203</v>
      </c>
      <c r="E3365">
        <v>9326.3309856955984</v>
      </c>
      <c r="F3365">
        <v>6150</v>
      </c>
      <c r="G3365">
        <v>75</v>
      </c>
      <c r="H3365">
        <v>335491.66666666698</v>
      </c>
      <c r="I3365">
        <v>523</v>
      </c>
      <c r="J3365">
        <v>2631</v>
      </c>
    </row>
    <row r="3366" spans="1:10">
      <c r="A3366" t="s">
        <v>194</v>
      </c>
      <c r="B3366" t="s">
        <v>195</v>
      </c>
      <c r="C3366" t="s">
        <v>204</v>
      </c>
      <c r="D3366" t="s">
        <v>203</v>
      </c>
      <c r="E3366">
        <v>7037.9549492443994</v>
      </c>
      <c r="F3366">
        <v>6643.3333333333303</v>
      </c>
      <c r="G3366">
        <v>250</v>
      </c>
      <c r="H3366">
        <v>28380</v>
      </c>
      <c r="I3366">
        <v>296</v>
      </c>
      <c r="J3366">
        <v>2631</v>
      </c>
    </row>
    <row r="3367" spans="1:10">
      <c r="A3367" t="s">
        <v>194</v>
      </c>
      <c r="B3367" t="s">
        <v>195</v>
      </c>
      <c r="C3367" t="s">
        <v>205</v>
      </c>
      <c r="D3367" t="s">
        <v>203</v>
      </c>
      <c r="E3367">
        <v>5847.4577675756827</v>
      </c>
      <c r="F3367">
        <v>5166.6666666666697</v>
      </c>
      <c r="G3367">
        <v>25</v>
      </c>
      <c r="H3367">
        <v>23650</v>
      </c>
      <c r="I3367">
        <v>325</v>
      </c>
      <c r="J3367">
        <v>2631</v>
      </c>
    </row>
    <row r="3368" spans="1:10">
      <c r="A3368" t="s">
        <v>194</v>
      </c>
      <c r="B3368" t="s">
        <v>199</v>
      </c>
      <c r="C3368" t="s">
        <v>202</v>
      </c>
      <c r="D3368" t="s">
        <v>203</v>
      </c>
      <c r="E3368">
        <v>10493.97048660616</v>
      </c>
      <c r="F3368">
        <v>7775</v>
      </c>
      <c r="G3368">
        <v>100</v>
      </c>
      <c r="H3368">
        <v>91633.333333333299</v>
      </c>
      <c r="I3368">
        <v>535</v>
      </c>
      <c r="J3368">
        <v>2631</v>
      </c>
    </row>
    <row r="3369" spans="1:10">
      <c r="A3369" t="s">
        <v>194</v>
      </c>
      <c r="B3369" t="s">
        <v>199</v>
      </c>
      <c r="C3369" t="s">
        <v>204</v>
      </c>
      <c r="D3369" t="s">
        <v>203</v>
      </c>
      <c r="E3369">
        <v>7239.2400332976549</v>
      </c>
      <c r="F3369">
        <v>5872.2222222222199</v>
      </c>
      <c r="G3369">
        <v>250</v>
      </c>
      <c r="H3369">
        <v>47458.333333333299</v>
      </c>
      <c r="I3369">
        <v>423</v>
      </c>
      <c r="J3369">
        <v>2631</v>
      </c>
    </row>
    <row r="3370" spans="1:10">
      <c r="A3370" t="s">
        <v>194</v>
      </c>
      <c r="B3370" t="s">
        <v>199</v>
      </c>
      <c r="C3370" t="s">
        <v>205</v>
      </c>
      <c r="D3370" t="s">
        <v>203</v>
      </c>
      <c r="E3370">
        <v>7587.3614843205078</v>
      </c>
      <c r="F3370">
        <v>6322.9166666666697</v>
      </c>
      <c r="G3370">
        <v>150</v>
      </c>
      <c r="H3370">
        <v>41833.333333333299</v>
      </c>
      <c r="I3370">
        <v>494</v>
      </c>
      <c r="J3370">
        <v>2631</v>
      </c>
    </row>
    <row r="3371" spans="1:10">
      <c r="A3371" t="s">
        <v>200</v>
      </c>
      <c r="B3371" t="s">
        <v>200</v>
      </c>
      <c r="C3371" t="s">
        <v>200</v>
      </c>
      <c r="D3371" t="s">
        <v>200</v>
      </c>
      <c r="E3371">
        <v>8916.8687331099518</v>
      </c>
      <c r="F3371">
        <v>6683.3333333333303</v>
      </c>
      <c r="G3371">
        <v>25</v>
      </c>
      <c r="H3371">
        <v>335491.66666666698</v>
      </c>
      <c r="I3371">
        <v>2631</v>
      </c>
      <c r="J3371">
        <v>2631</v>
      </c>
    </row>
    <row r="3382" spans="1:10" ht="45">
      <c r="A3382" s="22" t="s">
        <v>841</v>
      </c>
    </row>
    <row r="3383" spans="1:10">
      <c r="A3383" t="s">
        <v>184</v>
      </c>
      <c r="B3383" t="s">
        <v>185</v>
      </c>
      <c r="C3383" t="s">
        <v>186</v>
      </c>
      <c r="D3383" t="s">
        <v>187</v>
      </c>
      <c r="E3383" t="s">
        <v>188</v>
      </c>
      <c r="F3383" t="s">
        <v>189</v>
      </c>
      <c r="G3383" t="s">
        <v>190</v>
      </c>
      <c r="H3383" t="s">
        <v>191</v>
      </c>
      <c r="I3383" t="s">
        <v>192</v>
      </c>
      <c r="J3383" t="s">
        <v>193</v>
      </c>
    </row>
    <row r="3384" spans="1:10">
      <c r="A3384" t="s">
        <v>194</v>
      </c>
      <c r="B3384" t="s">
        <v>195</v>
      </c>
      <c r="C3384" t="s">
        <v>207</v>
      </c>
      <c r="D3384" t="s">
        <v>208</v>
      </c>
      <c r="E3384">
        <v>10639.30822108247</v>
      </c>
      <c r="F3384">
        <v>5633.3333333333303</v>
      </c>
      <c r="G3384">
        <v>25</v>
      </c>
      <c r="H3384">
        <v>335491.66666666698</v>
      </c>
      <c r="I3384">
        <v>309</v>
      </c>
      <c r="J3384">
        <v>2631</v>
      </c>
    </row>
    <row r="3385" spans="1:10">
      <c r="A3385" t="s">
        <v>194</v>
      </c>
      <c r="B3385" t="s">
        <v>195</v>
      </c>
      <c r="C3385" t="s">
        <v>209</v>
      </c>
      <c r="D3385" t="s">
        <v>208</v>
      </c>
      <c r="E3385">
        <v>7573.1842553390516</v>
      </c>
      <c r="F3385">
        <v>6333.3333333333303</v>
      </c>
      <c r="G3385">
        <v>75</v>
      </c>
      <c r="H3385">
        <v>62783.333333333299</v>
      </c>
      <c r="I3385">
        <v>855</v>
      </c>
      <c r="J3385">
        <v>2631</v>
      </c>
    </row>
    <row r="3386" spans="1:10">
      <c r="A3386" t="s">
        <v>194</v>
      </c>
      <c r="B3386" t="s">
        <v>199</v>
      </c>
      <c r="C3386" t="s">
        <v>207</v>
      </c>
      <c r="D3386" t="s">
        <v>208</v>
      </c>
      <c r="E3386">
        <v>9666.4108151358705</v>
      </c>
      <c r="F3386">
        <v>6714.8148148148102</v>
      </c>
      <c r="G3386">
        <v>200</v>
      </c>
      <c r="H3386">
        <v>57245.5</v>
      </c>
      <c r="I3386">
        <v>280</v>
      </c>
      <c r="J3386">
        <v>2631</v>
      </c>
    </row>
    <row r="3387" spans="1:10">
      <c r="A3387" t="s">
        <v>194</v>
      </c>
      <c r="B3387" t="s">
        <v>199</v>
      </c>
      <c r="C3387" t="s">
        <v>209</v>
      </c>
      <c r="D3387" t="s">
        <v>208</v>
      </c>
      <c r="E3387">
        <v>9326.6114561638678</v>
      </c>
      <c r="F3387">
        <v>7216.6666666666697</v>
      </c>
      <c r="G3387">
        <v>100</v>
      </c>
      <c r="H3387">
        <v>91633.333333333299</v>
      </c>
      <c r="I3387">
        <v>1187</v>
      </c>
      <c r="J3387">
        <v>2631</v>
      </c>
    </row>
    <row r="3388" spans="1:10">
      <c r="A3388" t="s">
        <v>200</v>
      </c>
      <c r="B3388" t="s">
        <v>200</v>
      </c>
      <c r="C3388" t="s">
        <v>200</v>
      </c>
      <c r="D3388" t="s">
        <v>200</v>
      </c>
      <c r="E3388">
        <v>8916.8687331099518</v>
      </c>
      <c r="F3388">
        <v>6683.3333333333303</v>
      </c>
      <c r="G3388">
        <v>25</v>
      </c>
      <c r="H3388">
        <v>335491.66666666698</v>
      </c>
      <c r="I3388">
        <v>2631</v>
      </c>
      <c r="J3388">
        <v>2631</v>
      </c>
    </row>
    <row r="3396" spans="1:10" ht="45">
      <c r="A3396" s="22" t="s">
        <v>842</v>
      </c>
    </row>
    <row r="3397" spans="1:10">
      <c r="A3397" t="s">
        <v>184</v>
      </c>
      <c r="B3397" t="s">
        <v>185</v>
      </c>
      <c r="C3397" t="s">
        <v>188</v>
      </c>
      <c r="D3397" t="s">
        <v>189</v>
      </c>
      <c r="E3397" t="s">
        <v>190</v>
      </c>
      <c r="F3397" t="s">
        <v>191</v>
      </c>
      <c r="G3397" t="s">
        <v>192</v>
      </c>
      <c r="H3397" t="s">
        <v>193</v>
      </c>
    </row>
    <row r="3398" spans="1:10">
      <c r="A3398" t="s">
        <v>194</v>
      </c>
      <c r="B3398" t="s">
        <v>195</v>
      </c>
      <c r="C3398">
        <v>8345.5295065696864</v>
      </c>
      <c r="D3398">
        <v>6120.8333333333303</v>
      </c>
      <c r="E3398">
        <v>25</v>
      </c>
      <c r="F3398">
        <v>335491.66666666698</v>
      </c>
      <c r="G3398">
        <v>1164</v>
      </c>
      <c r="H3398">
        <v>2631</v>
      </c>
    </row>
    <row r="3399" spans="1:10">
      <c r="A3399" t="s">
        <v>194</v>
      </c>
      <c r="B3399" t="s">
        <v>199</v>
      </c>
      <c r="C3399">
        <v>9368.0428469582075</v>
      </c>
      <c r="D3399">
        <v>7156.6666666666697</v>
      </c>
      <c r="E3399">
        <v>100</v>
      </c>
      <c r="F3399">
        <v>91633.333333333299</v>
      </c>
      <c r="G3399">
        <v>1467</v>
      </c>
      <c r="H3399">
        <v>2631</v>
      </c>
    </row>
    <row r="3400" spans="1:10">
      <c r="A3400" t="s">
        <v>200</v>
      </c>
      <c r="B3400" t="s">
        <v>200</v>
      </c>
      <c r="C3400">
        <v>8916.8687331099518</v>
      </c>
      <c r="D3400">
        <v>6683.3333333333303</v>
      </c>
      <c r="E3400">
        <v>25</v>
      </c>
      <c r="F3400">
        <v>335491.66666666698</v>
      </c>
      <c r="G3400">
        <v>2631</v>
      </c>
      <c r="H3400">
        <v>2631</v>
      </c>
    </row>
    <row r="3405" spans="1:10" ht="45">
      <c r="A3405" s="22" t="s">
        <v>843</v>
      </c>
    </row>
    <row r="3406" spans="1:10">
      <c r="A3406" t="s">
        <v>184</v>
      </c>
      <c r="B3406" t="s">
        <v>185</v>
      </c>
      <c r="C3406" t="s">
        <v>186</v>
      </c>
      <c r="D3406" t="s">
        <v>187</v>
      </c>
      <c r="E3406" t="s">
        <v>188</v>
      </c>
      <c r="F3406" t="s">
        <v>189</v>
      </c>
      <c r="G3406" t="s">
        <v>190</v>
      </c>
      <c r="H3406" t="s">
        <v>191</v>
      </c>
      <c r="I3406" t="s">
        <v>192</v>
      </c>
      <c r="J3406" t="s">
        <v>193</v>
      </c>
    </row>
    <row r="3407" spans="1:10">
      <c r="A3407" t="s">
        <v>194</v>
      </c>
      <c r="B3407" t="s">
        <v>195</v>
      </c>
      <c r="C3407" t="s">
        <v>212</v>
      </c>
      <c r="D3407" t="s">
        <v>213</v>
      </c>
      <c r="E3407">
        <v>7318.0518014605323</v>
      </c>
      <c r="F3407">
        <v>6053.3333333333303</v>
      </c>
      <c r="G3407">
        <v>25</v>
      </c>
      <c r="H3407">
        <v>42750</v>
      </c>
      <c r="I3407">
        <v>856</v>
      </c>
      <c r="J3407">
        <v>2631</v>
      </c>
    </row>
    <row r="3408" spans="1:10">
      <c r="A3408" t="s">
        <v>194</v>
      </c>
      <c r="B3408" t="s">
        <v>195</v>
      </c>
      <c r="C3408" t="s">
        <v>214</v>
      </c>
      <c r="D3408" t="s">
        <v>213</v>
      </c>
      <c r="E3408">
        <v>15012.649414525849</v>
      </c>
      <c r="F3408">
        <v>7853.3333333333303</v>
      </c>
      <c r="G3408">
        <v>170</v>
      </c>
      <c r="H3408">
        <v>335491.66666666698</v>
      </c>
      <c r="I3408">
        <v>175</v>
      </c>
      <c r="J3408">
        <v>2631</v>
      </c>
    </row>
    <row r="3409" spans="1:10">
      <c r="A3409" t="s">
        <v>194</v>
      </c>
      <c r="B3409" t="s">
        <v>195</v>
      </c>
      <c r="C3409" t="s">
        <v>215</v>
      </c>
      <c r="D3409" t="s">
        <v>213</v>
      </c>
      <c r="E3409">
        <v>4604.7101158824198</v>
      </c>
      <c r="F3409">
        <v>3550</v>
      </c>
      <c r="G3409">
        <v>100</v>
      </c>
      <c r="H3409">
        <v>23966.666666666701</v>
      </c>
      <c r="I3409">
        <v>133</v>
      </c>
      <c r="J3409">
        <v>2631</v>
      </c>
    </row>
    <row r="3410" spans="1:10">
      <c r="A3410" t="s">
        <v>194</v>
      </c>
      <c r="B3410" t="s">
        <v>199</v>
      </c>
      <c r="C3410" t="s">
        <v>212</v>
      </c>
      <c r="D3410" t="s">
        <v>213</v>
      </c>
      <c r="E3410">
        <v>8846.6621030953829</v>
      </c>
      <c r="F3410">
        <v>7156.6666666666697</v>
      </c>
      <c r="G3410">
        <v>100</v>
      </c>
      <c r="H3410">
        <v>66016.666666666701</v>
      </c>
      <c r="I3410">
        <v>1106</v>
      </c>
      <c r="J3410">
        <v>2631</v>
      </c>
    </row>
    <row r="3411" spans="1:10">
      <c r="A3411" t="s">
        <v>194</v>
      </c>
      <c r="B3411" t="s">
        <v>199</v>
      </c>
      <c r="C3411" t="s">
        <v>214</v>
      </c>
      <c r="D3411" t="s">
        <v>213</v>
      </c>
      <c r="E3411">
        <v>13911.50306384318</v>
      </c>
      <c r="F3411">
        <v>8893.3333333333303</v>
      </c>
      <c r="G3411">
        <v>300</v>
      </c>
      <c r="H3411">
        <v>91633.333333333299</v>
      </c>
      <c r="I3411">
        <v>191</v>
      </c>
      <c r="J3411">
        <v>2631</v>
      </c>
    </row>
    <row r="3412" spans="1:10">
      <c r="A3412" t="s">
        <v>194</v>
      </c>
      <c r="B3412" t="s">
        <v>199</v>
      </c>
      <c r="C3412" t="s">
        <v>215</v>
      </c>
      <c r="D3412" t="s">
        <v>213</v>
      </c>
      <c r="E3412">
        <v>5922.7576242117702</v>
      </c>
      <c r="F3412">
        <v>5153.3333333333303</v>
      </c>
      <c r="G3412">
        <v>150</v>
      </c>
      <c r="H3412">
        <v>19047.619047618999</v>
      </c>
      <c r="I3412">
        <v>170</v>
      </c>
      <c r="J3412">
        <v>2631</v>
      </c>
    </row>
    <row r="3413" spans="1:10">
      <c r="A3413" t="s">
        <v>200</v>
      </c>
      <c r="B3413" t="s">
        <v>200</v>
      </c>
      <c r="C3413" t="s">
        <v>200</v>
      </c>
      <c r="D3413" t="s">
        <v>200</v>
      </c>
      <c r="E3413">
        <v>8916.8687331099518</v>
      </c>
      <c r="F3413">
        <v>6683.3333333333303</v>
      </c>
      <c r="G3413">
        <v>25</v>
      </c>
      <c r="H3413">
        <v>335491.66666666698</v>
      </c>
      <c r="I3413">
        <v>2631</v>
      </c>
      <c r="J3413">
        <v>2631</v>
      </c>
    </row>
    <row r="3424" spans="1:10" ht="45">
      <c r="A3424" s="22" t="s">
        <v>844</v>
      </c>
    </row>
    <row r="3425" spans="1:10">
      <c r="A3425" t="s">
        <v>184</v>
      </c>
      <c r="B3425" t="s">
        <v>185</v>
      </c>
      <c r="C3425" t="s">
        <v>186</v>
      </c>
      <c r="D3425" t="s">
        <v>187</v>
      </c>
      <c r="E3425" t="s">
        <v>188</v>
      </c>
      <c r="F3425" t="s">
        <v>189</v>
      </c>
      <c r="G3425" t="s">
        <v>190</v>
      </c>
      <c r="H3425" t="s">
        <v>191</v>
      </c>
      <c r="I3425" t="s">
        <v>192</v>
      </c>
      <c r="J3425" t="s">
        <v>193</v>
      </c>
    </row>
    <row r="3426" spans="1:10">
      <c r="A3426" t="s">
        <v>194</v>
      </c>
      <c r="B3426" t="s">
        <v>195</v>
      </c>
      <c r="C3426" t="s">
        <v>217</v>
      </c>
      <c r="D3426" t="s">
        <v>218</v>
      </c>
      <c r="E3426">
        <v>6935.6429318358732</v>
      </c>
      <c r="F3426">
        <v>5900</v>
      </c>
      <c r="G3426">
        <v>25</v>
      </c>
      <c r="H3426">
        <v>35275</v>
      </c>
      <c r="I3426">
        <v>485</v>
      </c>
      <c r="J3426">
        <v>2631</v>
      </c>
    </row>
    <row r="3427" spans="1:10">
      <c r="A3427" t="s">
        <v>194</v>
      </c>
      <c r="B3427" t="s">
        <v>195</v>
      </c>
      <c r="C3427" t="s">
        <v>219</v>
      </c>
      <c r="D3427" t="s">
        <v>218</v>
      </c>
      <c r="E3427">
        <v>9644.7698605994865</v>
      </c>
      <c r="F3427">
        <v>5628.3333333333303</v>
      </c>
      <c r="G3427">
        <v>115</v>
      </c>
      <c r="H3427">
        <v>335491.66666666698</v>
      </c>
      <c r="I3427">
        <v>496</v>
      </c>
      <c r="J3427">
        <v>2631</v>
      </c>
    </row>
    <row r="3428" spans="1:10">
      <c r="A3428" t="s">
        <v>194</v>
      </c>
      <c r="B3428" t="s">
        <v>195</v>
      </c>
      <c r="C3428" t="s">
        <v>220</v>
      </c>
      <c r="D3428" t="s">
        <v>218</v>
      </c>
      <c r="E3428">
        <v>8801.2808733818947</v>
      </c>
      <c r="F3428">
        <v>7520</v>
      </c>
      <c r="G3428">
        <v>166.666666666667</v>
      </c>
      <c r="H3428">
        <v>62783.333333333299</v>
      </c>
      <c r="I3428">
        <v>182</v>
      </c>
      <c r="J3428">
        <v>2631</v>
      </c>
    </row>
    <row r="3429" spans="1:10">
      <c r="A3429" t="s">
        <v>194</v>
      </c>
      <c r="B3429" t="s">
        <v>199</v>
      </c>
      <c r="C3429" t="s">
        <v>217</v>
      </c>
      <c r="D3429" t="s">
        <v>218</v>
      </c>
      <c r="E3429">
        <v>8142.3937977922633</v>
      </c>
      <c r="F3429">
        <v>6577.7777777777801</v>
      </c>
      <c r="G3429">
        <v>150</v>
      </c>
      <c r="H3429">
        <v>66016.666666666701</v>
      </c>
      <c r="I3429">
        <v>801</v>
      </c>
      <c r="J3429">
        <v>2631</v>
      </c>
    </row>
    <row r="3430" spans="1:10">
      <c r="A3430" t="s">
        <v>194</v>
      </c>
      <c r="B3430" t="s">
        <v>199</v>
      </c>
      <c r="C3430" t="s">
        <v>219</v>
      </c>
      <c r="D3430" t="s">
        <v>218</v>
      </c>
      <c r="E3430">
        <v>9272.3591354127711</v>
      </c>
      <c r="F3430">
        <v>7455.5555555555602</v>
      </c>
      <c r="G3430">
        <v>100</v>
      </c>
      <c r="H3430">
        <v>41833.333333333299</v>
      </c>
      <c r="I3430">
        <v>447</v>
      </c>
      <c r="J3430">
        <v>2631</v>
      </c>
    </row>
    <row r="3431" spans="1:10">
      <c r="A3431" t="s">
        <v>194</v>
      </c>
      <c r="B3431" t="s">
        <v>199</v>
      </c>
      <c r="C3431" t="s">
        <v>220</v>
      </c>
      <c r="D3431" t="s">
        <v>218</v>
      </c>
      <c r="E3431">
        <v>14171.18843272163</v>
      </c>
      <c r="F3431">
        <v>8916.6666666666697</v>
      </c>
      <c r="G3431">
        <v>153.333333333333</v>
      </c>
      <c r="H3431">
        <v>91633.333333333299</v>
      </c>
      <c r="I3431">
        <v>219</v>
      </c>
      <c r="J3431">
        <v>2631</v>
      </c>
    </row>
    <row r="3432" spans="1:10">
      <c r="A3432" t="s">
        <v>200</v>
      </c>
      <c r="B3432" t="s">
        <v>200</v>
      </c>
      <c r="C3432" t="s">
        <v>200</v>
      </c>
      <c r="D3432" t="s">
        <v>200</v>
      </c>
      <c r="E3432">
        <v>8916.8687331099518</v>
      </c>
      <c r="F3432">
        <v>6683.3333333333303</v>
      </c>
      <c r="G3432">
        <v>25</v>
      </c>
      <c r="H3432">
        <v>335491.66666666698</v>
      </c>
      <c r="I3432">
        <v>2631</v>
      </c>
      <c r="J3432">
        <v>2631</v>
      </c>
    </row>
    <row r="3443" spans="1:8" ht="45">
      <c r="A3443" s="22" t="s">
        <v>845</v>
      </c>
    </row>
    <row r="3444" spans="1:8">
      <c r="A3444" t="s">
        <v>184</v>
      </c>
      <c r="B3444" t="s">
        <v>185</v>
      </c>
      <c r="C3444" t="s">
        <v>188</v>
      </c>
      <c r="D3444" t="s">
        <v>189</v>
      </c>
      <c r="E3444" t="s">
        <v>190</v>
      </c>
      <c r="F3444" t="s">
        <v>191</v>
      </c>
      <c r="G3444" t="s">
        <v>192</v>
      </c>
      <c r="H3444" t="s">
        <v>193</v>
      </c>
    </row>
    <row r="3445" spans="1:8">
      <c r="A3445" t="s">
        <v>194</v>
      </c>
      <c r="B3445" t="s">
        <v>195</v>
      </c>
      <c r="C3445">
        <v>19463.144708570151</v>
      </c>
      <c r="D3445">
        <v>14583.333333333299</v>
      </c>
      <c r="E3445">
        <v>50</v>
      </c>
      <c r="F3445">
        <v>335491.66666666698</v>
      </c>
      <c r="G3445">
        <v>1164</v>
      </c>
      <c r="H3445">
        <v>2631</v>
      </c>
    </row>
    <row r="3446" spans="1:8">
      <c r="A3446" t="s">
        <v>194</v>
      </c>
      <c r="B3446" t="s">
        <v>199</v>
      </c>
      <c r="C3446">
        <v>23181.52989240245</v>
      </c>
      <c r="D3446">
        <v>18896.666666666701</v>
      </c>
      <c r="E3446">
        <v>200</v>
      </c>
      <c r="F3446">
        <v>133333.33333333299</v>
      </c>
      <c r="G3446">
        <v>1467</v>
      </c>
      <c r="H3446">
        <v>2631</v>
      </c>
    </row>
    <row r="3447" spans="1:8">
      <c r="A3447" t="s">
        <v>200</v>
      </c>
      <c r="B3447" t="s">
        <v>200</v>
      </c>
      <c r="C3447">
        <v>21540.8284228015</v>
      </c>
      <c r="D3447">
        <v>17400</v>
      </c>
      <c r="E3447">
        <v>50</v>
      </c>
      <c r="F3447">
        <v>335491.66666666698</v>
      </c>
      <c r="G3447">
        <v>2631</v>
      </c>
      <c r="H3447">
        <v>2631</v>
      </c>
    </row>
    <row r="3457" spans="1:10" ht="45">
      <c r="A3457" s="22" t="s">
        <v>846</v>
      </c>
    </row>
    <row r="3458" spans="1:10">
      <c r="A3458" t="s">
        <v>184</v>
      </c>
      <c r="B3458" t="s">
        <v>185</v>
      </c>
      <c r="C3458" t="s">
        <v>186</v>
      </c>
      <c r="D3458" t="s">
        <v>187</v>
      </c>
      <c r="E3458" t="s">
        <v>188</v>
      </c>
      <c r="F3458" t="s">
        <v>189</v>
      </c>
      <c r="G3458" t="s">
        <v>190</v>
      </c>
      <c r="H3458" t="s">
        <v>191</v>
      </c>
      <c r="I3458" t="s">
        <v>192</v>
      </c>
      <c r="J3458" t="s">
        <v>193</v>
      </c>
    </row>
    <row r="3459" spans="1:10">
      <c r="A3459" t="s">
        <v>194</v>
      </c>
      <c r="B3459" t="s">
        <v>195</v>
      </c>
      <c r="C3459" t="s">
        <v>202</v>
      </c>
      <c r="D3459" t="s">
        <v>203</v>
      </c>
      <c r="E3459">
        <v>21061.744172383551</v>
      </c>
      <c r="F3459">
        <v>15000</v>
      </c>
      <c r="G3459">
        <v>150</v>
      </c>
      <c r="H3459">
        <v>335491.66666666698</v>
      </c>
      <c r="I3459">
        <v>523</v>
      </c>
      <c r="J3459">
        <v>2631</v>
      </c>
    </row>
    <row r="3460" spans="1:10">
      <c r="A3460" t="s">
        <v>194</v>
      </c>
      <c r="B3460" t="s">
        <v>195</v>
      </c>
      <c r="C3460" t="s">
        <v>204</v>
      </c>
      <c r="D3460" t="s">
        <v>203</v>
      </c>
      <c r="E3460">
        <v>17974.559614774469</v>
      </c>
      <c r="F3460">
        <v>15586.666666666701</v>
      </c>
      <c r="G3460">
        <v>1000</v>
      </c>
      <c r="H3460">
        <v>74808.333333333299</v>
      </c>
      <c r="I3460">
        <v>296</v>
      </c>
      <c r="J3460">
        <v>2631</v>
      </c>
    </row>
    <row r="3461" spans="1:10">
      <c r="A3461" t="s">
        <v>194</v>
      </c>
      <c r="B3461" t="s">
        <v>195</v>
      </c>
      <c r="C3461" t="s">
        <v>205</v>
      </c>
      <c r="D3461" t="s">
        <v>203</v>
      </c>
      <c r="E3461">
        <v>14412.931354248731</v>
      </c>
      <c r="F3461">
        <v>12733.333333333299</v>
      </c>
      <c r="G3461">
        <v>50</v>
      </c>
      <c r="H3461">
        <v>70366.666666666701</v>
      </c>
      <c r="I3461">
        <v>325</v>
      </c>
      <c r="J3461">
        <v>2631</v>
      </c>
    </row>
    <row r="3462" spans="1:10">
      <c r="A3462" t="s">
        <v>194</v>
      </c>
      <c r="B3462" t="s">
        <v>199</v>
      </c>
      <c r="C3462" t="s">
        <v>202</v>
      </c>
      <c r="D3462" t="s">
        <v>203</v>
      </c>
      <c r="E3462">
        <v>25492.239919081621</v>
      </c>
      <c r="F3462">
        <v>21566.666666666701</v>
      </c>
      <c r="G3462">
        <v>200</v>
      </c>
      <c r="H3462">
        <v>133333.33333333299</v>
      </c>
      <c r="I3462">
        <v>535</v>
      </c>
      <c r="J3462">
        <v>2631</v>
      </c>
    </row>
    <row r="3463" spans="1:10">
      <c r="A3463" t="s">
        <v>194</v>
      </c>
      <c r="B3463" t="s">
        <v>199</v>
      </c>
      <c r="C3463" t="s">
        <v>204</v>
      </c>
      <c r="D3463" t="s">
        <v>203</v>
      </c>
      <c r="E3463">
        <v>18878.86459007793</v>
      </c>
      <c r="F3463">
        <v>16733.333333333299</v>
      </c>
      <c r="G3463">
        <v>500</v>
      </c>
      <c r="H3463">
        <v>113083.33333333299</v>
      </c>
      <c r="I3463">
        <v>423</v>
      </c>
      <c r="J3463">
        <v>2631</v>
      </c>
    </row>
    <row r="3464" spans="1:10">
      <c r="A3464" t="s">
        <v>194</v>
      </c>
      <c r="B3464" t="s">
        <v>199</v>
      </c>
      <c r="C3464" t="s">
        <v>205</v>
      </c>
      <c r="D3464" t="s">
        <v>203</v>
      </c>
      <c r="E3464">
        <v>19454.579564143001</v>
      </c>
      <c r="F3464">
        <v>16011.666666666701</v>
      </c>
      <c r="G3464">
        <v>400</v>
      </c>
      <c r="H3464">
        <v>124966.66666666701</v>
      </c>
      <c r="I3464">
        <v>494</v>
      </c>
      <c r="J3464">
        <v>2631</v>
      </c>
    </row>
    <row r="3465" spans="1:10">
      <c r="A3465" t="s">
        <v>200</v>
      </c>
      <c r="B3465" t="s">
        <v>200</v>
      </c>
      <c r="C3465" t="s">
        <v>200</v>
      </c>
      <c r="D3465" t="s">
        <v>200</v>
      </c>
      <c r="E3465">
        <v>21540.8284228015</v>
      </c>
      <c r="F3465">
        <v>17400</v>
      </c>
      <c r="G3465">
        <v>50</v>
      </c>
      <c r="H3465">
        <v>335491.66666666698</v>
      </c>
      <c r="I3465">
        <v>2631</v>
      </c>
      <c r="J3465">
        <v>2631</v>
      </c>
    </row>
    <row r="3476" spans="1:10" ht="45">
      <c r="A3476" s="22" t="s">
        <v>847</v>
      </c>
    </row>
    <row r="3477" spans="1:10">
      <c r="A3477" t="s">
        <v>184</v>
      </c>
      <c r="B3477" t="s">
        <v>185</v>
      </c>
      <c r="C3477" t="s">
        <v>186</v>
      </c>
      <c r="D3477" t="s">
        <v>187</v>
      </c>
      <c r="E3477" t="s">
        <v>188</v>
      </c>
      <c r="F3477" t="s">
        <v>189</v>
      </c>
      <c r="G3477" t="s">
        <v>190</v>
      </c>
      <c r="H3477" t="s">
        <v>191</v>
      </c>
      <c r="I3477" t="s">
        <v>192</v>
      </c>
      <c r="J3477" t="s">
        <v>193</v>
      </c>
    </row>
    <row r="3478" spans="1:10">
      <c r="A3478" t="s">
        <v>194</v>
      </c>
      <c r="B3478" t="s">
        <v>195</v>
      </c>
      <c r="C3478" t="s">
        <v>207</v>
      </c>
      <c r="D3478" t="s">
        <v>208</v>
      </c>
      <c r="E3478">
        <v>22474.525094113062</v>
      </c>
      <c r="F3478">
        <v>13833.333333333299</v>
      </c>
      <c r="G3478">
        <v>50</v>
      </c>
      <c r="H3478">
        <v>335491.66666666698</v>
      </c>
      <c r="I3478">
        <v>309</v>
      </c>
      <c r="J3478">
        <v>2631</v>
      </c>
    </row>
    <row r="3479" spans="1:10">
      <c r="A3479" t="s">
        <v>194</v>
      </c>
      <c r="B3479" t="s">
        <v>195</v>
      </c>
      <c r="C3479" t="s">
        <v>209</v>
      </c>
      <c r="D3479" t="s">
        <v>208</v>
      </c>
      <c r="E3479">
        <v>18449.173602417839</v>
      </c>
      <c r="F3479">
        <v>14696.666666666701</v>
      </c>
      <c r="G3479">
        <v>150</v>
      </c>
      <c r="H3479">
        <v>115233.33333333299</v>
      </c>
      <c r="I3479">
        <v>855</v>
      </c>
      <c r="J3479">
        <v>2631</v>
      </c>
    </row>
    <row r="3480" spans="1:10">
      <c r="A3480" t="s">
        <v>194</v>
      </c>
      <c r="B3480" t="s">
        <v>199</v>
      </c>
      <c r="C3480" t="s">
        <v>207</v>
      </c>
      <c r="D3480" t="s">
        <v>208</v>
      </c>
      <c r="E3480">
        <v>26952.790523470201</v>
      </c>
      <c r="F3480">
        <v>22233.333333333299</v>
      </c>
      <c r="G3480">
        <v>300</v>
      </c>
      <c r="H3480">
        <v>124966.66666666701</v>
      </c>
      <c r="I3480">
        <v>280</v>
      </c>
      <c r="J3480">
        <v>2631</v>
      </c>
    </row>
    <row r="3481" spans="1:10">
      <c r="A3481" t="s">
        <v>194</v>
      </c>
      <c r="B3481" t="s">
        <v>199</v>
      </c>
      <c r="C3481" t="s">
        <v>209</v>
      </c>
      <c r="D3481" t="s">
        <v>208</v>
      </c>
      <c r="E3481">
        <v>22657.852454950331</v>
      </c>
      <c r="F3481">
        <v>18700</v>
      </c>
      <c r="G3481">
        <v>200</v>
      </c>
      <c r="H3481">
        <v>133333.33333333299</v>
      </c>
      <c r="I3481">
        <v>1187</v>
      </c>
      <c r="J3481">
        <v>2631</v>
      </c>
    </row>
    <row r="3482" spans="1:10">
      <c r="A3482" t="s">
        <v>200</v>
      </c>
      <c r="B3482" t="s">
        <v>200</v>
      </c>
      <c r="C3482" t="s">
        <v>200</v>
      </c>
      <c r="D3482" t="s">
        <v>200</v>
      </c>
      <c r="E3482">
        <v>21540.8284228015</v>
      </c>
      <c r="F3482">
        <v>17400</v>
      </c>
      <c r="G3482">
        <v>50</v>
      </c>
      <c r="H3482">
        <v>335491.66666666698</v>
      </c>
      <c r="I3482">
        <v>2631</v>
      </c>
      <c r="J3482">
        <v>2631</v>
      </c>
    </row>
    <row r="3490" spans="1:10" ht="45">
      <c r="A3490" s="22" t="s">
        <v>848</v>
      </c>
    </row>
    <row r="3491" spans="1:10">
      <c r="A3491" t="s">
        <v>184</v>
      </c>
      <c r="B3491" t="s">
        <v>185</v>
      </c>
      <c r="C3491" t="s">
        <v>188</v>
      </c>
      <c r="D3491" t="s">
        <v>189</v>
      </c>
      <c r="E3491" t="s">
        <v>190</v>
      </c>
      <c r="F3491" t="s">
        <v>191</v>
      </c>
      <c r="G3491" t="s">
        <v>192</v>
      </c>
      <c r="H3491" t="s">
        <v>193</v>
      </c>
    </row>
    <row r="3492" spans="1:10">
      <c r="A3492" t="s">
        <v>194</v>
      </c>
      <c r="B3492" t="s">
        <v>195</v>
      </c>
      <c r="C3492">
        <v>19463.144708570151</v>
      </c>
      <c r="D3492">
        <v>14583.333333333299</v>
      </c>
      <c r="E3492">
        <v>50</v>
      </c>
      <c r="F3492">
        <v>335491.66666666698</v>
      </c>
      <c r="G3492">
        <v>1164</v>
      </c>
      <c r="H3492">
        <v>2631</v>
      </c>
    </row>
    <row r="3493" spans="1:10">
      <c r="A3493" t="s">
        <v>194</v>
      </c>
      <c r="B3493" t="s">
        <v>199</v>
      </c>
      <c r="C3493">
        <v>23181.52989240245</v>
      </c>
      <c r="D3493">
        <v>18896.666666666701</v>
      </c>
      <c r="E3493">
        <v>200</v>
      </c>
      <c r="F3493">
        <v>133333.33333333299</v>
      </c>
      <c r="G3493">
        <v>1467</v>
      </c>
      <c r="H3493">
        <v>2631</v>
      </c>
    </row>
    <row r="3494" spans="1:10">
      <c r="A3494" t="s">
        <v>200</v>
      </c>
      <c r="B3494" t="s">
        <v>200</v>
      </c>
      <c r="C3494">
        <v>21540.8284228015</v>
      </c>
      <c r="D3494">
        <v>17400</v>
      </c>
      <c r="E3494">
        <v>50</v>
      </c>
      <c r="F3494">
        <v>335491.66666666698</v>
      </c>
      <c r="G3494">
        <v>2631</v>
      </c>
      <c r="H3494">
        <v>2631</v>
      </c>
    </row>
    <row r="3499" spans="1:10" ht="45">
      <c r="A3499" s="22" t="s">
        <v>849</v>
      </c>
    </row>
    <row r="3500" spans="1:10">
      <c r="A3500" t="s">
        <v>184</v>
      </c>
      <c r="B3500" t="s">
        <v>185</v>
      </c>
      <c r="C3500" t="s">
        <v>186</v>
      </c>
      <c r="D3500" t="s">
        <v>187</v>
      </c>
      <c r="E3500" t="s">
        <v>188</v>
      </c>
      <c r="F3500" t="s">
        <v>189</v>
      </c>
      <c r="G3500" t="s">
        <v>190</v>
      </c>
      <c r="H3500" t="s">
        <v>191</v>
      </c>
      <c r="I3500" t="s">
        <v>192</v>
      </c>
      <c r="J3500" t="s">
        <v>193</v>
      </c>
    </row>
    <row r="3501" spans="1:10">
      <c r="A3501" t="s">
        <v>194</v>
      </c>
      <c r="B3501" t="s">
        <v>195</v>
      </c>
      <c r="C3501" t="s">
        <v>212</v>
      </c>
      <c r="D3501" t="s">
        <v>213</v>
      </c>
      <c r="E3501">
        <v>19759.58985973808</v>
      </c>
      <c r="F3501">
        <v>16433.333333333299</v>
      </c>
      <c r="G3501">
        <v>50</v>
      </c>
      <c r="H3501">
        <v>115233.33333333299</v>
      </c>
      <c r="I3501">
        <v>856</v>
      </c>
      <c r="J3501">
        <v>2631</v>
      </c>
    </row>
    <row r="3502" spans="1:10">
      <c r="A3502" t="s">
        <v>194</v>
      </c>
      <c r="B3502" t="s">
        <v>195</v>
      </c>
      <c r="C3502" t="s">
        <v>214</v>
      </c>
      <c r="D3502" t="s">
        <v>213</v>
      </c>
      <c r="E3502">
        <v>15012.649414525849</v>
      </c>
      <c r="F3502">
        <v>7853.3333333333303</v>
      </c>
      <c r="G3502">
        <v>170</v>
      </c>
      <c r="H3502">
        <v>335491.66666666698</v>
      </c>
      <c r="I3502">
        <v>175</v>
      </c>
      <c r="J3502">
        <v>2631</v>
      </c>
    </row>
    <row r="3503" spans="1:10">
      <c r="A3503" t="s">
        <v>194</v>
      </c>
      <c r="B3503" t="s">
        <v>195</v>
      </c>
      <c r="C3503" t="s">
        <v>215</v>
      </c>
      <c r="D3503" t="s">
        <v>213</v>
      </c>
      <c r="E3503">
        <v>25486.860852236961</v>
      </c>
      <c r="F3503">
        <v>19000</v>
      </c>
      <c r="G3503">
        <v>500</v>
      </c>
      <c r="H3503">
        <v>119833.33333333299</v>
      </c>
      <c r="I3503">
        <v>133</v>
      </c>
      <c r="J3503">
        <v>2631</v>
      </c>
    </row>
    <row r="3504" spans="1:10">
      <c r="A3504" t="s">
        <v>194</v>
      </c>
      <c r="B3504" t="s">
        <v>199</v>
      </c>
      <c r="C3504" t="s">
        <v>212</v>
      </c>
      <c r="D3504" t="s">
        <v>213</v>
      </c>
      <c r="E3504">
        <v>24051.395559692861</v>
      </c>
      <c r="F3504">
        <v>20200</v>
      </c>
      <c r="G3504">
        <v>200</v>
      </c>
      <c r="H3504">
        <v>132033.33333333299</v>
      </c>
      <c r="I3504">
        <v>1106</v>
      </c>
      <c r="J3504">
        <v>2631</v>
      </c>
    </row>
    <row r="3505" spans="1:10">
      <c r="A3505" t="s">
        <v>194</v>
      </c>
      <c r="B3505" t="s">
        <v>199</v>
      </c>
      <c r="C3505" t="s">
        <v>214</v>
      </c>
      <c r="D3505" t="s">
        <v>213</v>
      </c>
      <c r="E3505">
        <v>13911.50306384318</v>
      </c>
      <c r="F3505">
        <v>8893.3333333333303</v>
      </c>
      <c r="G3505">
        <v>300</v>
      </c>
      <c r="H3505">
        <v>91633.333333333299</v>
      </c>
      <c r="I3505">
        <v>191</v>
      </c>
      <c r="J3505">
        <v>2631</v>
      </c>
    </row>
    <row r="3506" spans="1:10">
      <c r="A3506" t="s">
        <v>194</v>
      </c>
      <c r="B3506" t="s">
        <v>199</v>
      </c>
      <c r="C3506" t="s">
        <v>215</v>
      </c>
      <c r="D3506" t="s">
        <v>213</v>
      </c>
      <c r="E3506">
        <v>31979.61650264118</v>
      </c>
      <c r="F3506">
        <v>27400</v>
      </c>
      <c r="G3506">
        <v>750</v>
      </c>
      <c r="H3506">
        <v>133333.33333333299</v>
      </c>
      <c r="I3506">
        <v>170</v>
      </c>
      <c r="J3506">
        <v>2631</v>
      </c>
    </row>
    <row r="3507" spans="1:10">
      <c r="A3507" t="s">
        <v>200</v>
      </c>
      <c r="B3507" t="s">
        <v>200</v>
      </c>
      <c r="C3507" t="s">
        <v>200</v>
      </c>
      <c r="D3507" t="s">
        <v>200</v>
      </c>
      <c r="E3507">
        <v>21540.8284228015</v>
      </c>
      <c r="F3507">
        <v>17400</v>
      </c>
      <c r="G3507">
        <v>50</v>
      </c>
      <c r="H3507">
        <v>335491.66666666698</v>
      </c>
      <c r="I3507">
        <v>2631</v>
      </c>
      <c r="J3507">
        <v>2631</v>
      </c>
    </row>
    <row r="3518" spans="1:10" ht="45">
      <c r="A3518" s="22" t="s">
        <v>850</v>
      </c>
    </row>
    <row r="3519" spans="1:10">
      <c r="A3519" t="s">
        <v>184</v>
      </c>
      <c r="B3519" t="s">
        <v>185</v>
      </c>
      <c r="C3519" t="s">
        <v>186</v>
      </c>
      <c r="D3519" t="s">
        <v>187</v>
      </c>
      <c r="E3519" t="s">
        <v>188</v>
      </c>
      <c r="F3519" t="s">
        <v>189</v>
      </c>
      <c r="G3519" t="s">
        <v>190</v>
      </c>
      <c r="H3519" t="s">
        <v>191</v>
      </c>
      <c r="I3519" t="s">
        <v>192</v>
      </c>
      <c r="J3519" t="s">
        <v>193</v>
      </c>
    </row>
    <row r="3520" spans="1:10">
      <c r="A3520" t="s">
        <v>194</v>
      </c>
      <c r="B3520" t="s">
        <v>195</v>
      </c>
      <c r="C3520" t="s">
        <v>217</v>
      </c>
      <c r="D3520" t="s">
        <v>218</v>
      </c>
      <c r="E3520">
        <v>21503.416525710181</v>
      </c>
      <c r="F3520">
        <v>18600</v>
      </c>
      <c r="G3520">
        <v>50</v>
      </c>
      <c r="H3520">
        <v>119833.33333333299</v>
      </c>
      <c r="I3520">
        <v>485</v>
      </c>
      <c r="J3520">
        <v>2631</v>
      </c>
    </row>
    <row r="3521" spans="1:10">
      <c r="A3521" t="s">
        <v>194</v>
      </c>
      <c r="B3521" t="s">
        <v>195</v>
      </c>
      <c r="C3521" t="s">
        <v>219</v>
      </c>
      <c r="D3521" t="s">
        <v>218</v>
      </c>
      <c r="E3521">
        <v>17342.177983799931</v>
      </c>
      <c r="F3521">
        <v>12500</v>
      </c>
      <c r="G3521">
        <v>170</v>
      </c>
      <c r="H3521">
        <v>335491.66666666698</v>
      </c>
      <c r="I3521">
        <v>496</v>
      </c>
      <c r="J3521">
        <v>2631</v>
      </c>
    </row>
    <row r="3522" spans="1:10">
      <c r="A3522" t="s">
        <v>194</v>
      </c>
      <c r="B3522" t="s">
        <v>195</v>
      </c>
      <c r="C3522" t="s">
        <v>220</v>
      </c>
      <c r="D3522" t="s">
        <v>218</v>
      </c>
      <c r="E3522">
        <v>19291.77410039715</v>
      </c>
      <c r="F3522">
        <v>15183.333333333299</v>
      </c>
      <c r="G3522">
        <v>333.33333333333297</v>
      </c>
      <c r="H3522">
        <v>115233.33333333299</v>
      </c>
      <c r="I3522">
        <v>182</v>
      </c>
      <c r="J3522">
        <v>2631</v>
      </c>
    </row>
    <row r="3523" spans="1:10">
      <c r="A3523" t="s">
        <v>194</v>
      </c>
      <c r="B3523" t="s">
        <v>199</v>
      </c>
      <c r="C3523" t="s">
        <v>217</v>
      </c>
      <c r="D3523" t="s">
        <v>218</v>
      </c>
      <c r="E3523">
        <v>24168.644345119661</v>
      </c>
      <c r="F3523">
        <v>20400</v>
      </c>
      <c r="G3523">
        <v>400</v>
      </c>
      <c r="H3523">
        <v>133333.33333333299</v>
      </c>
      <c r="I3523">
        <v>801</v>
      </c>
      <c r="J3523">
        <v>2631</v>
      </c>
    </row>
    <row r="3524" spans="1:10">
      <c r="A3524" t="s">
        <v>194</v>
      </c>
      <c r="B3524" t="s">
        <v>199</v>
      </c>
      <c r="C3524" t="s">
        <v>219</v>
      </c>
      <c r="D3524" t="s">
        <v>218</v>
      </c>
      <c r="E3524">
        <v>16608.085173439551</v>
      </c>
      <c r="F3524">
        <v>11533.333333333299</v>
      </c>
      <c r="G3524">
        <v>200</v>
      </c>
      <c r="H3524">
        <v>83666.666666666701</v>
      </c>
      <c r="I3524">
        <v>447</v>
      </c>
      <c r="J3524">
        <v>2631</v>
      </c>
    </row>
    <row r="3525" spans="1:10">
      <c r="A3525" t="s">
        <v>194</v>
      </c>
      <c r="B3525" t="s">
        <v>199</v>
      </c>
      <c r="C3525" t="s">
        <v>220</v>
      </c>
      <c r="D3525" t="s">
        <v>218</v>
      </c>
      <c r="E3525">
        <v>29778.594078224771</v>
      </c>
      <c r="F3525">
        <v>23620</v>
      </c>
      <c r="G3525">
        <v>766.66666666666697</v>
      </c>
      <c r="H3525">
        <v>122500</v>
      </c>
      <c r="I3525">
        <v>219</v>
      </c>
      <c r="J3525">
        <v>2631</v>
      </c>
    </row>
    <row r="3526" spans="1:10">
      <c r="A3526" t="s">
        <v>200</v>
      </c>
      <c r="B3526" t="s">
        <v>200</v>
      </c>
      <c r="C3526" t="s">
        <v>200</v>
      </c>
      <c r="D3526" t="s">
        <v>200</v>
      </c>
      <c r="E3526">
        <v>21540.8284228015</v>
      </c>
      <c r="F3526">
        <v>17400</v>
      </c>
      <c r="G3526">
        <v>50</v>
      </c>
      <c r="H3526">
        <v>335491.66666666698</v>
      </c>
      <c r="I3526">
        <v>2631</v>
      </c>
      <c r="J3526">
        <v>2631</v>
      </c>
    </row>
    <row r="3537" spans="1:23" ht="30">
      <c r="A3537" s="22" t="s">
        <v>851</v>
      </c>
    </row>
    <row r="3538" spans="1:23">
      <c r="A3538" t="s">
        <v>185</v>
      </c>
      <c r="B3538" t="s">
        <v>186</v>
      </c>
      <c r="C3538" t="s">
        <v>192</v>
      </c>
      <c r="D3538" t="s">
        <v>184</v>
      </c>
      <c r="E3538" t="s">
        <v>193</v>
      </c>
      <c r="F3538" t="s">
        <v>852</v>
      </c>
      <c r="G3538" t="s">
        <v>853</v>
      </c>
      <c r="H3538" t="s">
        <v>257</v>
      </c>
      <c r="I3538" t="s">
        <v>854</v>
      </c>
      <c r="J3538" t="s">
        <v>855</v>
      </c>
      <c r="K3538" t="s">
        <v>856</v>
      </c>
      <c r="L3538" t="s">
        <v>857</v>
      </c>
      <c r="M3538" t="s">
        <v>858</v>
      </c>
      <c r="N3538" t="s">
        <v>859</v>
      </c>
      <c r="O3538" t="s">
        <v>860</v>
      </c>
      <c r="P3538" t="s">
        <v>329</v>
      </c>
      <c r="Q3538" t="s">
        <v>274</v>
      </c>
      <c r="R3538" t="s">
        <v>861</v>
      </c>
      <c r="S3538" t="s">
        <v>247</v>
      </c>
      <c r="T3538" t="s">
        <v>862</v>
      </c>
      <c r="U3538" t="s">
        <v>863</v>
      </c>
      <c r="V3538" t="s">
        <v>864</v>
      </c>
      <c r="W3538" t="s">
        <v>865</v>
      </c>
    </row>
    <row r="3539" spans="1:23">
      <c r="A3539" t="s">
        <v>195</v>
      </c>
      <c r="B3539" t="s">
        <v>196</v>
      </c>
      <c r="C3539">
        <v>409</v>
      </c>
      <c r="D3539" t="s">
        <v>194</v>
      </c>
      <c r="E3539">
        <v>2655</v>
      </c>
      <c r="F3539" s="3">
        <v>5.11E-2</v>
      </c>
      <c r="G3539" s="3">
        <v>0.19839999999999999</v>
      </c>
      <c r="H3539" s="3">
        <v>1.5900000000000001E-2</v>
      </c>
      <c r="I3539" s="3">
        <v>0.18149999999999999</v>
      </c>
      <c r="J3539" s="3">
        <v>7.6700000000000004E-2</v>
      </c>
      <c r="K3539" s="3">
        <v>0.18659999999999999</v>
      </c>
      <c r="L3539" s="3">
        <v>0.12770000000000001</v>
      </c>
      <c r="M3539" s="3">
        <v>0.1071</v>
      </c>
      <c r="N3539" s="3">
        <v>0.14549999999999999</v>
      </c>
      <c r="O3539" s="3">
        <v>0.19700000000000001</v>
      </c>
      <c r="P3539" s="3">
        <v>0.41360000000000002</v>
      </c>
      <c r="Q3539" s="3">
        <v>2.5000000000000001E-3</v>
      </c>
      <c r="R3539" s="3">
        <v>0.1285</v>
      </c>
      <c r="S3539" s="3">
        <v>3.2000000000000002E-3</v>
      </c>
      <c r="T3539" s="3">
        <v>2.35E-2</v>
      </c>
      <c r="U3539" s="3">
        <v>0.1545</v>
      </c>
      <c r="V3539" s="3">
        <v>2.5399999999999999E-2</v>
      </c>
      <c r="W3539" s="3">
        <v>0.23960000000000001</v>
      </c>
    </row>
    <row r="3540" spans="1:23">
      <c r="A3540" t="s">
        <v>195</v>
      </c>
      <c r="B3540" t="s">
        <v>198</v>
      </c>
      <c r="C3540">
        <v>751</v>
      </c>
      <c r="D3540" t="s">
        <v>194</v>
      </c>
      <c r="E3540">
        <v>2655</v>
      </c>
      <c r="F3540" s="3">
        <v>3.7400000000000003E-2</v>
      </c>
      <c r="G3540" s="3">
        <v>0.18840000000000001</v>
      </c>
      <c r="H3540" s="3">
        <v>2.47E-2</v>
      </c>
      <c r="I3540" s="3">
        <v>0.14419999999999999</v>
      </c>
      <c r="J3540" s="3">
        <v>4.41E-2</v>
      </c>
      <c r="K3540" s="3">
        <v>3.1800000000000002E-2</v>
      </c>
      <c r="L3540" s="3">
        <v>9.0499999999999997E-2</v>
      </c>
      <c r="M3540" s="3">
        <v>6.9099999999999995E-2</v>
      </c>
      <c r="N3540" s="3">
        <v>0.13469999999999999</v>
      </c>
      <c r="O3540" s="3">
        <v>0.1416</v>
      </c>
      <c r="P3540" s="3">
        <v>0.47820000000000001</v>
      </c>
      <c r="Q3540" s="3">
        <v>3.8E-3</v>
      </c>
      <c r="R3540" s="3">
        <v>7.1400000000000005E-2</v>
      </c>
      <c r="S3540" s="3">
        <v>1.2999999999999999E-3</v>
      </c>
      <c r="T3540" s="3">
        <v>1.9199999999999998E-2</v>
      </c>
      <c r="U3540" s="3">
        <v>0.1363</v>
      </c>
      <c r="V3540" s="3">
        <v>9.1999999999999998E-3</v>
      </c>
      <c r="W3540" s="3">
        <v>0.18770000000000001</v>
      </c>
    </row>
    <row r="3541" spans="1:23">
      <c r="A3541" t="s">
        <v>199</v>
      </c>
      <c r="B3541" t="s">
        <v>196</v>
      </c>
      <c r="C3541">
        <v>519</v>
      </c>
      <c r="D3541" t="s">
        <v>194</v>
      </c>
      <c r="E3541">
        <v>2655</v>
      </c>
      <c r="F3541" s="3">
        <v>4.8999999999999998E-3</v>
      </c>
      <c r="G3541" s="3">
        <v>3.6499999999999998E-2</v>
      </c>
      <c r="H3541" s="3">
        <v>6.3E-3</v>
      </c>
      <c r="I3541" s="3">
        <v>6.08E-2</v>
      </c>
      <c r="J3541" s="3">
        <v>1.3899999999999999E-2</v>
      </c>
      <c r="K3541" s="3">
        <v>0.1333</v>
      </c>
      <c r="L3541" s="3">
        <v>6.3100000000000003E-2</v>
      </c>
      <c r="M3541" s="3">
        <v>2.87E-2</v>
      </c>
      <c r="N3541" s="3">
        <v>5.5899999999999998E-2</v>
      </c>
      <c r="O3541" s="3">
        <v>0.1338</v>
      </c>
      <c r="P3541" s="3">
        <v>0.67989999999999995</v>
      </c>
      <c r="Q3541" s="3">
        <v>3.0999999999999999E-3</v>
      </c>
      <c r="R3541" s="3">
        <v>1.7399999999999999E-2</v>
      </c>
      <c r="S3541" s="3">
        <v>1.1999999999999999E-3</v>
      </c>
      <c r="T3541" s="3">
        <v>8.6999999999999994E-3</v>
      </c>
      <c r="U3541" s="3">
        <v>4.7199999999999999E-2</v>
      </c>
      <c r="V3541" s="3">
        <v>2.9899999999999999E-2</v>
      </c>
      <c r="W3541" s="3">
        <v>0.1075</v>
      </c>
    </row>
    <row r="3542" spans="1:23">
      <c r="A3542" t="s">
        <v>199</v>
      </c>
      <c r="B3542" t="s">
        <v>198</v>
      </c>
      <c r="C3542">
        <v>937</v>
      </c>
      <c r="D3542" t="s">
        <v>194</v>
      </c>
      <c r="E3542">
        <v>2655</v>
      </c>
      <c r="F3542" s="3">
        <v>1.7399999999999999E-2</v>
      </c>
      <c r="G3542" s="3">
        <v>2.18E-2</v>
      </c>
      <c r="H3542" s="3">
        <v>1.0800000000000001E-2</v>
      </c>
      <c r="I3542" s="3">
        <v>6.2300000000000001E-2</v>
      </c>
      <c r="J3542" s="3">
        <v>1.26E-2</v>
      </c>
      <c r="K3542" s="3">
        <v>1.5699999999999999E-2</v>
      </c>
      <c r="L3542" s="3">
        <v>6.83E-2</v>
      </c>
      <c r="M3542" s="3">
        <v>2.5100000000000001E-2</v>
      </c>
      <c r="N3542" s="3">
        <v>2.58E-2</v>
      </c>
      <c r="O3542" s="3">
        <v>8.3299999999999999E-2</v>
      </c>
      <c r="P3542" s="3">
        <v>0.79249999999999998</v>
      </c>
      <c r="Q3542" s="3">
        <v>3.3E-3</v>
      </c>
      <c r="R3542" s="3">
        <v>2.1999999999999999E-2</v>
      </c>
      <c r="S3542" s="3">
        <v>8.0000000000000004E-4</v>
      </c>
      <c r="T3542" s="3">
        <v>5.7000000000000002E-3</v>
      </c>
      <c r="U3542" s="3">
        <v>4.2099999999999999E-2</v>
      </c>
      <c r="V3542" s="3">
        <v>3.7699999999999997E-2</v>
      </c>
      <c r="W3542" s="3">
        <v>8.9200000000000002E-2</v>
      </c>
    </row>
    <row r="3543" spans="1:23">
      <c r="A3543" t="s">
        <v>200</v>
      </c>
      <c r="B3543" t="s">
        <v>200</v>
      </c>
      <c r="C3543">
        <v>2655</v>
      </c>
      <c r="D3543" t="s">
        <v>200</v>
      </c>
      <c r="E3543">
        <v>2655</v>
      </c>
      <c r="F3543" s="3">
        <v>2.6599999999999999E-2</v>
      </c>
      <c r="G3543" s="3">
        <v>9.8500000000000004E-2</v>
      </c>
      <c r="H3543" s="3">
        <v>1.54E-2</v>
      </c>
      <c r="I3543" s="3">
        <v>0.1031</v>
      </c>
      <c r="J3543" s="3">
        <v>3.1E-2</v>
      </c>
      <c r="K3543" s="3">
        <v>5.33E-2</v>
      </c>
      <c r="L3543" s="3">
        <v>8.2100000000000006E-2</v>
      </c>
      <c r="M3543" s="3">
        <v>4.99E-2</v>
      </c>
      <c r="N3543" s="3">
        <v>7.8399999999999997E-2</v>
      </c>
      <c r="O3543" s="3">
        <v>0.1206</v>
      </c>
      <c r="P3543" s="3">
        <v>0.63349999999999995</v>
      </c>
      <c r="Q3543" s="3">
        <v>3.3E-3</v>
      </c>
      <c r="R3543" s="3">
        <v>5.0900000000000001E-2</v>
      </c>
      <c r="S3543" s="3">
        <v>1.2999999999999999E-3</v>
      </c>
      <c r="T3543" s="3">
        <v>1.2999999999999999E-2</v>
      </c>
      <c r="U3543" s="3">
        <v>8.6900000000000005E-2</v>
      </c>
      <c r="V3543" s="3">
        <v>2.64E-2</v>
      </c>
      <c r="W3543" s="3">
        <v>0.1411</v>
      </c>
    </row>
    <row r="3545" spans="1:23" ht="45">
      <c r="A3545" s="22" t="s">
        <v>866</v>
      </c>
    </row>
    <row r="3546" spans="1:23">
      <c r="A3546" t="s">
        <v>185</v>
      </c>
      <c r="B3546" t="s">
        <v>186</v>
      </c>
      <c r="C3546" t="s">
        <v>192</v>
      </c>
      <c r="D3546" t="s">
        <v>184</v>
      </c>
      <c r="E3546" t="s">
        <v>193</v>
      </c>
      <c r="F3546" t="s">
        <v>852</v>
      </c>
      <c r="G3546" t="s">
        <v>853</v>
      </c>
      <c r="H3546" t="s">
        <v>257</v>
      </c>
      <c r="I3546" t="s">
        <v>854</v>
      </c>
      <c r="J3546" t="s">
        <v>855</v>
      </c>
      <c r="K3546" t="s">
        <v>856</v>
      </c>
      <c r="L3546" t="s">
        <v>857</v>
      </c>
      <c r="M3546" t="s">
        <v>858</v>
      </c>
      <c r="N3546" t="s">
        <v>859</v>
      </c>
      <c r="O3546" t="s">
        <v>860</v>
      </c>
      <c r="P3546" t="s">
        <v>329</v>
      </c>
      <c r="Q3546" t="s">
        <v>274</v>
      </c>
      <c r="R3546" t="s">
        <v>861</v>
      </c>
      <c r="S3546" t="s">
        <v>247</v>
      </c>
      <c r="T3546" t="s">
        <v>862</v>
      </c>
      <c r="U3546" t="s">
        <v>863</v>
      </c>
      <c r="V3546" t="s">
        <v>864</v>
      </c>
      <c r="W3546" t="s">
        <v>865</v>
      </c>
    </row>
    <row r="3547" spans="1:23">
      <c r="A3547" t="s">
        <v>195</v>
      </c>
      <c r="B3547" t="s">
        <v>202</v>
      </c>
      <c r="C3547">
        <v>529</v>
      </c>
      <c r="D3547" t="s">
        <v>194</v>
      </c>
      <c r="E3547">
        <v>2655</v>
      </c>
      <c r="F3547" s="3">
        <v>5.1700000000000003E-2</v>
      </c>
      <c r="G3547" s="3">
        <v>0.1905</v>
      </c>
      <c r="H3547" s="3">
        <v>1.4E-2</v>
      </c>
      <c r="I3547" s="3">
        <v>0.16220000000000001</v>
      </c>
      <c r="J3547" s="3">
        <v>5.0200000000000002E-2</v>
      </c>
      <c r="K3547" s="3">
        <v>6.83E-2</v>
      </c>
      <c r="L3547" s="3">
        <v>8.7300000000000003E-2</v>
      </c>
      <c r="M3547" s="3">
        <v>7.9000000000000001E-2</v>
      </c>
      <c r="N3547" s="3">
        <v>0.15440000000000001</v>
      </c>
      <c r="O3547" s="3">
        <v>0.17519999999999999</v>
      </c>
      <c r="P3547" s="3">
        <v>0.47199999999999998</v>
      </c>
      <c r="Q3547" s="3">
        <v>2E-3</v>
      </c>
      <c r="R3547" s="3">
        <v>8.7099999999999997E-2</v>
      </c>
      <c r="S3547" s="3">
        <v>2.5999999999999999E-3</v>
      </c>
      <c r="T3547" s="3">
        <v>2.1000000000000001E-2</v>
      </c>
      <c r="U3547" s="3">
        <v>0.14480000000000001</v>
      </c>
      <c r="V3547" s="3">
        <v>1.21E-2</v>
      </c>
      <c r="W3547" s="3">
        <v>0.2046</v>
      </c>
    </row>
    <row r="3548" spans="1:23">
      <c r="A3548" t="s">
        <v>195</v>
      </c>
      <c r="B3548" t="s">
        <v>204</v>
      </c>
      <c r="C3548">
        <v>298</v>
      </c>
      <c r="D3548" t="s">
        <v>194</v>
      </c>
      <c r="E3548">
        <v>2655</v>
      </c>
      <c r="F3548" s="3">
        <v>2.1700000000000001E-2</v>
      </c>
      <c r="G3548" s="3">
        <v>0.17660000000000001</v>
      </c>
      <c r="H3548" s="3">
        <v>4.3700000000000003E-2</v>
      </c>
      <c r="I3548" s="3">
        <v>0.1537</v>
      </c>
      <c r="J3548" s="3">
        <v>5.9200000000000003E-2</v>
      </c>
      <c r="K3548" s="3">
        <v>9.6100000000000005E-2</v>
      </c>
      <c r="L3548" s="3">
        <v>0.13469999999999999</v>
      </c>
      <c r="M3548" s="3">
        <v>9.7699999999999995E-2</v>
      </c>
      <c r="N3548" s="3">
        <v>9.7600000000000006E-2</v>
      </c>
      <c r="O3548" s="3">
        <v>0.1242</v>
      </c>
      <c r="P3548" s="3">
        <v>0.45429999999999998</v>
      </c>
      <c r="Q3548" s="3">
        <v>8.6E-3</v>
      </c>
      <c r="R3548" s="3">
        <v>9.2999999999999999E-2</v>
      </c>
      <c r="T3548" s="3">
        <v>3.2000000000000002E-3</v>
      </c>
      <c r="U3548" s="3">
        <v>9.7299999999999998E-2</v>
      </c>
      <c r="V3548" s="3">
        <v>1.8200000000000001E-2</v>
      </c>
      <c r="W3548" s="3">
        <v>0.15379999999999999</v>
      </c>
    </row>
    <row r="3549" spans="1:23">
      <c r="A3549" t="s">
        <v>195</v>
      </c>
      <c r="B3549" t="s">
        <v>205</v>
      </c>
      <c r="C3549">
        <v>333</v>
      </c>
      <c r="D3549" t="s">
        <v>194</v>
      </c>
      <c r="E3549">
        <v>2655</v>
      </c>
      <c r="F3549" s="3">
        <v>2.1000000000000001E-2</v>
      </c>
      <c r="G3549" s="3">
        <v>0.2165</v>
      </c>
      <c r="H3549" s="3">
        <v>2.8400000000000002E-2</v>
      </c>
      <c r="I3549" s="3">
        <v>0.11700000000000001</v>
      </c>
      <c r="J3549" s="3">
        <v>5.4899999999999997E-2</v>
      </c>
      <c r="K3549" s="3">
        <v>6.0999999999999999E-2</v>
      </c>
      <c r="L3549" s="3">
        <v>0.109</v>
      </c>
      <c r="M3549" s="3">
        <v>5.1900000000000002E-2</v>
      </c>
      <c r="N3549" s="3">
        <v>0.12089999999999999</v>
      </c>
      <c r="O3549" s="3">
        <v>0.11749999999999999</v>
      </c>
      <c r="P3549" s="3">
        <v>0.41839999999999999</v>
      </c>
      <c r="Q3549" s="3">
        <v>2.3E-3</v>
      </c>
      <c r="R3549" s="3">
        <v>7.4899999999999994E-2</v>
      </c>
      <c r="S3549" s="3">
        <v>5.0000000000000001E-4</v>
      </c>
      <c r="T3549" s="3">
        <v>4.3999999999999997E-2</v>
      </c>
      <c r="U3549" s="3">
        <v>0.1928</v>
      </c>
      <c r="V3549" s="3">
        <v>1.32E-2</v>
      </c>
      <c r="W3549" s="3">
        <v>0.26290000000000002</v>
      </c>
    </row>
    <row r="3550" spans="1:23">
      <c r="A3550" t="s">
        <v>199</v>
      </c>
      <c r="B3550" t="s">
        <v>202</v>
      </c>
      <c r="C3550">
        <v>534</v>
      </c>
      <c r="D3550" t="s">
        <v>194</v>
      </c>
      <c r="E3550">
        <v>2655</v>
      </c>
      <c r="F3550" s="3">
        <v>1.8700000000000001E-2</v>
      </c>
      <c r="G3550" s="3">
        <v>2.5100000000000001E-2</v>
      </c>
      <c r="H3550" s="3">
        <v>3.7000000000000002E-3</v>
      </c>
      <c r="I3550" s="3">
        <v>6.1699999999999998E-2</v>
      </c>
      <c r="J3550" s="3">
        <v>5.4999999999999997E-3</v>
      </c>
      <c r="K3550" s="3">
        <v>3.3099999999999997E-2</v>
      </c>
      <c r="L3550" s="3">
        <v>8.2100000000000006E-2</v>
      </c>
      <c r="M3550" s="3">
        <v>2.7900000000000001E-2</v>
      </c>
      <c r="N3550" s="3">
        <v>3.8300000000000001E-2</v>
      </c>
      <c r="O3550" s="3">
        <v>0.1026</v>
      </c>
      <c r="P3550" s="3">
        <v>0.77810000000000001</v>
      </c>
      <c r="Q3550" s="3">
        <v>2E-3</v>
      </c>
      <c r="R3550" s="3">
        <v>2.01E-2</v>
      </c>
      <c r="T3550" s="3">
        <v>5.5999999999999999E-3</v>
      </c>
      <c r="U3550" s="3">
        <v>5.0900000000000001E-2</v>
      </c>
      <c r="V3550" s="3">
        <v>4.3200000000000002E-2</v>
      </c>
      <c r="W3550" s="3">
        <v>0.10199999999999999</v>
      </c>
    </row>
    <row r="3551" spans="1:23">
      <c r="A3551" t="s">
        <v>199</v>
      </c>
      <c r="B3551" t="s">
        <v>204</v>
      </c>
      <c r="C3551">
        <v>423</v>
      </c>
      <c r="D3551" t="s">
        <v>194</v>
      </c>
      <c r="E3551">
        <v>2655</v>
      </c>
      <c r="F3551" s="3">
        <v>9.4000000000000004E-3</v>
      </c>
      <c r="G3551" s="3">
        <v>1.61E-2</v>
      </c>
      <c r="H3551" s="3">
        <v>1.32E-2</v>
      </c>
      <c r="I3551" s="3">
        <v>4.4299999999999999E-2</v>
      </c>
      <c r="J3551" s="3">
        <v>1.52E-2</v>
      </c>
      <c r="K3551" s="3">
        <v>3.5999999999999997E-2</v>
      </c>
      <c r="L3551" s="3">
        <v>3.27E-2</v>
      </c>
      <c r="M3551" s="3">
        <v>1.9300000000000001E-2</v>
      </c>
      <c r="N3551" s="3">
        <v>1.7000000000000001E-2</v>
      </c>
      <c r="O3551" s="3">
        <v>4.4999999999999998E-2</v>
      </c>
      <c r="P3551" s="3">
        <v>0.81920000000000004</v>
      </c>
      <c r="Q3551" s="3">
        <v>8.2000000000000007E-3</v>
      </c>
      <c r="R3551" s="3">
        <v>1.66E-2</v>
      </c>
      <c r="S3551" s="3">
        <v>4.4000000000000003E-3</v>
      </c>
      <c r="T3551" s="3">
        <v>7.6E-3</v>
      </c>
      <c r="U3551" s="3">
        <v>2.7300000000000001E-2</v>
      </c>
      <c r="V3551" s="3">
        <v>2.1399999999999999E-2</v>
      </c>
      <c r="W3551" s="3">
        <v>5.8999999999999997E-2</v>
      </c>
    </row>
    <row r="3552" spans="1:23">
      <c r="A3552" t="s">
        <v>199</v>
      </c>
      <c r="B3552" t="s">
        <v>205</v>
      </c>
      <c r="C3552">
        <v>499</v>
      </c>
      <c r="D3552" t="s">
        <v>194</v>
      </c>
      <c r="E3552">
        <v>2655</v>
      </c>
      <c r="F3552" s="3">
        <v>8.2000000000000007E-3</v>
      </c>
      <c r="G3552" s="3">
        <v>3.2199999999999999E-2</v>
      </c>
      <c r="H3552" s="3">
        <v>2.9899999999999999E-2</v>
      </c>
      <c r="I3552" s="3">
        <v>8.4199999999999997E-2</v>
      </c>
      <c r="J3552" s="3">
        <v>3.8300000000000001E-2</v>
      </c>
      <c r="K3552" s="3">
        <v>5.4899999999999997E-2</v>
      </c>
      <c r="L3552" s="3">
        <v>5.1799999999999999E-2</v>
      </c>
      <c r="M3552" s="3">
        <v>2.5499999999999998E-2</v>
      </c>
      <c r="N3552" s="3">
        <v>2.1499999999999998E-2</v>
      </c>
      <c r="O3552" s="3">
        <v>0.11</v>
      </c>
      <c r="P3552" s="3">
        <v>0.69259999999999999</v>
      </c>
      <c r="Q3552" s="3">
        <v>2.5999999999999999E-3</v>
      </c>
      <c r="R3552" s="3">
        <v>3.0800000000000001E-2</v>
      </c>
      <c r="S3552" s="3">
        <v>1E-4</v>
      </c>
      <c r="T3552" s="3">
        <v>7.3000000000000001E-3</v>
      </c>
      <c r="U3552" s="3">
        <v>3.1300000000000001E-2</v>
      </c>
      <c r="V3552" s="3">
        <v>2.75E-2</v>
      </c>
      <c r="W3552" s="3">
        <v>9.5500000000000002E-2</v>
      </c>
    </row>
    <row r="3553" spans="1:23">
      <c r="A3553" t="s">
        <v>200</v>
      </c>
      <c r="B3553" t="s">
        <v>200</v>
      </c>
      <c r="C3553">
        <v>2655</v>
      </c>
      <c r="D3553" t="s">
        <v>200</v>
      </c>
      <c r="E3553">
        <v>2655</v>
      </c>
      <c r="F3553" s="3">
        <v>2.6599999999999999E-2</v>
      </c>
      <c r="G3553" s="3">
        <v>9.8500000000000004E-2</v>
      </c>
      <c r="H3553" s="3">
        <v>1.54E-2</v>
      </c>
      <c r="I3553" s="3">
        <v>0.1031</v>
      </c>
      <c r="J3553" s="3">
        <v>3.1E-2</v>
      </c>
      <c r="K3553" s="3">
        <v>5.33E-2</v>
      </c>
      <c r="L3553" s="3">
        <v>8.2100000000000006E-2</v>
      </c>
      <c r="M3553" s="3">
        <v>4.99E-2</v>
      </c>
      <c r="N3553" s="3">
        <v>7.8399999999999997E-2</v>
      </c>
      <c r="O3553" s="3">
        <v>0.1206</v>
      </c>
      <c r="P3553" s="3">
        <v>0.63349999999999995</v>
      </c>
      <c r="Q3553" s="3">
        <v>3.3E-3</v>
      </c>
      <c r="R3553" s="3">
        <v>5.0900000000000001E-2</v>
      </c>
      <c r="S3553" s="3">
        <v>1.2999999999999999E-3</v>
      </c>
      <c r="T3553" s="3">
        <v>1.2999999999999999E-2</v>
      </c>
      <c r="U3553" s="3">
        <v>8.6900000000000005E-2</v>
      </c>
      <c r="V3553" s="3">
        <v>2.64E-2</v>
      </c>
      <c r="W3553" s="3">
        <v>0.1411</v>
      </c>
    </row>
    <row r="3555" spans="1:23" ht="45">
      <c r="A3555" s="22" t="s">
        <v>867</v>
      </c>
    </row>
    <row r="3556" spans="1:23">
      <c r="A3556" t="s">
        <v>185</v>
      </c>
      <c r="B3556" t="s">
        <v>186</v>
      </c>
      <c r="C3556" t="s">
        <v>192</v>
      </c>
      <c r="D3556" t="s">
        <v>184</v>
      </c>
      <c r="E3556" t="s">
        <v>193</v>
      </c>
      <c r="F3556" t="s">
        <v>852</v>
      </c>
      <c r="G3556" t="s">
        <v>853</v>
      </c>
      <c r="H3556" t="s">
        <v>257</v>
      </c>
      <c r="I3556" t="s">
        <v>854</v>
      </c>
      <c r="J3556" t="s">
        <v>855</v>
      </c>
      <c r="K3556" t="s">
        <v>856</v>
      </c>
      <c r="L3556" t="s">
        <v>857</v>
      </c>
      <c r="M3556" t="s">
        <v>858</v>
      </c>
      <c r="N3556" t="s">
        <v>859</v>
      </c>
      <c r="O3556" t="s">
        <v>860</v>
      </c>
      <c r="P3556" t="s">
        <v>329</v>
      </c>
      <c r="Q3556" t="s">
        <v>274</v>
      </c>
      <c r="R3556" t="s">
        <v>861</v>
      </c>
      <c r="S3556" t="s">
        <v>247</v>
      </c>
      <c r="T3556" t="s">
        <v>862</v>
      </c>
      <c r="U3556" t="s">
        <v>863</v>
      </c>
      <c r="V3556" t="s">
        <v>864</v>
      </c>
      <c r="W3556" t="s">
        <v>865</v>
      </c>
    </row>
    <row r="3557" spans="1:23">
      <c r="A3557" t="s">
        <v>195</v>
      </c>
      <c r="B3557" t="s">
        <v>207</v>
      </c>
      <c r="C3557">
        <v>320</v>
      </c>
      <c r="D3557" t="s">
        <v>194</v>
      </c>
      <c r="E3557">
        <v>2655</v>
      </c>
      <c r="F3557" s="3">
        <v>2.1299999999999999E-2</v>
      </c>
      <c r="G3557" s="3">
        <v>0.25869999999999999</v>
      </c>
      <c r="H3557" s="3">
        <v>2.5100000000000001E-2</v>
      </c>
      <c r="I3557" s="3">
        <v>0.18779999999999999</v>
      </c>
      <c r="J3557" s="3">
        <v>6.0100000000000001E-2</v>
      </c>
      <c r="K3557" s="3">
        <v>0.1109</v>
      </c>
      <c r="L3557" s="3">
        <v>8.4500000000000006E-2</v>
      </c>
      <c r="M3557" s="3">
        <v>0.1018</v>
      </c>
      <c r="N3557" s="3">
        <v>0.1762</v>
      </c>
      <c r="O3557" s="3">
        <v>0.19620000000000001</v>
      </c>
      <c r="P3557" s="3">
        <v>0.3775</v>
      </c>
      <c r="Q3557" s="3">
        <v>6.7000000000000002E-3</v>
      </c>
      <c r="R3557" s="3">
        <v>0.10390000000000001</v>
      </c>
      <c r="T3557" s="3">
        <v>3.2899999999999999E-2</v>
      </c>
      <c r="U3557" s="3">
        <v>0.17019999999999999</v>
      </c>
      <c r="V3557" s="3">
        <v>1.4200000000000001E-2</v>
      </c>
      <c r="W3557" s="3">
        <v>0.26989999999999997</v>
      </c>
    </row>
    <row r="3558" spans="1:23">
      <c r="A3558" t="s">
        <v>195</v>
      </c>
      <c r="B3558" t="s">
        <v>209</v>
      </c>
      <c r="C3558">
        <v>861</v>
      </c>
      <c r="D3558" t="s">
        <v>194</v>
      </c>
      <c r="E3558">
        <v>2655</v>
      </c>
      <c r="F3558" s="3">
        <v>4.7699999999999999E-2</v>
      </c>
      <c r="G3558" s="3">
        <v>0.16750000000000001</v>
      </c>
      <c r="H3558" s="3">
        <v>2.1299999999999999E-2</v>
      </c>
      <c r="I3558" s="3">
        <v>0.14280000000000001</v>
      </c>
      <c r="J3558" s="3">
        <v>5.1400000000000001E-2</v>
      </c>
      <c r="K3558" s="3">
        <v>0.06</v>
      </c>
      <c r="L3558" s="3">
        <v>0.1062</v>
      </c>
      <c r="M3558" s="3">
        <v>7.2599999999999998E-2</v>
      </c>
      <c r="N3558" s="3">
        <v>0.1239</v>
      </c>
      <c r="O3558" s="3">
        <v>0.1419</v>
      </c>
      <c r="P3558" s="3">
        <v>0.48970000000000002</v>
      </c>
      <c r="Q3558" s="3">
        <v>2.3E-3</v>
      </c>
      <c r="R3558" s="3">
        <v>8.2199999999999995E-2</v>
      </c>
      <c r="S3558" s="3">
        <v>2.3999999999999998E-3</v>
      </c>
      <c r="T3558" s="3">
        <v>1.72E-2</v>
      </c>
      <c r="U3558" s="3">
        <v>0.1321</v>
      </c>
      <c r="V3558" s="3">
        <v>1.41E-2</v>
      </c>
      <c r="W3558" s="3">
        <v>0.17849999999999999</v>
      </c>
    </row>
    <row r="3559" spans="1:23">
      <c r="A3559" t="s">
        <v>199</v>
      </c>
      <c r="B3559" t="s">
        <v>207</v>
      </c>
      <c r="C3559">
        <v>279</v>
      </c>
      <c r="D3559" t="s">
        <v>194</v>
      </c>
      <c r="E3559">
        <v>2655</v>
      </c>
      <c r="G3559" s="3">
        <v>0.10829999999999999</v>
      </c>
      <c r="H3559" s="3">
        <v>1.2699999999999999E-2</v>
      </c>
      <c r="I3559" s="3">
        <v>0.123</v>
      </c>
      <c r="J3559" s="3">
        <v>1.9400000000000001E-2</v>
      </c>
      <c r="K3559" s="3">
        <v>0.1202</v>
      </c>
      <c r="L3559" s="3">
        <v>0.1197</v>
      </c>
      <c r="M3559" s="3">
        <v>9.9400000000000002E-2</v>
      </c>
      <c r="N3559" s="3">
        <v>0.106</v>
      </c>
      <c r="O3559" s="3">
        <v>0.2036</v>
      </c>
      <c r="P3559" s="3">
        <v>0.5524</v>
      </c>
      <c r="Q3559" s="3">
        <v>3.0000000000000001E-3</v>
      </c>
      <c r="R3559" s="3">
        <v>9.2700000000000005E-2</v>
      </c>
      <c r="S3559" s="3">
        <v>5.7000000000000002E-3</v>
      </c>
      <c r="T3559" s="3">
        <v>3.0599999999999999E-2</v>
      </c>
      <c r="U3559" s="3">
        <v>0.16120000000000001</v>
      </c>
      <c r="V3559" s="3">
        <v>9.6199999999999994E-2</v>
      </c>
      <c r="W3559" s="3">
        <v>0.2165</v>
      </c>
    </row>
    <row r="3560" spans="1:23">
      <c r="A3560" t="s">
        <v>199</v>
      </c>
      <c r="B3560" t="s">
        <v>209</v>
      </c>
      <c r="C3560">
        <v>1195</v>
      </c>
      <c r="D3560" t="s">
        <v>194</v>
      </c>
      <c r="E3560">
        <v>2655</v>
      </c>
      <c r="F3560" s="3">
        <v>1.7100000000000001E-2</v>
      </c>
      <c r="G3560" s="3">
        <v>1.3299999999999999E-2</v>
      </c>
      <c r="H3560" s="3">
        <v>9.5999999999999992E-3</v>
      </c>
      <c r="I3560" s="3">
        <v>5.3900000000000003E-2</v>
      </c>
      <c r="J3560" s="3">
        <v>1.21E-2</v>
      </c>
      <c r="K3560" s="3">
        <v>2.63E-2</v>
      </c>
      <c r="L3560" s="3">
        <v>6.0199999999999997E-2</v>
      </c>
      <c r="M3560" s="3">
        <v>1.5800000000000002E-2</v>
      </c>
      <c r="N3560" s="3">
        <v>2.12E-2</v>
      </c>
      <c r="O3560" s="3">
        <v>7.7399999999999997E-2</v>
      </c>
      <c r="P3560" s="3">
        <v>0.80120000000000002</v>
      </c>
      <c r="Q3560" s="3">
        <v>3.3E-3</v>
      </c>
      <c r="R3560" s="3">
        <v>1.18E-2</v>
      </c>
      <c r="S3560" s="3">
        <v>2.0000000000000001E-4</v>
      </c>
      <c r="T3560" s="3">
        <v>3.0999999999999999E-3</v>
      </c>
      <c r="U3560" s="3">
        <v>2.7E-2</v>
      </c>
      <c r="V3560" s="3">
        <v>2.81E-2</v>
      </c>
      <c r="W3560" s="3">
        <v>7.5600000000000001E-2</v>
      </c>
    </row>
    <row r="3561" spans="1:23">
      <c r="A3561" t="s">
        <v>200</v>
      </c>
      <c r="B3561" t="s">
        <v>200</v>
      </c>
      <c r="C3561">
        <v>2655</v>
      </c>
      <c r="D3561" t="s">
        <v>200</v>
      </c>
      <c r="E3561">
        <v>2655</v>
      </c>
      <c r="F3561" s="3">
        <v>2.6599999999999999E-2</v>
      </c>
      <c r="G3561" s="3">
        <v>9.8500000000000004E-2</v>
      </c>
      <c r="H3561" s="3">
        <v>1.54E-2</v>
      </c>
      <c r="I3561" s="3">
        <v>0.1031</v>
      </c>
      <c r="J3561" s="3">
        <v>3.1E-2</v>
      </c>
      <c r="K3561" s="3">
        <v>5.33E-2</v>
      </c>
      <c r="L3561" s="3">
        <v>8.2100000000000006E-2</v>
      </c>
      <c r="M3561" s="3">
        <v>4.99E-2</v>
      </c>
      <c r="N3561" s="3">
        <v>7.8399999999999997E-2</v>
      </c>
      <c r="O3561" s="3">
        <v>0.1206</v>
      </c>
      <c r="P3561" s="3">
        <v>0.63349999999999995</v>
      </c>
      <c r="Q3561" s="3">
        <v>3.3E-3</v>
      </c>
      <c r="R3561" s="3">
        <v>5.0900000000000001E-2</v>
      </c>
      <c r="S3561" s="3">
        <v>1.2999999999999999E-3</v>
      </c>
      <c r="T3561" s="3">
        <v>1.2999999999999999E-2</v>
      </c>
      <c r="U3561" s="3">
        <v>8.6900000000000005E-2</v>
      </c>
      <c r="V3561" s="3">
        <v>2.64E-2</v>
      </c>
      <c r="W3561" s="3">
        <v>0.1411</v>
      </c>
    </row>
    <row r="3563" spans="1:23" ht="45">
      <c r="A3563" s="22" t="s">
        <v>868</v>
      </c>
    </row>
    <row r="3564" spans="1:23">
      <c r="A3564" t="s">
        <v>185</v>
      </c>
      <c r="B3564" t="s">
        <v>192</v>
      </c>
      <c r="C3564" t="s">
        <v>184</v>
      </c>
      <c r="D3564" t="s">
        <v>193</v>
      </c>
      <c r="E3564" t="s">
        <v>852</v>
      </c>
      <c r="F3564" t="s">
        <v>853</v>
      </c>
      <c r="G3564" t="s">
        <v>257</v>
      </c>
      <c r="H3564" t="s">
        <v>854</v>
      </c>
      <c r="I3564" t="s">
        <v>855</v>
      </c>
      <c r="J3564" t="s">
        <v>856</v>
      </c>
      <c r="K3564" t="s">
        <v>857</v>
      </c>
      <c r="L3564" t="s">
        <v>858</v>
      </c>
      <c r="M3564" t="s">
        <v>859</v>
      </c>
      <c r="N3564" t="s">
        <v>860</v>
      </c>
      <c r="O3564" t="s">
        <v>329</v>
      </c>
      <c r="P3564" t="s">
        <v>274</v>
      </c>
      <c r="Q3564" t="s">
        <v>861</v>
      </c>
      <c r="R3564" t="s">
        <v>247</v>
      </c>
      <c r="S3564" t="s">
        <v>862</v>
      </c>
      <c r="T3564" t="s">
        <v>863</v>
      </c>
      <c r="U3564" t="s">
        <v>864</v>
      </c>
      <c r="V3564" t="s">
        <v>865</v>
      </c>
    </row>
    <row r="3565" spans="1:23">
      <c r="A3565" t="s">
        <v>195</v>
      </c>
      <c r="B3565">
        <v>1181</v>
      </c>
      <c r="C3565" t="s">
        <v>194</v>
      </c>
      <c r="D3565">
        <v>2655</v>
      </c>
      <c r="E3565" s="3">
        <v>4.1000000000000002E-2</v>
      </c>
      <c r="F3565" s="3">
        <v>0.19089999999999999</v>
      </c>
      <c r="G3565" s="3">
        <v>2.23E-2</v>
      </c>
      <c r="H3565" s="3">
        <v>0.15429999999999999</v>
      </c>
      <c r="I3565" s="3">
        <v>5.3600000000000002E-2</v>
      </c>
      <c r="J3565" s="3">
        <v>7.2999999999999995E-2</v>
      </c>
      <c r="K3565" s="3">
        <v>0.10059999999999999</v>
      </c>
      <c r="L3565" s="3">
        <v>8.0100000000000005E-2</v>
      </c>
      <c r="M3565" s="3">
        <v>0.13730000000000001</v>
      </c>
      <c r="N3565" s="3">
        <v>0.15579999999999999</v>
      </c>
      <c r="O3565" s="3">
        <v>0.46089999999999998</v>
      </c>
      <c r="P3565" s="3">
        <v>3.3999999999999998E-3</v>
      </c>
      <c r="Q3565" s="3">
        <v>8.7800000000000003E-2</v>
      </c>
      <c r="R3565" s="3">
        <v>1.8E-3</v>
      </c>
      <c r="S3565" s="3">
        <v>2.12E-2</v>
      </c>
      <c r="T3565" s="3">
        <v>0.14180000000000001</v>
      </c>
      <c r="U3565" s="3">
        <v>1.41E-2</v>
      </c>
      <c r="V3565" s="3">
        <v>0.2019</v>
      </c>
    </row>
    <row r="3566" spans="1:23">
      <c r="A3566" t="s">
        <v>199</v>
      </c>
      <c r="B3566">
        <v>1474</v>
      </c>
      <c r="C3566" t="s">
        <v>194</v>
      </c>
      <c r="D3566">
        <v>2655</v>
      </c>
      <c r="E3566" s="3">
        <v>1.5100000000000001E-2</v>
      </c>
      <c r="F3566" s="3">
        <v>2.46E-2</v>
      </c>
      <c r="G3566" s="3">
        <v>9.9000000000000008E-3</v>
      </c>
      <c r="H3566" s="3">
        <v>6.2100000000000002E-2</v>
      </c>
      <c r="I3566" s="3">
        <v>1.2999999999999999E-2</v>
      </c>
      <c r="J3566" s="3">
        <v>3.7499999999999999E-2</v>
      </c>
      <c r="K3566" s="3">
        <v>6.7299999999999999E-2</v>
      </c>
      <c r="L3566" s="3">
        <v>2.58E-2</v>
      </c>
      <c r="M3566" s="3">
        <v>3.1300000000000001E-2</v>
      </c>
      <c r="N3566" s="3">
        <v>9.2499999999999999E-2</v>
      </c>
      <c r="O3566" s="3">
        <v>0.77149999999999996</v>
      </c>
      <c r="P3566" s="3">
        <v>3.3E-3</v>
      </c>
      <c r="Q3566" s="3">
        <v>2.1399999999999999E-2</v>
      </c>
      <c r="R3566" s="3">
        <v>8.9999999999999998E-4</v>
      </c>
      <c r="S3566" s="3">
        <v>6.4000000000000003E-3</v>
      </c>
      <c r="T3566" s="3">
        <v>4.2999999999999997E-2</v>
      </c>
      <c r="U3566" s="3">
        <v>3.6200000000000003E-2</v>
      </c>
      <c r="V3566" s="3">
        <v>9.2399999999999996E-2</v>
      </c>
    </row>
    <row r="3567" spans="1:23">
      <c r="A3567" t="s">
        <v>200</v>
      </c>
      <c r="B3567">
        <v>2655</v>
      </c>
      <c r="C3567" t="s">
        <v>200</v>
      </c>
      <c r="D3567">
        <v>2655</v>
      </c>
      <c r="E3567" s="3">
        <v>2.6599999999999999E-2</v>
      </c>
      <c r="F3567" s="3">
        <v>9.8500000000000004E-2</v>
      </c>
      <c r="G3567" s="3">
        <v>1.54E-2</v>
      </c>
      <c r="H3567" s="3">
        <v>0.1031</v>
      </c>
      <c r="I3567" s="3">
        <v>3.1E-2</v>
      </c>
      <c r="J3567" s="3">
        <v>5.33E-2</v>
      </c>
      <c r="K3567" s="3">
        <v>8.2100000000000006E-2</v>
      </c>
      <c r="L3567" s="3">
        <v>4.99E-2</v>
      </c>
      <c r="M3567" s="3">
        <v>7.8399999999999997E-2</v>
      </c>
      <c r="N3567" s="3">
        <v>0.1206</v>
      </c>
      <c r="O3567" s="3">
        <v>0.63349999999999995</v>
      </c>
      <c r="P3567" s="3">
        <v>3.3E-3</v>
      </c>
      <c r="Q3567" s="3">
        <v>5.0900000000000001E-2</v>
      </c>
      <c r="R3567" s="3">
        <v>1.2999999999999999E-3</v>
      </c>
      <c r="S3567" s="3">
        <v>1.2999999999999999E-2</v>
      </c>
      <c r="T3567" s="3">
        <v>8.6900000000000005E-2</v>
      </c>
      <c r="U3567" s="3">
        <v>2.64E-2</v>
      </c>
      <c r="V3567" s="3">
        <v>0.1411</v>
      </c>
    </row>
    <row r="3569" spans="1:23" ht="30">
      <c r="A3569" s="22" t="s">
        <v>869</v>
      </c>
    </row>
    <row r="3570" spans="1:23">
      <c r="A3570" t="s">
        <v>185</v>
      </c>
      <c r="B3570" t="s">
        <v>186</v>
      </c>
      <c r="C3570" t="s">
        <v>192</v>
      </c>
      <c r="D3570" t="s">
        <v>184</v>
      </c>
      <c r="E3570" t="s">
        <v>193</v>
      </c>
      <c r="F3570" t="s">
        <v>852</v>
      </c>
      <c r="G3570" t="s">
        <v>853</v>
      </c>
      <c r="H3570" t="s">
        <v>257</v>
      </c>
      <c r="I3570" t="s">
        <v>854</v>
      </c>
      <c r="J3570" t="s">
        <v>855</v>
      </c>
      <c r="K3570" t="s">
        <v>856</v>
      </c>
      <c r="L3570" t="s">
        <v>857</v>
      </c>
      <c r="M3570" t="s">
        <v>858</v>
      </c>
      <c r="N3570" t="s">
        <v>859</v>
      </c>
      <c r="O3570" t="s">
        <v>860</v>
      </c>
      <c r="P3570" t="s">
        <v>329</v>
      </c>
      <c r="Q3570" t="s">
        <v>274</v>
      </c>
      <c r="R3570" t="s">
        <v>861</v>
      </c>
      <c r="S3570" t="s">
        <v>247</v>
      </c>
      <c r="T3570" t="s">
        <v>862</v>
      </c>
      <c r="U3570" t="s">
        <v>863</v>
      </c>
      <c r="V3570" t="s">
        <v>864</v>
      </c>
      <c r="W3570" t="s">
        <v>865</v>
      </c>
    </row>
    <row r="3571" spans="1:23">
      <c r="A3571" t="s">
        <v>195</v>
      </c>
      <c r="B3571" t="s">
        <v>212</v>
      </c>
      <c r="C3571">
        <v>866</v>
      </c>
      <c r="D3571" t="s">
        <v>194</v>
      </c>
      <c r="E3571">
        <v>2655</v>
      </c>
      <c r="F3571" s="3">
        <v>3.9899999999999998E-2</v>
      </c>
      <c r="G3571" s="3">
        <v>0.2041</v>
      </c>
      <c r="H3571" s="3">
        <v>2.5399999999999999E-2</v>
      </c>
      <c r="I3571" s="3">
        <v>0.15479999999999999</v>
      </c>
      <c r="J3571" s="3">
        <v>6.0100000000000001E-2</v>
      </c>
      <c r="K3571" s="3">
        <v>7.7100000000000002E-2</v>
      </c>
      <c r="L3571" s="3">
        <v>0.1116</v>
      </c>
      <c r="M3571" s="3">
        <v>8.3299999999999999E-2</v>
      </c>
      <c r="N3571" s="3">
        <v>0.1409</v>
      </c>
      <c r="O3571" s="3">
        <v>0.1666</v>
      </c>
      <c r="P3571" s="3">
        <v>0.44330000000000003</v>
      </c>
      <c r="Q3571" s="3">
        <v>3.0000000000000001E-3</v>
      </c>
      <c r="R3571" s="3">
        <v>8.9300000000000004E-2</v>
      </c>
      <c r="S3571" s="3">
        <v>1.1000000000000001E-3</v>
      </c>
      <c r="T3571" s="3">
        <v>2.2599999999999999E-2</v>
      </c>
      <c r="U3571" s="3">
        <v>0.15329999999999999</v>
      </c>
      <c r="V3571" s="3">
        <v>1.6299999999999999E-2</v>
      </c>
      <c r="W3571" s="3">
        <v>0.21479999999999999</v>
      </c>
    </row>
    <row r="3572" spans="1:23">
      <c r="A3572" t="s">
        <v>195</v>
      </c>
      <c r="B3572" t="s">
        <v>214</v>
      </c>
      <c r="C3572">
        <v>180</v>
      </c>
      <c r="D3572" t="s">
        <v>194</v>
      </c>
      <c r="E3572">
        <v>2655</v>
      </c>
      <c r="G3572" s="3">
        <v>0.12280000000000001</v>
      </c>
      <c r="H3572" s="3">
        <v>3.8E-3</v>
      </c>
      <c r="I3572" s="3">
        <v>0.14599999999999999</v>
      </c>
      <c r="J3572" s="3">
        <v>7.7000000000000002E-3</v>
      </c>
      <c r="K3572" s="3">
        <v>3.7999999999999999E-2</v>
      </c>
      <c r="L3572" s="3">
        <v>4.3799999999999999E-2</v>
      </c>
      <c r="M3572" s="3">
        <v>7.6600000000000001E-2</v>
      </c>
      <c r="N3572" s="3">
        <v>0.10929999999999999</v>
      </c>
      <c r="O3572" s="3">
        <v>0.1038</v>
      </c>
      <c r="P3572" s="3">
        <v>0.60219999999999996</v>
      </c>
      <c r="R3572" s="3">
        <v>9.8000000000000004E-2</v>
      </c>
      <c r="S3572" s="3">
        <v>4.0000000000000002E-4</v>
      </c>
      <c r="T3572" s="3">
        <v>2.1299999999999999E-2</v>
      </c>
      <c r="U3572" s="3">
        <v>9.5899999999999999E-2</v>
      </c>
      <c r="V3572" s="3">
        <v>4.1000000000000003E-3</v>
      </c>
      <c r="W3572" s="3">
        <v>0.13159999999999999</v>
      </c>
    </row>
    <row r="3573" spans="1:23">
      <c r="A3573" t="s">
        <v>195</v>
      </c>
      <c r="B3573" t="s">
        <v>215</v>
      </c>
      <c r="C3573">
        <v>135</v>
      </c>
      <c r="D3573" t="s">
        <v>194</v>
      </c>
      <c r="E3573">
        <v>2655</v>
      </c>
      <c r="F3573" s="3">
        <v>0.12989999999999999</v>
      </c>
      <c r="G3573" s="3">
        <v>0.20530000000000001</v>
      </c>
      <c r="H3573" s="3">
        <v>2.9899999999999999E-2</v>
      </c>
      <c r="I3573" s="3">
        <v>0.16589999999999999</v>
      </c>
      <c r="J3573" s="3">
        <v>8.48E-2</v>
      </c>
      <c r="K3573" s="3">
        <v>0.1048</v>
      </c>
      <c r="L3573" s="3">
        <v>0.1124</v>
      </c>
      <c r="M3573" s="3">
        <v>5.8200000000000002E-2</v>
      </c>
      <c r="N3573" s="3">
        <v>0.15970000000000001</v>
      </c>
      <c r="O3573" s="3">
        <v>0.16070000000000001</v>
      </c>
      <c r="P3573" s="3">
        <v>0.34460000000000002</v>
      </c>
      <c r="Q3573" s="3">
        <v>1.34E-2</v>
      </c>
      <c r="R3573" s="3">
        <v>5.4399999999999997E-2</v>
      </c>
      <c r="S3573" s="3">
        <v>1.01E-2</v>
      </c>
      <c r="T3573" s="3">
        <v>8.6E-3</v>
      </c>
      <c r="U3573" s="3">
        <v>0.1288</v>
      </c>
      <c r="V3573" s="3">
        <v>1.4E-2</v>
      </c>
      <c r="W3573" s="3">
        <v>0.2235</v>
      </c>
    </row>
    <row r="3574" spans="1:23">
      <c r="A3574" t="s">
        <v>199</v>
      </c>
      <c r="B3574" t="s">
        <v>212</v>
      </c>
      <c r="C3574">
        <v>1107</v>
      </c>
      <c r="D3574" t="s">
        <v>194</v>
      </c>
      <c r="E3574">
        <v>2655</v>
      </c>
      <c r="F3574" s="3">
        <v>1.5800000000000002E-2</v>
      </c>
      <c r="G3574" s="3">
        <v>2.2100000000000002E-2</v>
      </c>
      <c r="H3574" s="3">
        <v>1.09E-2</v>
      </c>
      <c r="I3574" s="3">
        <v>5.1299999999999998E-2</v>
      </c>
      <c r="J3574" s="3">
        <v>1.35E-2</v>
      </c>
      <c r="K3574" s="3">
        <v>3.2500000000000001E-2</v>
      </c>
      <c r="L3574" s="3">
        <v>6.0400000000000002E-2</v>
      </c>
      <c r="M3574" s="3">
        <v>2.06E-2</v>
      </c>
      <c r="N3574" s="3">
        <v>2.4899999999999999E-2</v>
      </c>
      <c r="O3574" s="3">
        <v>9.35E-2</v>
      </c>
      <c r="P3574" s="3">
        <v>0.78490000000000004</v>
      </c>
      <c r="Q3574" s="3">
        <v>3.8999999999999998E-3</v>
      </c>
      <c r="R3574" s="3">
        <v>2.3300000000000001E-2</v>
      </c>
      <c r="S3574" s="3">
        <v>8.9999999999999998E-4</v>
      </c>
      <c r="T3574" s="3">
        <v>6.1000000000000004E-3</v>
      </c>
      <c r="U3574" s="3">
        <v>3.9800000000000002E-2</v>
      </c>
      <c r="V3574" s="3">
        <v>3.6999999999999998E-2</v>
      </c>
      <c r="W3574" s="3">
        <v>8.5800000000000001E-2</v>
      </c>
    </row>
    <row r="3575" spans="1:23">
      <c r="A3575" t="s">
        <v>199</v>
      </c>
      <c r="B3575" t="s">
        <v>214</v>
      </c>
      <c r="C3575">
        <v>194</v>
      </c>
      <c r="D3575" t="s">
        <v>194</v>
      </c>
      <c r="E3575">
        <v>2655</v>
      </c>
      <c r="G3575" s="3">
        <v>2.7199999999999998E-2</v>
      </c>
      <c r="H3575" s="3">
        <v>2E-3</v>
      </c>
      <c r="I3575" s="3">
        <v>0.1142</v>
      </c>
      <c r="J3575" s="3">
        <v>7.6E-3</v>
      </c>
      <c r="K3575" s="3">
        <v>1.9300000000000001E-2</v>
      </c>
      <c r="L3575" s="3">
        <v>0.106</v>
      </c>
      <c r="M3575" s="3">
        <v>3.5200000000000002E-2</v>
      </c>
      <c r="N3575" s="3">
        <v>5.33E-2</v>
      </c>
      <c r="O3575" s="3">
        <v>7.9299999999999995E-2</v>
      </c>
      <c r="P3575" s="3">
        <v>0.7409</v>
      </c>
      <c r="R3575" s="3">
        <v>7.9000000000000008E-3</v>
      </c>
      <c r="S3575" s="3">
        <v>1.4E-3</v>
      </c>
      <c r="T3575" s="3">
        <v>3.2000000000000002E-3</v>
      </c>
      <c r="U3575" s="3">
        <v>4.8399999999999999E-2</v>
      </c>
      <c r="V3575" s="3">
        <v>4.1099999999999998E-2</v>
      </c>
      <c r="W3575" s="3">
        <v>0.115</v>
      </c>
    </row>
    <row r="3576" spans="1:23">
      <c r="A3576" t="s">
        <v>199</v>
      </c>
      <c r="B3576" t="s">
        <v>215</v>
      </c>
      <c r="C3576">
        <v>173</v>
      </c>
      <c r="D3576" t="s">
        <v>194</v>
      </c>
      <c r="E3576">
        <v>2655</v>
      </c>
      <c r="F3576" s="3">
        <v>3.5400000000000001E-2</v>
      </c>
      <c r="G3576" s="3">
        <v>4.2799999999999998E-2</v>
      </c>
      <c r="H3576" s="3">
        <v>1.54E-2</v>
      </c>
      <c r="I3576" s="3">
        <v>6.7900000000000002E-2</v>
      </c>
      <c r="J3576" s="3">
        <v>1.78E-2</v>
      </c>
      <c r="K3576" s="3">
        <v>0.11600000000000001</v>
      </c>
      <c r="L3576" s="3">
        <v>6.0900000000000003E-2</v>
      </c>
      <c r="M3576" s="3">
        <v>5.57E-2</v>
      </c>
      <c r="N3576" s="3">
        <v>5.0599999999999999E-2</v>
      </c>
      <c r="O3576" s="3">
        <v>0.10680000000000001</v>
      </c>
      <c r="P3576" s="3">
        <v>0.70379999999999998</v>
      </c>
      <c r="Q3576" s="3">
        <v>3.8999999999999998E-3</v>
      </c>
      <c r="R3576" s="3">
        <v>2.81E-2</v>
      </c>
      <c r="T3576" s="3">
        <v>1.44E-2</v>
      </c>
      <c r="U3576" s="3">
        <v>6.25E-2</v>
      </c>
      <c r="V3576" s="3">
        <v>2.07E-2</v>
      </c>
      <c r="W3576" s="3">
        <v>0.1129</v>
      </c>
    </row>
    <row r="3577" spans="1:23">
      <c r="A3577" t="s">
        <v>200</v>
      </c>
      <c r="B3577" t="s">
        <v>200</v>
      </c>
      <c r="C3577">
        <v>2655</v>
      </c>
      <c r="D3577" t="s">
        <v>200</v>
      </c>
      <c r="E3577">
        <v>2655</v>
      </c>
      <c r="F3577" s="3">
        <v>2.6599999999999999E-2</v>
      </c>
      <c r="G3577" s="3">
        <v>9.8500000000000004E-2</v>
      </c>
      <c r="H3577" s="3">
        <v>1.54E-2</v>
      </c>
      <c r="I3577" s="3">
        <v>0.1031</v>
      </c>
      <c r="J3577" s="3">
        <v>3.1E-2</v>
      </c>
      <c r="K3577" s="3">
        <v>5.33E-2</v>
      </c>
      <c r="L3577" s="3">
        <v>8.2100000000000006E-2</v>
      </c>
      <c r="M3577" s="3">
        <v>4.99E-2</v>
      </c>
      <c r="N3577" s="3">
        <v>7.8399999999999997E-2</v>
      </c>
      <c r="O3577" s="3">
        <v>0.1206</v>
      </c>
      <c r="P3577" s="3">
        <v>0.63349999999999995</v>
      </c>
      <c r="Q3577" s="3">
        <v>3.3E-3</v>
      </c>
      <c r="R3577" s="3">
        <v>5.0900000000000001E-2</v>
      </c>
      <c r="S3577" s="3">
        <v>1.2999999999999999E-3</v>
      </c>
      <c r="T3577" s="3">
        <v>1.2999999999999999E-2</v>
      </c>
      <c r="U3577" s="3">
        <v>8.6900000000000005E-2</v>
      </c>
      <c r="V3577" s="3">
        <v>2.64E-2</v>
      </c>
      <c r="W3577" s="3">
        <v>0.1411</v>
      </c>
    </row>
    <row r="3579" spans="1:23" ht="30">
      <c r="A3579" s="22" t="s">
        <v>870</v>
      </c>
    </row>
    <row r="3580" spans="1:23">
      <c r="A3580" t="s">
        <v>185</v>
      </c>
      <c r="B3580" t="s">
        <v>186</v>
      </c>
      <c r="C3580" t="s">
        <v>192</v>
      </c>
      <c r="D3580" t="s">
        <v>184</v>
      </c>
      <c r="E3580" t="s">
        <v>193</v>
      </c>
      <c r="F3580" t="s">
        <v>852</v>
      </c>
      <c r="G3580" t="s">
        <v>853</v>
      </c>
      <c r="H3580" t="s">
        <v>257</v>
      </c>
      <c r="I3580" t="s">
        <v>854</v>
      </c>
      <c r="J3580" t="s">
        <v>855</v>
      </c>
      <c r="K3580" t="s">
        <v>856</v>
      </c>
      <c r="L3580" t="s">
        <v>857</v>
      </c>
      <c r="M3580" t="s">
        <v>858</v>
      </c>
      <c r="N3580" t="s">
        <v>859</v>
      </c>
      <c r="O3580" t="s">
        <v>860</v>
      </c>
      <c r="P3580" t="s">
        <v>329</v>
      </c>
      <c r="Q3580" t="s">
        <v>274</v>
      </c>
      <c r="R3580" t="s">
        <v>861</v>
      </c>
      <c r="S3580" t="s">
        <v>247</v>
      </c>
      <c r="T3580" t="s">
        <v>862</v>
      </c>
      <c r="U3580" t="s">
        <v>863</v>
      </c>
      <c r="V3580" t="s">
        <v>864</v>
      </c>
      <c r="W3580" t="s">
        <v>865</v>
      </c>
    </row>
    <row r="3581" spans="1:23">
      <c r="A3581" t="s">
        <v>195</v>
      </c>
      <c r="B3581" t="s">
        <v>217</v>
      </c>
      <c r="C3581">
        <v>496</v>
      </c>
      <c r="D3581" t="s">
        <v>194</v>
      </c>
      <c r="E3581">
        <v>2655</v>
      </c>
      <c r="F3581" s="3">
        <v>5.3900000000000003E-2</v>
      </c>
      <c r="G3581" s="3">
        <v>0.186</v>
      </c>
      <c r="H3581" s="3">
        <v>2.2700000000000001E-2</v>
      </c>
      <c r="I3581" s="3">
        <v>0.1023</v>
      </c>
      <c r="J3581" s="3">
        <v>3.4099999999999998E-2</v>
      </c>
      <c r="K3581" s="3">
        <v>8.0399999999999999E-2</v>
      </c>
      <c r="L3581" s="3">
        <v>7.8299999999999995E-2</v>
      </c>
      <c r="M3581" s="3">
        <v>6.1100000000000002E-2</v>
      </c>
      <c r="N3581" s="3">
        <v>0.1295</v>
      </c>
      <c r="O3581" s="3">
        <v>0.121</v>
      </c>
      <c r="P3581" s="3">
        <v>0.48849999999999999</v>
      </c>
      <c r="Q3581" s="3">
        <v>3.3E-3</v>
      </c>
      <c r="R3581" s="3">
        <v>4.8000000000000001E-2</v>
      </c>
      <c r="S3581" s="3">
        <v>4.0000000000000001E-3</v>
      </c>
      <c r="T3581" s="3">
        <v>1.2200000000000001E-2</v>
      </c>
      <c r="U3581" s="3">
        <v>0.13800000000000001</v>
      </c>
      <c r="V3581" s="3">
        <v>7.4000000000000003E-3</v>
      </c>
      <c r="W3581" s="3">
        <v>0.21340000000000001</v>
      </c>
    </row>
    <row r="3582" spans="1:23">
      <c r="A3582" t="s">
        <v>195</v>
      </c>
      <c r="B3582" t="s">
        <v>219</v>
      </c>
      <c r="C3582">
        <v>504</v>
      </c>
      <c r="D3582" t="s">
        <v>194</v>
      </c>
      <c r="E3582">
        <v>2655</v>
      </c>
      <c r="F3582" s="3">
        <v>3.09E-2</v>
      </c>
      <c r="G3582" s="3">
        <v>0.2107</v>
      </c>
      <c r="H3582" s="3">
        <v>2.7099999999999999E-2</v>
      </c>
      <c r="I3582" s="3">
        <v>0.20300000000000001</v>
      </c>
      <c r="J3582" s="3">
        <v>9.2100000000000001E-2</v>
      </c>
      <c r="K3582" s="3">
        <v>5.6399999999999999E-2</v>
      </c>
      <c r="L3582" s="3">
        <v>9.1499999999999998E-2</v>
      </c>
      <c r="M3582" s="3">
        <v>9.2100000000000001E-2</v>
      </c>
      <c r="N3582" s="3">
        <v>0.16259999999999999</v>
      </c>
      <c r="O3582" s="3">
        <v>0.1706</v>
      </c>
      <c r="P3582" s="3">
        <v>0.42780000000000001</v>
      </c>
      <c r="Q3582" s="3">
        <v>1.4E-3</v>
      </c>
      <c r="R3582" s="3">
        <v>0.13669999999999999</v>
      </c>
      <c r="T3582" s="3">
        <v>2.6599999999999999E-2</v>
      </c>
      <c r="U3582" s="3">
        <v>0.1769</v>
      </c>
      <c r="V3582" s="3">
        <v>1.5100000000000001E-2</v>
      </c>
      <c r="W3582" s="3">
        <v>0.22950000000000001</v>
      </c>
    </row>
    <row r="3583" spans="1:23">
      <c r="A3583" t="s">
        <v>195</v>
      </c>
      <c r="B3583" t="s">
        <v>220</v>
      </c>
      <c r="C3583">
        <v>180</v>
      </c>
      <c r="D3583" t="s">
        <v>194</v>
      </c>
      <c r="E3583">
        <v>2655</v>
      </c>
      <c r="F3583" s="3">
        <v>3.27E-2</v>
      </c>
      <c r="G3583" s="3">
        <v>0.161</v>
      </c>
      <c r="H3583" s="3">
        <v>1.14E-2</v>
      </c>
      <c r="I3583" s="3">
        <v>0.1701</v>
      </c>
      <c r="J3583" s="3">
        <v>1.7999999999999999E-2</v>
      </c>
      <c r="K3583" s="3">
        <v>9.0700000000000003E-2</v>
      </c>
      <c r="L3583" s="3">
        <v>0.1694</v>
      </c>
      <c r="M3583" s="3">
        <v>9.7600000000000006E-2</v>
      </c>
      <c r="N3583" s="3">
        <v>0.1028</v>
      </c>
      <c r="O3583" s="3">
        <v>0.20300000000000001</v>
      </c>
      <c r="P3583" s="3">
        <v>0.4677</v>
      </c>
      <c r="Q3583" s="3">
        <v>7.9000000000000008E-3</v>
      </c>
      <c r="R3583" s="3">
        <v>7.5999999999999998E-2</v>
      </c>
      <c r="S3583" s="3">
        <v>4.0000000000000002E-4</v>
      </c>
      <c r="T3583" s="3">
        <v>3.0200000000000001E-2</v>
      </c>
      <c r="U3583" s="3">
        <v>7.8299999999999995E-2</v>
      </c>
      <c r="V3583" s="3">
        <v>2.7099999999999999E-2</v>
      </c>
      <c r="W3583" s="3">
        <v>0.1198</v>
      </c>
    </row>
    <row r="3584" spans="1:23">
      <c r="A3584" t="s">
        <v>199</v>
      </c>
      <c r="B3584" t="s">
        <v>217</v>
      </c>
      <c r="C3584">
        <v>804</v>
      </c>
      <c r="D3584" t="s">
        <v>194</v>
      </c>
      <c r="E3584">
        <v>2655</v>
      </c>
      <c r="F3584" s="3">
        <v>2.35E-2</v>
      </c>
      <c r="G3584" s="3">
        <v>2.4799999999999999E-2</v>
      </c>
      <c r="H3584" s="3">
        <v>1.2200000000000001E-2</v>
      </c>
      <c r="I3584" s="3">
        <v>5.5199999999999999E-2</v>
      </c>
      <c r="J3584" s="3">
        <v>1.0999999999999999E-2</v>
      </c>
      <c r="K3584" s="3">
        <v>3.6600000000000001E-2</v>
      </c>
      <c r="L3584" s="3">
        <v>7.3999999999999996E-2</v>
      </c>
      <c r="M3584" s="3">
        <v>2.1000000000000001E-2</v>
      </c>
      <c r="N3584" s="3">
        <v>2.5000000000000001E-2</v>
      </c>
      <c r="O3584" s="3">
        <v>8.7800000000000003E-2</v>
      </c>
      <c r="P3584" s="3">
        <v>0.79159999999999997</v>
      </c>
      <c r="Q3584" s="3">
        <v>4.7000000000000002E-3</v>
      </c>
      <c r="R3584" s="3">
        <v>2.6800000000000001E-2</v>
      </c>
      <c r="S3584" s="3">
        <v>0</v>
      </c>
      <c r="T3584" s="3">
        <v>7.4000000000000003E-3</v>
      </c>
      <c r="U3584" s="3">
        <v>3.1199999999999999E-2</v>
      </c>
      <c r="V3584" s="3">
        <v>4.0599999999999997E-2</v>
      </c>
      <c r="W3584" s="3">
        <v>8.3900000000000002E-2</v>
      </c>
    </row>
    <row r="3585" spans="1:23">
      <c r="A3585" t="s">
        <v>199</v>
      </c>
      <c r="B3585" t="s">
        <v>219</v>
      </c>
      <c r="C3585">
        <v>447</v>
      </c>
      <c r="D3585" t="s">
        <v>194</v>
      </c>
      <c r="E3585">
        <v>2655</v>
      </c>
      <c r="F3585" s="3">
        <v>4.1000000000000003E-3</v>
      </c>
      <c r="G3585" s="3">
        <v>3.6799999999999999E-2</v>
      </c>
      <c r="H3585" s="3">
        <v>7.6E-3</v>
      </c>
      <c r="I3585" s="3">
        <v>0.1106</v>
      </c>
      <c r="J3585" s="3">
        <v>2.53E-2</v>
      </c>
      <c r="K3585" s="3">
        <v>5.8400000000000001E-2</v>
      </c>
      <c r="L3585" s="3">
        <v>4.3400000000000001E-2</v>
      </c>
      <c r="M3585" s="3">
        <v>2.1000000000000001E-2</v>
      </c>
      <c r="N3585" s="3">
        <v>3.1300000000000001E-2</v>
      </c>
      <c r="O3585" s="3">
        <v>8.6400000000000005E-2</v>
      </c>
      <c r="P3585" s="3">
        <v>0.72940000000000005</v>
      </c>
      <c r="Q3585" s="3">
        <v>6.9999999999999999E-4</v>
      </c>
      <c r="R3585" s="3">
        <v>1.83E-2</v>
      </c>
      <c r="T3585" s="3">
        <v>6.7000000000000002E-3</v>
      </c>
      <c r="U3585" s="3">
        <v>5.8799999999999998E-2</v>
      </c>
      <c r="V3585" s="3">
        <v>3.8399999999999997E-2</v>
      </c>
      <c r="W3585" s="3">
        <v>0.1128</v>
      </c>
    </row>
    <row r="3586" spans="1:23">
      <c r="A3586" t="s">
        <v>199</v>
      </c>
      <c r="B3586" t="s">
        <v>220</v>
      </c>
      <c r="C3586">
        <v>223</v>
      </c>
      <c r="D3586" t="s">
        <v>194</v>
      </c>
      <c r="E3586">
        <v>2655</v>
      </c>
      <c r="F3586" s="3">
        <v>2.9999999999999997E-4</v>
      </c>
      <c r="G3586" s="3">
        <v>4.8999999999999998E-3</v>
      </c>
      <c r="H3586" s="3">
        <v>5.1000000000000004E-3</v>
      </c>
      <c r="I3586" s="3">
        <v>1.2800000000000001E-2</v>
      </c>
      <c r="J3586" s="3">
        <v>1.2999999999999999E-3</v>
      </c>
      <c r="K3586" s="3">
        <v>8.8000000000000005E-3</v>
      </c>
      <c r="L3586" s="3">
        <v>7.9200000000000007E-2</v>
      </c>
      <c r="M3586" s="3">
        <v>5.1400000000000001E-2</v>
      </c>
      <c r="N3586" s="3">
        <v>5.5300000000000002E-2</v>
      </c>
      <c r="O3586" s="3">
        <v>0.1197</v>
      </c>
      <c r="P3586" s="3">
        <v>0.76070000000000004</v>
      </c>
      <c r="Q3586" s="3">
        <v>1.9E-3</v>
      </c>
      <c r="R3586" s="3">
        <v>6.0000000000000001E-3</v>
      </c>
      <c r="S3586" s="3">
        <v>5.4999999999999997E-3</v>
      </c>
      <c r="T3586" s="3">
        <v>2.2000000000000001E-3</v>
      </c>
      <c r="U3586" s="3">
        <v>6.3E-2</v>
      </c>
      <c r="V3586" s="3">
        <v>1.6199999999999999E-2</v>
      </c>
      <c r="W3586" s="3">
        <v>9.2799999999999994E-2</v>
      </c>
    </row>
    <row r="3587" spans="1:23">
      <c r="A3587" t="s">
        <v>200</v>
      </c>
      <c r="B3587" t="s">
        <v>200</v>
      </c>
      <c r="C3587">
        <v>2655</v>
      </c>
      <c r="D3587" t="s">
        <v>200</v>
      </c>
      <c r="E3587">
        <v>2655</v>
      </c>
      <c r="F3587" s="3">
        <v>2.6599999999999999E-2</v>
      </c>
      <c r="G3587" s="3">
        <v>9.8500000000000004E-2</v>
      </c>
      <c r="H3587" s="3">
        <v>1.54E-2</v>
      </c>
      <c r="I3587" s="3">
        <v>0.1031</v>
      </c>
      <c r="J3587" s="3">
        <v>3.1E-2</v>
      </c>
      <c r="K3587" s="3">
        <v>5.33E-2</v>
      </c>
      <c r="L3587" s="3">
        <v>8.2100000000000006E-2</v>
      </c>
      <c r="M3587" s="3">
        <v>4.99E-2</v>
      </c>
      <c r="N3587" s="3">
        <v>7.8399999999999997E-2</v>
      </c>
      <c r="O3587" s="3">
        <v>0.1206</v>
      </c>
      <c r="P3587" s="3">
        <v>0.63349999999999995</v>
      </c>
      <c r="Q3587" s="3">
        <v>3.3E-3</v>
      </c>
      <c r="R3587" s="3">
        <v>5.0900000000000001E-2</v>
      </c>
      <c r="S3587" s="3">
        <v>1.2999999999999999E-3</v>
      </c>
      <c r="T3587" s="3">
        <v>1.2999999999999999E-2</v>
      </c>
      <c r="U3587" s="3">
        <v>8.6900000000000005E-2</v>
      </c>
      <c r="V3587" s="3">
        <v>2.64E-2</v>
      </c>
      <c r="W3587" s="3">
        <v>0.1411</v>
      </c>
    </row>
    <row r="3589" spans="1:23" ht="45">
      <c r="A3589" s="22" t="s">
        <v>871</v>
      </c>
    </row>
    <row r="3590" spans="1:23">
      <c r="A3590" t="s">
        <v>185</v>
      </c>
      <c r="B3590" t="s">
        <v>186</v>
      </c>
      <c r="C3590" t="s">
        <v>192</v>
      </c>
      <c r="D3590" t="s">
        <v>184</v>
      </c>
      <c r="E3590" t="s">
        <v>193</v>
      </c>
      <c r="F3590" t="s">
        <v>872</v>
      </c>
      <c r="G3590" t="s">
        <v>257</v>
      </c>
      <c r="H3590" t="s">
        <v>873</v>
      </c>
      <c r="I3590" t="s">
        <v>874</v>
      </c>
      <c r="J3590" t="s">
        <v>875</v>
      </c>
      <c r="K3590" t="s">
        <v>876</v>
      </c>
      <c r="L3590" t="s">
        <v>877</v>
      </c>
      <c r="M3590" t="s">
        <v>878</v>
      </c>
      <c r="N3590" t="s">
        <v>879</v>
      </c>
      <c r="O3590" t="s">
        <v>880</v>
      </c>
      <c r="P3590" t="s">
        <v>329</v>
      </c>
      <c r="Q3590" t="s">
        <v>274</v>
      </c>
      <c r="R3590" t="s">
        <v>881</v>
      </c>
      <c r="S3590" t="s">
        <v>882</v>
      </c>
      <c r="T3590" t="s">
        <v>247</v>
      </c>
      <c r="U3590" t="s">
        <v>883</v>
      </c>
    </row>
    <row r="3591" spans="1:23">
      <c r="A3591" t="s">
        <v>195</v>
      </c>
      <c r="B3591" t="s">
        <v>196</v>
      </c>
      <c r="C3591">
        <v>412</v>
      </c>
      <c r="D3591" t="s">
        <v>194</v>
      </c>
      <c r="E3591">
        <v>2676</v>
      </c>
      <c r="F3591" s="3">
        <v>0.16800000000000001</v>
      </c>
      <c r="G3591" s="3">
        <v>1E-4</v>
      </c>
      <c r="H3591" s="3">
        <v>5.2200000000000003E-2</v>
      </c>
      <c r="I3591" s="3">
        <v>0.48599999999999999</v>
      </c>
      <c r="J3591" s="3">
        <v>3.6400000000000002E-2</v>
      </c>
      <c r="K3591" s="3">
        <v>3.2599999999999997E-2</v>
      </c>
      <c r="L3591" s="3">
        <v>8.0000000000000004E-4</v>
      </c>
      <c r="M3591" s="3">
        <v>0.1086</v>
      </c>
      <c r="N3591" s="3">
        <v>1.6500000000000001E-2</v>
      </c>
      <c r="O3591" s="3">
        <v>5.4999999999999997E-3</v>
      </c>
      <c r="P3591" s="3">
        <v>9.4000000000000004E-3</v>
      </c>
      <c r="Q3591" s="3">
        <v>6.4999999999999997E-3</v>
      </c>
      <c r="R3591" s="3">
        <v>0.23769999999999999</v>
      </c>
      <c r="S3591" s="3">
        <v>0.42859999999999998</v>
      </c>
      <c r="U3591" s="3">
        <v>0.40039999999999998</v>
      </c>
    </row>
    <row r="3592" spans="1:23">
      <c r="A3592" t="s">
        <v>195</v>
      </c>
      <c r="B3592" t="s">
        <v>198</v>
      </c>
      <c r="C3592">
        <v>755</v>
      </c>
      <c r="D3592" t="s">
        <v>194</v>
      </c>
      <c r="E3592">
        <v>2676</v>
      </c>
      <c r="F3592" s="3">
        <v>0.1638</v>
      </c>
      <c r="G3592" s="3">
        <v>2.0000000000000001E-4</v>
      </c>
      <c r="H3592" s="3">
        <v>4.6199999999999998E-2</v>
      </c>
      <c r="I3592" s="3">
        <v>0.50639999999999996</v>
      </c>
      <c r="J3592" s="3">
        <v>2.01E-2</v>
      </c>
      <c r="K3592" s="3">
        <v>5.4000000000000003E-3</v>
      </c>
      <c r="L3592" s="3">
        <v>6.0000000000000001E-3</v>
      </c>
      <c r="M3592" s="3">
        <v>0.10489999999999999</v>
      </c>
      <c r="N3592" s="3">
        <v>3.3999999999999998E-3</v>
      </c>
      <c r="O3592" s="3">
        <v>5.6000000000000001E-2</v>
      </c>
      <c r="P3592" s="3">
        <v>3.3E-3</v>
      </c>
      <c r="Q3592" s="3">
        <v>9.7000000000000003E-3</v>
      </c>
      <c r="R3592" s="3">
        <v>0.2601</v>
      </c>
      <c r="S3592" s="3">
        <v>0.29770000000000002</v>
      </c>
      <c r="T3592" s="3">
        <v>2E-3</v>
      </c>
      <c r="U3592" s="3">
        <v>0.60850000000000004</v>
      </c>
    </row>
    <row r="3593" spans="1:23">
      <c r="A3593" t="s">
        <v>199</v>
      </c>
      <c r="B3593" t="s">
        <v>196</v>
      </c>
      <c r="C3593">
        <v>525</v>
      </c>
      <c r="D3593" t="s">
        <v>194</v>
      </c>
      <c r="E3593">
        <v>2676</v>
      </c>
      <c r="F3593" s="3">
        <v>0.18390000000000001</v>
      </c>
      <c r="G3593" s="3">
        <v>1.1999999999999999E-3</v>
      </c>
      <c r="H3593" s="3">
        <v>0.02</v>
      </c>
      <c r="I3593" s="3">
        <v>1.4E-2</v>
      </c>
      <c r="J3593" s="3">
        <v>0.1099</v>
      </c>
      <c r="K3593" s="3">
        <v>4.2700000000000002E-2</v>
      </c>
      <c r="L3593" s="3">
        <v>4.7500000000000001E-2</v>
      </c>
      <c r="M3593" s="3">
        <v>9.3799999999999994E-2</v>
      </c>
      <c r="N3593" s="3">
        <v>7.3000000000000001E-3</v>
      </c>
      <c r="O3593" s="3">
        <v>7.5600000000000001E-2</v>
      </c>
      <c r="P3593" s="3">
        <v>2.5000000000000001E-3</v>
      </c>
      <c r="Q3593" s="3">
        <v>2.0999999999999999E-3</v>
      </c>
      <c r="R3593" s="3">
        <v>0.23330000000000001</v>
      </c>
      <c r="S3593" s="3">
        <v>0.30819999999999997</v>
      </c>
      <c r="T3593" s="3">
        <v>1E-4</v>
      </c>
      <c r="U3593" s="3">
        <v>0.67330000000000001</v>
      </c>
    </row>
    <row r="3594" spans="1:23">
      <c r="A3594" t="s">
        <v>199</v>
      </c>
      <c r="B3594" t="s">
        <v>198</v>
      </c>
      <c r="C3594">
        <v>945</v>
      </c>
      <c r="D3594" t="s">
        <v>194</v>
      </c>
      <c r="E3594">
        <v>2676</v>
      </c>
      <c r="F3594" s="3">
        <v>0.12790000000000001</v>
      </c>
      <c r="H3594" s="3">
        <v>7.4000000000000003E-3</v>
      </c>
      <c r="I3594" s="3">
        <v>3.0200000000000001E-2</v>
      </c>
      <c r="J3594" s="3">
        <v>0.1118</v>
      </c>
      <c r="K3594" s="3">
        <v>1.5100000000000001E-2</v>
      </c>
      <c r="L3594" s="3">
        <v>5.1499999999999997E-2</v>
      </c>
      <c r="M3594" s="3">
        <v>9.3299999999999994E-2</v>
      </c>
      <c r="N3594" s="3">
        <v>1E-3</v>
      </c>
      <c r="O3594" s="3">
        <v>6.3899999999999998E-2</v>
      </c>
      <c r="P3594" s="3">
        <v>2.9999999999999997E-4</v>
      </c>
      <c r="Q3594" s="3">
        <v>5.1000000000000004E-3</v>
      </c>
      <c r="R3594" s="3">
        <v>0.17530000000000001</v>
      </c>
      <c r="S3594" s="3">
        <v>0.24310000000000001</v>
      </c>
      <c r="T3594" s="3">
        <v>3.3E-3</v>
      </c>
      <c r="U3594" s="3">
        <v>0.76449999999999996</v>
      </c>
    </row>
    <row r="3595" spans="1:23">
      <c r="A3595" t="s">
        <v>200</v>
      </c>
      <c r="B3595" t="s">
        <v>200</v>
      </c>
      <c r="C3595">
        <v>2676</v>
      </c>
      <c r="D3595" t="s">
        <v>200</v>
      </c>
      <c r="E3595">
        <v>2676</v>
      </c>
      <c r="F3595" s="3">
        <v>0.14960000000000001</v>
      </c>
      <c r="G3595" s="3">
        <v>2.0000000000000001E-4</v>
      </c>
      <c r="H3595" s="3">
        <v>2.6499999999999999E-2</v>
      </c>
      <c r="I3595" s="3">
        <v>0.2369</v>
      </c>
      <c r="J3595" s="3">
        <v>7.2800000000000004E-2</v>
      </c>
      <c r="K3595" s="3">
        <v>1.6799999999999999E-2</v>
      </c>
      <c r="L3595" s="3">
        <v>3.0200000000000001E-2</v>
      </c>
      <c r="M3595" s="3">
        <v>9.8699999999999996E-2</v>
      </c>
      <c r="N3595" s="3">
        <v>4.3E-3</v>
      </c>
      <c r="O3595" s="3">
        <v>5.5500000000000001E-2</v>
      </c>
      <c r="P3595" s="3">
        <v>2.7000000000000001E-3</v>
      </c>
      <c r="Q3595" s="3">
        <v>6.4000000000000003E-3</v>
      </c>
      <c r="R3595" s="3">
        <v>0.21609999999999999</v>
      </c>
      <c r="S3595" s="3">
        <v>0.28910000000000002</v>
      </c>
      <c r="T3595" s="3">
        <v>2.2000000000000001E-3</v>
      </c>
      <c r="U3595" s="3">
        <v>0.66149999999999998</v>
      </c>
    </row>
    <row r="3597" spans="1:23" ht="45">
      <c r="A3597" s="22" t="s">
        <v>884</v>
      </c>
    </row>
    <row r="3598" spans="1:23">
      <c r="A3598" t="s">
        <v>185</v>
      </c>
      <c r="B3598" t="s">
        <v>186</v>
      </c>
      <c r="C3598" t="s">
        <v>192</v>
      </c>
      <c r="D3598" t="s">
        <v>184</v>
      </c>
      <c r="E3598" t="s">
        <v>193</v>
      </c>
      <c r="F3598" t="s">
        <v>872</v>
      </c>
      <c r="G3598" t="s">
        <v>257</v>
      </c>
      <c r="H3598" t="s">
        <v>873</v>
      </c>
      <c r="I3598" t="s">
        <v>874</v>
      </c>
      <c r="J3598" t="s">
        <v>875</v>
      </c>
      <c r="K3598" t="s">
        <v>876</v>
      </c>
      <c r="L3598" t="s">
        <v>877</v>
      </c>
      <c r="M3598" t="s">
        <v>878</v>
      </c>
      <c r="N3598" t="s">
        <v>879</v>
      </c>
      <c r="O3598" t="s">
        <v>880</v>
      </c>
      <c r="P3598" t="s">
        <v>329</v>
      </c>
      <c r="Q3598" t="s">
        <v>274</v>
      </c>
      <c r="R3598" t="s">
        <v>881</v>
      </c>
      <c r="S3598" t="s">
        <v>882</v>
      </c>
      <c r="T3598" t="s">
        <v>247</v>
      </c>
      <c r="U3598" t="s">
        <v>883</v>
      </c>
    </row>
    <row r="3599" spans="1:23">
      <c r="A3599" t="s">
        <v>195</v>
      </c>
      <c r="B3599" t="s">
        <v>202</v>
      </c>
      <c r="C3599">
        <v>533</v>
      </c>
      <c r="D3599" t="s">
        <v>194</v>
      </c>
      <c r="E3599">
        <v>2676</v>
      </c>
      <c r="F3599" s="3">
        <v>0.1208</v>
      </c>
      <c r="H3599" s="3">
        <v>4.3900000000000002E-2</v>
      </c>
      <c r="I3599" s="3">
        <v>0.49869999999999998</v>
      </c>
      <c r="J3599" s="3">
        <v>2.5999999999999999E-2</v>
      </c>
      <c r="K3599" s="3">
        <v>3.8999999999999998E-3</v>
      </c>
      <c r="L3599" s="3">
        <v>2.0000000000000001E-4</v>
      </c>
      <c r="M3599" s="3">
        <v>0.1022</v>
      </c>
      <c r="N3599" s="3">
        <v>8.6E-3</v>
      </c>
      <c r="O3599" s="3">
        <v>4.2000000000000003E-2</v>
      </c>
      <c r="P3599" s="3">
        <v>3.2000000000000002E-3</v>
      </c>
      <c r="Q3599" s="3">
        <v>1.2699999999999999E-2</v>
      </c>
      <c r="R3599" s="3">
        <v>0.24149999999999999</v>
      </c>
      <c r="S3599" s="3">
        <v>0.35310000000000002</v>
      </c>
      <c r="T3599" s="3">
        <v>1.9E-3</v>
      </c>
      <c r="U3599" s="3">
        <v>0.57979999999999998</v>
      </c>
    </row>
    <row r="3600" spans="1:23">
      <c r="A3600" t="s">
        <v>195</v>
      </c>
      <c r="B3600" t="s">
        <v>204</v>
      </c>
      <c r="C3600">
        <v>301</v>
      </c>
      <c r="D3600" t="s">
        <v>194</v>
      </c>
      <c r="E3600">
        <v>2676</v>
      </c>
      <c r="F3600" s="3">
        <v>0.19409999999999999</v>
      </c>
      <c r="H3600" s="3">
        <v>6.2600000000000003E-2</v>
      </c>
      <c r="I3600" s="3">
        <v>0.48320000000000002</v>
      </c>
      <c r="J3600" s="3">
        <v>3.5000000000000003E-2</v>
      </c>
      <c r="K3600" s="3">
        <v>3.7499999999999999E-2</v>
      </c>
      <c r="L3600" s="3">
        <v>2.9999999999999997E-4</v>
      </c>
      <c r="M3600" s="3">
        <v>0.13270000000000001</v>
      </c>
      <c r="N3600" s="3">
        <v>5.5999999999999999E-3</v>
      </c>
      <c r="O3600" s="3">
        <v>3.1099999999999999E-2</v>
      </c>
      <c r="P3600" s="3">
        <v>1.5E-3</v>
      </c>
      <c r="R3600" s="3">
        <v>0.27479999999999999</v>
      </c>
      <c r="S3600" s="3">
        <v>0.29199999999999998</v>
      </c>
      <c r="T3600" s="3">
        <v>1E-3</v>
      </c>
      <c r="U3600" s="3">
        <v>0.54239999999999999</v>
      </c>
    </row>
    <row r="3601" spans="1:21">
      <c r="A3601" t="s">
        <v>195</v>
      </c>
      <c r="B3601" t="s">
        <v>205</v>
      </c>
      <c r="C3601">
        <v>333</v>
      </c>
      <c r="D3601" t="s">
        <v>194</v>
      </c>
      <c r="E3601">
        <v>2676</v>
      </c>
      <c r="F3601" s="3">
        <v>0.32990000000000003</v>
      </c>
      <c r="G3601" s="3">
        <v>1.5E-3</v>
      </c>
      <c r="H3601" s="3">
        <v>4.3099999999999999E-2</v>
      </c>
      <c r="I3601" s="3">
        <v>0.54</v>
      </c>
      <c r="J3601" s="3">
        <v>2.0000000000000001E-4</v>
      </c>
      <c r="K3601" s="3">
        <v>1.54E-2</v>
      </c>
      <c r="L3601" s="3">
        <v>3.2599999999999997E-2</v>
      </c>
      <c r="M3601" s="3">
        <v>8.1199999999999994E-2</v>
      </c>
      <c r="N3601" s="3">
        <v>1.4E-3</v>
      </c>
      <c r="O3601" s="3">
        <v>6.2700000000000006E-2</v>
      </c>
      <c r="P3601" s="3">
        <v>1.8599999999999998E-2</v>
      </c>
      <c r="Q3601" s="3">
        <v>4.5999999999999999E-3</v>
      </c>
      <c r="R3601" s="3">
        <v>0.28170000000000001</v>
      </c>
      <c r="S3601" s="3">
        <v>0.29930000000000001</v>
      </c>
      <c r="U3601" s="3">
        <v>0.44040000000000001</v>
      </c>
    </row>
    <row r="3602" spans="1:21">
      <c r="A3602" t="s">
        <v>199</v>
      </c>
      <c r="B3602" t="s">
        <v>202</v>
      </c>
      <c r="C3602">
        <v>538</v>
      </c>
      <c r="D3602" t="s">
        <v>194</v>
      </c>
      <c r="E3602">
        <v>2676</v>
      </c>
      <c r="F3602" s="3">
        <v>0.1208</v>
      </c>
      <c r="G3602" s="3">
        <v>4.0000000000000002E-4</v>
      </c>
      <c r="H3602" s="3">
        <v>1E-3</v>
      </c>
      <c r="I3602" s="3">
        <v>6.6E-3</v>
      </c>
      <c r="J3602" s="3">
        <v>0.11559999999999999</v>
      </c>
      <c r="K3602" s="3">
        <v>1.5100000000000001E-2</v>
      </c>
      <c r="L3602" s="3">
        <v>4.2099999999999999E-2</v>
      </c>
      <c r="M3602" s="3">
        <v>0.1057</v>
      </c>
      <c r="N3602" s="3">
        <v>1.9E-3</v>
      </c>
      <c r="O3602" s="3">
        <v>7.9399999999999998E-2</v>
      </c>
      <c r="Q3602" s="3">
        <v>1.5E-3</v>
      </c>
      <c r="R3602" s="3">
        <v>0.17349999999999999</v>
      </c>
      <c r="S3602" s="3">
        <v>0.24129999999999999</v>
      </c>
      <c r="T3602" s="3">
        <v>5.9999999999999995E-4</v>
      </c>
      <c r="U3602" s="3">
        <v>0.77829999999999999</v>
      </c>
    </row>
    <row r="3603" spans="1:21">
      <c r="A3603" t="s">
        <v>199</v>
      </c>
      <c r="B3603" t="s">
        <v>204</v>
      </c>
      <c r="C3603">
        <v>426</v>
      </c>
      <c r="D3603" t="s">
        <v>194</v>
      </c>
      <c r="E3603">
        <v>2676</v>
      </c>
      <c r="F3603" s="3">
        <v>0.12470000000000001</v>
      </c>
      <c r="H3603" s="3">
        <v>3.0099999999999998E-2</v>
      </c>
      <c r="I3603" s="3">
        <v>2.8400000000000002E-2</v>
      </c>
      <c r="J3603" s="3">
        <v>0.1193</v>
      </c>
      <c r="K3603" s="3">
        <v>4.0300000000000002E-2</v>
      </c>
      <c r="L3603" s="3">
        <v>6.08E-2</v>
      </c>
      <c r="M3603" s="3">
        <v>7.8600000000000003E-2</v>
      </c>
      <c r="N3603" s="3">
        <v>4.3E-3</v>
      </c>
      <c r="O3603" s="3">
        <v>3.5799999999999998E-2</v>
      </c>
      <c r="Q3603" s="3">
        <v>1.4500000000000001E-2</v>
      </c>
      <c r="R3603" s="3">
        <v>0.24809999999999999</v>
      </c>
      <c r="S3603" s="3">
        <v>0.2324</v>
      </c>
      <c r="T3603" s="3">
        <v>1.1999999999999999E-3</v>
      </c>
      <c r="U3603" s="3">
        <v>0.73029999999999995</v>
      </c>
    </row>
    <row r="3604" spans="1:21">
      <c r="A3604" t="s">
        <v>199</v>
      </c>
      <c r="B3604" t="s">
        <v>205</v>
      </c>
      <c r="C3604">
        <v>506</v>
      </c>
      <c r="D3604" t="s">
        <v>194</v>
      </c>
      <c r="E3604">
        <v>2676</v>
      </c>
      <c r="F3604" s="3">
        <v>0.2198</v>
      </c>
      <c r="H3604" s="3">
        <v>1.9300000000000001E-2</v>
      </c>
      <c r="I3604" s="3">
        <v>0.1036</v>
      </c>
      <c r="J3604" s="3">
        <v>8.7099999999999997E-2</v>
      </c>
      <c r="K3604" s="3">
        <v>1.66E-2</v>
      </c>
      <c r="L3604" s="3">
        <v>7.1900000000000006E-2</v>
      </c>
      <c r="M3604" s="3">
        <v>6.4199999999999993E-2</v>
      </c>
      <c r="N3604" s="3">
        <v>5.9999999999999995E-4</v>
      </c>
      <c r="O3604" s="3">
        <v>5.0500000000000003E-2</v>
      </c>
      <c r="P3604" s="3">
        <v>4.3E-3</v>
      </c>
      <c r="Q3604" s="3">
        <v>4.4999999999999997E-3</v>
      </c>
      <c r="R3604" s="3">
        <v>0.1623</v>
      </c>
      <c r="S3604" s="3">
        <v>0.33350000000000002</v>
      </c>
      <c r="T3604" s="3">
        <v>1.2200000000000001E-2</v>
      </c>
      <c r="U3604" s="3">
        <v>0.65180000000000005</v>
      </c>
    </row>
    <row r="3605" spans="1:21">
      <c r="A3605" t="s">
        <v>200</v>
      </c>
      <c r="B3605" t="s">
        <v>200</v>
      </c>
      <c r="C3605">
        <v>2676</v>
      </c>
      <c r="D3605" t="s">
        <v>200</v>
      </c>
      <c r="E3605">
        <v>2676</v>
      </c>
      <c r="F3605" s="3">
        <v>0.14960000000000001</v>
      </c>
      <c r="G3605" s="3">
        <v>2.0000000000000001E-4</v>
      </c>
      <c r="H3605" s="3">
        <v>2.6499999999999999E-2</v>
      </c>
      <c r="I3605" s="3">
        <v>0.2369</v>
      </c>
      <c r="J3605" s="3">
        <v>7.2800000000000004E-2</v>
      </c>
      <c r="K3605" s="3">
        <v>1.6799999999999999E-2</v>
      </c>
      <c r="L3605" s="3">
        <v>3.0200000000000001E-2</v>
      </c>
      <c r="M3605" s="3">
        <v>9.8699999999999996E-2</v>
      </c>
      <c r="N3605" s="3">
        <v>4.3E-3</v>
      </c>
      <c r="O3605" s="3">
        <v>5.5500000000000001E-2</v>
      </c>
      <c r="P3605" s="3">
        <v>2.7000000000000001E-3</v>
      </c>
      <c r="Q3605" s="3">
        <v>6.4000000000000003E-3</v>
      </c>
      <c r="R3605" s="3">
        <v>0.21609999999999999</v>
      </c>
      <c r="S3605" s="3">
        <v>0.28910000000000002</v>
      </c>
      <c r="T3605" s="3">
        <v>2.2000000000000001E-3</v>
      </c>
      <c r="U3605" s="3">
        <v>0.66149999999999998</v>
      </c>
    </row>
    <row r="3607" spans="1:21" ht="45">
      <c r="A3607" s="22" t="s">
        <v>885</v>
      </c>
    </row>
    <row r="3608" spans="1:21">
      <c r="A3608" t="s">
        <v>185</v>
      </c>
      <c r="B3608" t="s">
        <v>186</v>
      </c>
      <c r="C3608" t="s">
        <v>192</v>
      </c>
      <c r="D3608" t="s">
        <v>184</v>
      </c>
      <c r="E3608" t="s">
        <v>193</v>
      </c>
      <c r="F3608" t="s">
        <v>872</v>
      </c>
      <c r="G3608" t="s">
        <v>257</v>
      </c>
      <c r="H3608" t="s">
        <v>873</v>
      </c>
      <c r="I3608" t="s">
        <v>874</v>
      </c>
      <c r="J3608" t="s">
        <v>875</v>
      </c>
      <c r="K3608" t="s">
        <v>876</v>
      </c>
      <c r="L3608" t="s">
        <v>877</v>
      </c>
      <c r="M3608" t="s">
        <v>878</v>
      </c>
      <c r="N3608" t="s">
        <v>879</v>
      </c>
      <c r="O3608" t="s">
        <v>880</v>
      </c>
      <c r="P3608" t="s">
        <v>329</v>
      </c>
      <c r="Q3608" t="s">
        <v>274</v>
      </c>
      <c r="R3608" t="s">
        <v>881</v>
      </c>
      <c r="S3608" t="s">
        <v>882</v>
      </c>
      <c r="T3608" t="s">
        <v>247</v>
      </c>
      <c r="U3608" t="s">
        <v>883</v>
      </c>
    </row>
    <row r="3609" spans="1:21">
      <c r="A3609" t="s">
        <v>195</v>
      </c>
      <c r="B3609" t="s">
        <v>207</v>
      </c>
      <c r="C3609">
        <v>322</v>
      </c>
      <c r="D3609" t="s">
        <v>194</v>
      </c>
      <c r="E3609">
        <v>2676</v>
      </c>
      <c r="F3609" s="3">
        <v>8.5999999999999993E-2</v>
      </c>
      <c r="G3609" s="3">
        <v>1E-4</v>
      </c>
      <c r="H3609" s="3">
        <v>2.9100000000000001E-2</v>
      </c>
      <c r="I3609" s="3">
        <v>0.59430000000000005</v>
      </c>
      <c r="J3609" s="3">
        <v>2.3E-2</v>
      </c>
      <c r="K3609" s="3">
        <v>5.4999999999999997E-3</v>
      </c>
      <c r="L3609" s="3">
        <v>1.7100000000000001E-2</v>
      </c>
      <c r="M3609" s="3">
        <v>8.09E-2</v>
      </c>
      <c r="N3609" s="3">
        <v>1.6899999999999998E-2</v>
      </c>
      <c r="O3609" s="3">
        <v>2.8000000000000001E-2</v>
      </c>
      <c r="P3609" s="3">
        <v>2.9999999999999997E-4</v>
      </c>
      <c r="Q3609" s="3">
        <v>2.9999999999999997E-4</v>
      </c>
      <c r="R3609" s="3">
        <v>0.38090000000000002</v>
      </c>
      <c r="S3609" s="3">
        <v>0.58069999999999999</v>
      </c>
      <c r="U3609" s="3">
        <v>0.46800000000000003</v>
      </c>
    </row>
    <row r="3610" spans="1:21">
      <c r="A3610" t="s">
        <v>195</v>
      </c>
      <c r="B3610" t="s">
        <v>209</v>
      </c>
      <c r="C3610">
        <v>866</v>
      </c>
      <c r="D3610" t="s">
        <v>194</v>
      </c>
      <c r="E3610">
        <v>2676</v>
      </c>
      <c r="F3610" s="3">
        <v>0.19109999999999999</v>
      </c>
      <c r="G3610" s="3">
        <v>2.0000000000000001E-4</v>
      </c>
      <c r="H3610" s="3">
        <v>5.3999999999999999E-2</v>
      </c>
      <c r="I3610" s="3">
        <v>0.46650000000000003</v>
      </c>
      <c r="J3610" s="3">
        <v>2.4799999999999999E-2</v>
      </c>
      <c r="K3610" s="3">
        <v>1.5100000000000001E-2</v>
      </c>
      <c r="L3610" s="3">
        <v>2.9999999999999997E-4</v>
      </c>
      <c r="M3610" s="3">
        <v>0.11409999999999999</v>
      </c>
      <c r="N3610" s="3">
        <v>3.3999999999999998E-3</v>
      </c>
      <c r="O3610" s="3">
        <v>4.7199999999999999E-2</v>
      </c>
      <c r="P3610" s="3">
        <v>7.0000000000000001E-3</v>
      </c>
      <c r="Q3610" s="3">
        <v>1.18E-2</v>
      </c>
      <c r="R3610" s="3">
        <v>0.21</v>
      </c>
      <c r="S3610" s="3">
        <v>0.2457</v>
      </c>
      <c r="T3610" s="3">
        <v>2E-3</v>
      </c>
      <c r="U3610" s="3">
        <v>0.58350000000000002</v>
      </c>
    </row>
    <row r="3611" spans="1:21">
      <c r="A3611" t="s">
        <v>199</v>
      </c>
      <c r="B3611" t="s">
        <v>207</v>
      </c>
      <c r="C3611">
        <v>283</v>
      </c>
      <c r="D3611" t="s">
        <v>194</v>
      </c>
      <c r="E3611">
        <v>2676</v>
      </c>
      <c r="F3611" s="3">
        <v>9.1700000000000004E-2</v>
      </c>
      <c r="G3611" s="3">
        <v>1.8E-3</v>
      </c>
      <c r="H3611" s="3">
        <v>1.9E-2</v>
      </c>
      <c r="I3611" s="3">
        <v>9.0700000000000003E-2</v>
      </c>
      <c r="J3611" s="3">
        <v>9.5699999999999993E-2</v>
      </c>
      <c r="K3611" s="3">
        <v>4.8999999999999998E-3</v>
      </c>
      <c r="L3611" s="3">
        <v>9.7999999999999997E-3</v>
      </c>
      <c r="M3611" s="3">
        <v>0.1671</v>
      </c>
      <c r="N3611" s="3">
        <v>6.1000000000000004E-3</v>
      </c>
      <c r="O3611" s="3">
        <v>3.5799999999999998E-2</v>
      </c>
      <c r="Q3611" s="3">
        <v>3.0000000000000001E-3</v>
      </c>
      <c r="R3611" s="3">
        <v>0.23810000000000001</v>
      </c>
      <c r="S3611" s="3">
        <v>0.54659999999999997</v>
      </c>
      <c r="T3611" s="3">
        <v>1.5900000000000001E-2</v>
      </c>
      <c r="U3611" s="3">
        <v>0.67600000000000005</v>
      </c>
    </row>
    <row r="3612" spans="1:21">
      <c r="A3612" t="s">
        <v>199</v>
      </c>
      <c r="B3612" t="s">
        <v>209</v>
      </c>
      <c r="C3612">
        <v>1205</v>
      </c>
      <c r="D3612" t="s">
        <v>194</v>
      </c>
      <c r="E3612">
        <v>2676</v>
      </c>
      <c r="F3612" s="3">
        <v>0.14449999999999999</v>
      </c>
      <c r="H3612" s="3">
        <v>8.5000000000000006E-3</v>
      </c>
      <c r="I3612" s="3">
        <v>1.84E-2</v>
      </c>
      <c r="J3612" s="3">
        <v>0.1137</v>
      </c>
      <c r="K3612" s="3">
        <v>2.23E-2</v>
      </c>
      <c r="L3612" s="3">
        <v>5.6399999999999999E-2</v>
      </c>
      <c r="M3612" s="3">
        <v>8.3099999999999993E-2</v>
      </c>
      <c r="N3612" s="3">
        <v>1.6000000000000001E-3</v>
      </c>
      <c r="O3612" s="3">
        <v>7.0199999999999999E-2</v>
      </c>
      <c r="P3612" s="3">
        <v>8.0000000000000004E-4</v>
      </c>
      <c r="Q3612" s="3">
        <v>4.7000000000000002E-3</v>
      </c>
      <c r="R3612" s="3">
        <v>0.1787</v>
      </c>
      <c r="S3612" s="3">
        <v>0.21460000000000001</v>
      </c>
      <c r="T3612" s="3">
        <v>8.9999999999999998E-4</v>
      </c>
      <c r="U3612" s="3">
        <v>0.75749999999999995</v>
      </c>
    </row>
    <row r="3613" spans="1:21">
      <c r="A3613" t="s">
        <v>200</v>
      </c>
      <c r="B3613" t="s">
        <v>200</v>
      </c>
      <c r="C3613">
        <v>2676</v>
      </c>
      <c r="D3613" t="s">
        <v>200</v>
      </c>
      <c r="E3613">
        <v>2676</v>
      </c>
      <c r="F3613" s="3">
        <v>0.14960000000000001</v>
      </c>
      <c r="G3613" s="3">
        <v>2.0000000000000001E-4</v>
      </c>
      <c r="H3613" s="3">
        <v>2.6499999999999999E-2</v>
      </c>
      <c r="I3613" s="3">
        <v>0.2369</v>
      </c>
      <c r="J3613" s="3">
        <v>7.2800000000000004E-2</v>
      </c>
      <c r="K3613" s="3">
        <v>1.6799999999999999E-2</v>
      </c>
      <c r="L3613" s="3">
        <v>3.0200000000000001E-2</v>
      </c>
      <c r="M3613" s="3">
        <v>9.8699999999999996E-2</v>
      </c>
      <c r="N3613" s="3">
        <v>4.3E-3</v>
      </c>
      <c r="O3613" s="3">
        <v>5.5500000000000001E-2</v>
      </c>
      <c r="P3613" s="3">
        <v>2.7000000000000001E-3</v>
      </c>
      <c r="Q3613" s="3">
        <v>6.4000000000000003E-3</v>
      </c>
      <c r="R3613" s="3">
        <v>0.21609999999999999</v>
      </c>
      <c r="S3613" s="3">
        <v>0.28910000000000002</v>
      </c>
      <c r="T3613" s="3">
        <v>2.2000000000000001E-3</v>
      </c>
      <c r="U3613" s="3">
        <v>0.66149999999999998</v>
      </c>
    </row>
    <row r="3615" spans="1:21" ht="45">
      <c r="A3615" s="22" t="s">
        <v>886</v>
      </c>
    </row>
    <row r="3616" spans="1:21">
      <c r="A3616" t="s">
        <v>185</v>
      </c>
      <c r="B3616" t="s">
        <v>192</v>
      </c>
      <c r="C3616" t="s">
        <v>184</v>
      </c>
      <c r="D3616" t="s">
        <v>193</v>
      </c>
      <c r="E3616" t="s">
        <v>872</v>
      </c>
      <c r="F3616" t="s">
        <v>257</v>
      </c>
      <c r="G3616" t="s">
        <v>873</v>
      </c>
      <c r="H3616" t="s">
        <v>874</v>
      </c>
      <c r="I3616" t="s">
        <v>875</v>
      </c>
      <c r="J3616" t="s">
        <v>876</v>
      </c>
      <c r="K3616" t="s">
        <v>877</v>
      </c>
      <c r="L3616" t="s">
        <v>878</v>
      </c>
      <c r="M3616" t="s">
        <v>879</v>
      </c>
      <c r="N3616" t="s">
        <v>880</v>
      </c>
      <c r="O3616" t="s">
        <v>329</v>
      </c>
      <c r="P3616" t="s">
        <v>274</v>
      </c>
      <c r="Q3616" t="s">
        <v>881</v>
      </c>
      <c r="R3616" t="s">
        <v>882</v>
      </c>
      <c r="S3616" t="s">
        <v>247</v>
      </c>
      <c r="T3616" t="s">
        <v>883</v>
      </c>
    </row>
    <row r="3617" spans="1:21">
      <c r="A3617" t="s">
        <v>195</v>
      </c>
      <c r="B3617">
        <v>1188</v>
      </c>
      <c r="C3617" t="s">
        <v>194</v>
      </c>
      <c r="D3617">
        <v>2676</v>
      </c>
      <c r="E3617" s="3">
        <v>0.1641</v>
      </c>
      <c r="F3617" s="3">
        <v>2.0000000000000001E-4</v>
      </c>
      <c r="G3617" s="3">
        <v>4.7600000000000003E-2</v>
      </c>
      <c r="H3617" s="3">
        <v>0.49930000000000002</v>
      </c>
      <c r="I3617" s="3">
        <v>2.4299999999999999E-2</v>
      </c>
      <c r="J3617" s="3">
        <v>1.26E-2</v>
      </c>
      <c r="K3617" s="3">
        <v>4.5999999999999999E-3</v>
      </c>
      <c r="L3617" s="3">
        <v>0.1056</v>
      </c>
      <c r="M3617" s="3">
        <v>6.8999999999999999E-3</v>
      </c>
      <c r="N3617" s="3">
        <v>4.2299999999999997E-2</v>
      </c>
      <c r="O3617" s="3">
        <v>5.3E-3</v>
      </c>
      <c r="P3617" s="3">
        <v>8.8000000000000005E-3</v>
      </c>
      <c r="Q3617" s="3">
        <v>0.25390000000000001</v>
      </c>
      <c r="R3617" s="3">
        <v>0.33179999999999998</v>
      </c>
      <c r="S3617" s="3">
        <v>1.5E-3</v>
      </c>
      <c r="T3617" s="3">
        <v>0.55379999999999996</v>
      </c>
    </row>
    <row r="3618" spans="1:21">
      <c r="A3618" t="s">
        <v>199</v>
      </c>
      <c r="B3618">
        <v>1488</v>
      </c>
      <c r="C3618" t="s">
        <v>194</v>
      </c>
      <c r="D3618">
        <v>2676</v>
      </c>
      <c r="E3618" s="3">
        <v>0.1381</v>
      </c>
      <c r="F3618" s="3">
        <v>2.0000000000000001E-4</v>
      </c>
      <c r="G3618" s="3">
        <v>9.7000000000000003E-3</v>
      </c>
      <c r="H3618" s="3">
        <v>2.7199999999999998E-2</v>
      </c>
      <c r="I3618" s="3">
        <v>0.1115</v>
      </c>
      <c r="J3618" s="3">
        <v>2.0199999999999999E-2</v>
      </c>
      <c r="K3618" s="3">
        <v>5.0700000000000002E-2</v>
      </c>
      <c r="L3618" s="3">
        <v>9.3299999999999994E-2</v>
      </c>
      <c r="M3618" s="3">
        <v>2.0999999999999999E-3</v>
      </c>
      <c r="N3618" s="3">
        <v>6.6000000000000003E-2</v>
      </c>
      <c r="O3618" s="3">
        <v>6.9999999999999999E-4</v>
      </c>
      <c r="P3618" s="3">
        <v>4.4999999999999997E-3</v>
      </c>
      <c r="Q3618" s="3">
        <v>0.18590000000000001</v>
      </c>
      <c r="R3618" s="3">
        <v>0.255</v>
      </c>
      <c r="S3618" s="3">
        <v>2.7000000000000001E-3</v>
      </c>
      <c r="T3618" s="3">
        <v>0.74760000000000004</v>
      </c>
    </row>
    <row r="3619" spans="1:21">
      <c r="A3619" t="s">
        <v>200</v>
      </c>
      <c r="B3619">
        <v>2676</v>
      </c>
      <c r="C3619" t="s">
        <v>200</v>
      </c>
      <c r="D3619">
        <v>2676</v>
      </c>
      <c r="E3619" s="3">
        <v>0.14960000000000001</v>
      </c>
      <c r="F3619" s="3">
        <v>2.0000000000000001E-4</v>
      </c>
      <c r="G3619" s="3">
        <v>2.6499999999999999E-2</v>
      </c>
      <c r="H3619" s="3">
        <v>0.2369</v>
      </c>
      <c r="I3619" s="3">
        <v>7.2800000000000004E-2</v>
      </c>
      <c r="J3619" s="3">
        <v>1.6799999999999999E-2</v>
      </c>
      <c r="K3619" s="3">
        <v>3.0200000000000001E-2</v>
      </c>
      <c r="L3619" s="3">
        <v>9.8699999999999996E-2</v>
      </c>
      <c r="M3619" s="3">
        <v>4.3E-3</v>
      </c>
      <c r="N3619" s="3">
        <v>5.5500000000000001E-2</v>
      </c>
      <c r="O3619" s="3">
        <v>2.7000000000000001E-3</v>
      </c>
      <c r="P3619" s="3">
        <v>6.4000000000000003E-3</v>
      </c>
      <c r="Q3619" s="3">
        <v>0.21609999999999999</v>
      </c>
      <c r="R3619" s="3">
        <v>0.28910000000000002</v>
      </c>
      <c r="S3619" s="3">
        <v>2.2000000000000001E-3</v>
      </c>
      <c r="T3619" s="3">
        <v>0.66149999999999998</v>
      </c>
    </row>
    <row r="3621" spans="1:21" ht="45">
      <c r="A3621" s="22" t="s">
        <v>887</v>
      </c>
    </row>
    <row r="3622" spans="1:21">
      <c r="A3622" t="s">
        <v>185</v>
      </c>
      <c r="B3622" t="s">
        <v>186</v>
      </c>
      <c r="C3622" t="s">
        <v>192</v>
      </c>
      <c r="D3622" t="s">
        <v>184</v>
      </c>
      <c r="E3622" t="s">
        <v>193</v>
      </c>
      <c r="F3622" t="s">
        <v>872</v>
      </c>
      <c r="G3622" t="s">
        <v>257</v>
      </c>
      <c r="H3622" t="s">
        <v>873</v>
      </c>
      <c r="I3622" t="s">
        <v>874</v>
      </c>
      <c r="J3622" t="s">
        <v>875</v>
      </c>
      <c r="K3622" t="s">
        <v>876</v>
      </c>
      <c r="L3622" t="s">
        <v>877</v>
      </c>
      <c r="M3622" t="s">
        <v>878</v>
      </c>
      <c r="N3622" t="s">
        <v>879</v>
      </c>
      <c r="O3622" t="s">
        <v>880</v>
      </c>
      <c r="P3622" t="s">
        <v>329</v>
      </c>
      <c r="Q3622" t="s">
        <v>274</v>
      </c>
      <c r="R3622" t="s">
        <v>881</v>
      </c>
      <c r="S3622" t="s">
        <v>882</v>
      </c>
      <c r="T3622" t="s">
        <v>247</v>
      </c>
      <c r="U3622" t="s">
        <v>883</v>
      </c>
    </row>
    <row r="3623" spans="1:21">
      <c r="A3623" t="s">
        <v>195</v>
      </c>
      <c r="B3623" t="s">
        <v>212</v>
      </c>
      <c r="C3623">
        <v>873</v>
      </c>
      <c r="D3623" t="s">
        <v>194</v>
      </c>
      <c r="E3623">
        <v>2676</v>
      </c>
      <c r="F3623" s="3">
        <v>0.16289999999999999</v>
      </c>
      <c r="G3623" s="3">
        <v>2.9999999999999997E-4</v>
      </c>
      <c r="H3623" s="3">
        <v>4.6699999999999998E-2</v>
      </c>
      <c r="I3623" s="3">
        <v>0.49130000000000001</v>
      </c>
      <c r="J3623" s="3">
        <v>2.5499999999999998E-2</v>
      </c>
      <c r="K3623" s="3">
        <v>1.4999999999999999E-2</v>
      </c>
      <c r="L3623" s="3">
        <v>6.1000000000000004E-3</v>
      </c>
      <c r="M3623" s="3">
        <v>0.1045</v>
      </c>
      <c r="N3623" s="3">
        <v>1E-3</v>
      </c>
      <c r="O3623" s="3">
        <v>3.9600000000000003E-2</v>
      </c>
      <c r="P3623" s="3">
        <v>1.8E-3</v>
      </c>
      <c r="Q3623" s="3">
        <v>9.7000000000000003E-3</v>
      </c>
      <c r="R3623" s="3">
        <v>0.25159999999999999</v>
      </c>
      <c r="S3623" s="3">
        <v>0.30630000000000002</v>
      </c>
      <c r="T3623" s="3">
        <v>2E-3</v>
      </c>
      <c r="U3623" s="3">
        <v>0.61060000000000003</v>
      </c>
    </row>
    <row r="3624" spans="1:21">
      <c r="A3624" t="s">
        <v>195</v>
      </c>
      <c r="B3624" t="s">
        <v>214</v>
      </c>
      <c r="C3624">
        <v>180</v>
      </c>
      <c r="D3624" t="s">
        <v>194</v>
      </c>
      <c r="E3624">
        <v>2676</v>
      </c>
      <c r="F3624" s="3">
        <v>0.16839999999999999</v>
      </c>
      <c r="H3624" s="3">
        <v>4.41E-2</v>
      </c>
      <c r="I3624" s="3">
        <v>0.45700000000000002</v>
      </c>
      <c r="J3624" s="3">
        <v>2.1899999999999999E-2</v>
      </c>
      <c r="K3624" s="3">
        <v>5.0000000000000001E-4</v>
      </c>
      <c r="M3624" s="3">
        <v>0.1182</v>
      </c>
      <c r="N3624" s="3">
        <v>2.9899999999999999E-2</v>
      </c>
      <c r="O3624" s="3">
        <v>4.2599999999999999E-2</v>
      </c>
      <c r="P3624" s="3">
        <v>2.3900000000000001E-2</v>
      </c>
      <c r="Q3624" s="3">
        <v>8.9999999999999993E-3</v>
      </c>
      <c r="R3624" s="3">
        <v>0.1133</v>
      </c>
      <c r="S3624" s="3">
        <v>0.44669999999999999</v>
      </c>
      <c r="U3624" s="3">
        <v>0.27139999999999997</v>
      </c>
    </row>
    <row r="3625" spans="1:21">
      <c r="A3625" t="s">
        <v>195</v>
      </c>
      <c r="B3625" t="s">
        <v>215</v>
      </c>
      <c r="C3625">
        <v>135</v>
      </c>
      <c r="D3625" t="s">
        <v>194</v>
      </c>
      <c r="E3625">
        <v>2676</v>
      </c>
      <c r="F3625" s="3">
        <v>0.1656</v>
      </c>
      <c r="H3625" s="3">
        <v>6.2199999999999998E-2</v>
      </c>
      <c r="I3625" s="3">
        <v>0.65490000000000004</v>
      </c>
      <c r="J3625" s="3">
        <v>1.9E-2</v>
      </c>
      <c r="K3625" s="3">
        <v>1.4999999999999999E-2</v>
      </c>
      <c r="L3625" s="3">
        <v>8.0000000000000004E-4</v>
      </c>
      <c r="M3625" s="3">
        <v>9.0499999999999997E-2</v>
      </c>
      <c r="N3625" s="3">
        <v>1.4999999999999999E-2</v>
      </c>
      <c r="O3625" s="3">
        <v>6.54E-2</v>
      </c>
      <c r="Q3625" s="3">
        <v>8.0000000000000004E-4</v>
      </c>
      <c r="R3625" s="3">
        <v>0.55230000000000001</v>
      </c>
      <c r="S3625" s="3">
        <v>0.33379999999999999</v>
      </c>
      <c r="U3625" s="3">
        <v>0.60109999999999997</v>
      </c>
    </row>
    <row r="3626" spans="1:21">
      <c r="A3626" t="s">
        <v>199</v>
      </c>
      <c r="B3626" t="s">
        <v>212</v>
      </c>
      <c r="C3626">
        <v>1118</v>
      </c>
      <c r="D3626" t="s">
        <v>194</v>
      </c>
      <c r="E3626">
        <v>2676</v>
      </c>
      <c r="F3626" s="3">
        <v>0.13800000000000001</v>
      </c>
      <c r="G3626" s="3">
        <v>2.9999999999999997E-4</v>
      </c>
      <c r="H3626" s="3">
        <v>0.01</v>
      </c>
      <c r="I3626" s="3">
        <v>2.1000000000000001E-2</v>
      </c>
      <c r="J3626" s="3">
        <v>0.12089999999999999</v>
      </c>
      <c r="K3626" s="3">
        <v>2.3199999999999998E-2</v>
      </c>
      <c r="L3626" s="3">
        <v>5.4899999999999997E-2</v>
      </c>
      <c r="M3626" s="3">
        <v>9.2700000000000005E-2</v>
      </c>
      <c r="N3626" s="3">
        <v>5.9999999999999995E-4</v>
      </c>
      <c r="O3626" s="3">
        <v>4.9099999999999998E-2</v>
      </c>
      <c r="P3626" s="3">
        <v>1E-4</v>
      </c>
      <c r="Q3626" s="3">
        <v>3.0000000000000001E-3</v>
      </c>
      <c r="R3626" s="3">
        <v>0.18090000000000001</v>
      </c>
      <c r="S3626" s="3">
        <v>0.2155</v>
      </c>
      <c r="T3626" s="3">
        <v>3.0000000000000001E-3</v>
      </c>
      <c r="U3626" s="3">
        <v>0.7722</v>
      </c>
    </row>
    <row r="3627" spans="1:21">
      <c r="A3627" t="s">
        <v>199</v>
      </c>
      <c r="B3627" t="s">
        <v>214</v>
      </c>
      <c r="C3627">
        <v>197</v>
      </c>
      <c r="D3627" t="s">
        <v>194</v>
      </c>
      <c r="E3627">
        <v>2676</v>
      </c>
      <c r="F3627" s="3">
        <v>0.1623</v>
      </c>
      <c r="H3627" s="3">
        <v>4.7999999999999996E-3</v>
      </c>
      <c r="I3627" s="3">
        <v>3.0099999999999998E-2</v>
      </c>
      <c r="J3627" s="3">
        <v>4.9399999999999999E-2</v>
      </c>
      <c r="K3627" s="3">
        <v>1E-4</v>
      </c>
      <c r="L3627" s="3">
        <v>2.1700000000000001E-2</v>
      </c>
      <c r="M3627" s="3">
        <v>0.12540000000000001</v>
      </c>
      <c r="N3627" s="3">
        <v>2.0999999999999999E-3</v>
      </c>
      <c r="O3627" s="3">
        <v>0.1517</v>
      </c>
      <c r="P3627" s="3">
        <v>4.3E-3</v>
      </c>
      <c r="Q3627" s="3">
        <v>1.47E-2</v>
      </c>
      <c r="R3627" s="3">
        <v>0.1027</v>
      </c>
      <c r="S3627" s="3">
        <v>0.36890000000000001</v>
      </c>
      <c r="T3627" s="3">
        <v>2.7000000000000001E-3</v>
      </c>
      <c r="U3627" s="3">
        <v>0.54959999999999998</v>
      </c>
    </row>
    <row r="3628" spans="1:21">
      <c r="A3628" t="s">
        <v>199</v>
      </c>
      <c r="B3628" t="s">
        <v>215</v>
      </c>
      <c r="C3628">
        <v>173</v>
      </c>
      <c r="D3628" t="s">
        <v>194</v>
      </c>
      <c r="E3628">
        <v>2676</v>
      </c>
      <c r="F3628" s="3">
        <v>9.5399999999999999E-2</v>
      </c>
      <c r="H3628" s="3">
        <v>1.6199999999999999E-2</v>
      </c>
      <c r="I3628" s="3">
        <v>7.7600000000000002E-2</v>
      </c>
      <c r="J3628" s="3">
        <v>0.1386</v>
      </c>
      <c r="K3628" s="3">
        <v>2.9399999999999999E-2</v>
      </c>
      <c r="L3628" s="3">
        <v>6.4600000000000005E-2</v>
      </c>
      <c r="M3628" s="3">
        <v>4.1300000000000003E-2</v>
      </c>
      <c r="N3628" s="3">
        <v>1.5900000000000001E-2</v>
      </c>
      <c r="O3628" s="3">
        <v>6.5199999999999994E-2</v>
      </c>
      <c r="Q3628" s="3">
        <v>2.9999999999999997E-4</v>
      </c>
      <c r="R3628" s="3">
        <v>0.38169999999999998</v>
      </c>
      <c r="S3628" s="3">
        <v>0.40910000000000002</v>
      </c>
      <c r="T3628" s="3">
        <v>2.0000000000000001E-4</v>
      </c>
      <c r="U3628" s="3">
        <v>0.88049999999999995</v>
      </c>
    </row>
    <row r="3629" spans="1:21">
      <c r="A3629" t="s">
        <v>200</v>
      </c>
      <c r="B3629" t="s">
        <v>200</v>
      </c>
      <c r="C3629">
        <v>2676</v>
      </c>
      <c r="D3629" t="s">
        <v>200</v>
      </c>
      <c r="E3629">
        <v>2676</v>
      </c>
      <c r="F3629" s="3">
        <v>0.14960000000000001</v>
      </c>
      <c r="G3629" s="3">
        <v>2.0000000000000001E-4</v>
      </c>
      <c r="H3629" s="3">
        <v>2.6499999999999999E-2</v>
      </c>
      <c r="I3629" s="3">
        <v>0.2369</v>
      </c>
      <c r="J3629" s="3">
        <v>7.2800000000000004E-2</v>
      </c>
      <c r="K3629" s="3">
        <v>1.6799999999999999E-2</v>
      </c>
      <c r="L3629" s="3">
        <v>3.0200000000000001E-2</v>
      </c>
      <c r="M3629" s="3">
        <v>9.8699999999999996E-2</v>
      </c>
      <c r="N3629" s="3">
        <v>4.3E-3</v>
      </c>
      <c r="O3629" s="3">
        <v>5.5500000000000001E-2</v>
      </c>
      <c r="P3629" s="3">
        <v>2.7000000000000001E-3</v>
      </c>
      <c r="Q3629" s="3">
        <v>6.4000000000000003E-3</v>
      </c>
      <c r="R3629" s="3">
        <v>0.21609999999999999</v>
      </c>
      <c r="S3629" s="3">
        <v>0.28910000000000002</v>
      </c>
      <c r="T3629" s="3">
        <v>2.2000000000000001E-3</v>
      </c>
      <c r="U3629" s="3">
        <v>0.66149999999999998</v>
      </c>
    </row>
    <row r="3631" spans="1:21" ht="45">
      <c r="A3631" s="22" t="s">
        <v>888</v>
      </c>
    </row>
    <row r="3632" spans="1:21">
      <c r="A3632" t="s">
        <v>185</v>
      </c>
      <c r="B3632" t="s">
        <v>186</v>
      </c>
      <c r="C3632" t="s">
        <v>192</v>
      </c>
      <c r="D3632" t="s">
        <v>184</v>
      </c>
      <c r="E3632" t="s">
        <v>193</v>
      </c>
      <c r="F3632" t="s">
        <v>872</v>
      </c>
      <c r="G3632" t="s">
        <v>257</v>
      </c>
      <c r="H3632" t="s">
        <v>873</v>
      </c>
      <c r="I3632" t="s">
        <v>874</v>
      </c>
      <c r="J3632" t="s">
        <v>875</v>
      </c>
      <c r="K3632" t="s">
        <v>876</v>
      </c>
      <c r="L3632" t="s">
        <v>877</v>
      </c>
      <c r="M3632" t="s">
        <v>878</v>
      </c>
      <c r="N3632" t="s">
        <v>879</v>
      </c>
      <c r="O3632" t="s">
        <v>880</v>
      </c>
      <c r="P3632" t="s">
        <v>329</v>
      </c>
      <c r="Q3632" t="s">
        <v>274</v>
      </c>
      <c r="R3632" t="s">
        <v>881</v>
      </c>
      <c r="S3632" t="s">
        <v>882</v>
      </c>
      <c r="T3632" t="s">
        <v>247</v>
      </c>
      <c r="U3632" t="s">
        <v>883</v>
      </c>
    </row>
    <row r="3633" spans="1:56">
      <c r="A3633" t="s">
        <v>195</v>
      </c>
      <c r="B3633" t="s">
        <v>217</v>
      </c>
      <c r="C3633">
        <v>499</v>
      </c>
      <c r="D3633" t="s">
        <v>194</v>
      </c>
      <c r="E3633">
        <v>2676</v>
      </c>
      <c r="F3633" s="3">
        <v>0.185</v>
      </c>
      <c r="H3633" s="3">
        <v>5.3900000000000003E-2</v>
      </c>
      <c r="I3633" s="3">
        <v>0.47560000000000002</v>
      </c>
      <c r="J3633" s="3">
        <v>3.1899999999999998E-2</v>
      </c>
      <c r="K3633" s="3">
        <v>1.9300000000000001E-2</v>
      </c>
      <c r="L3633" s="3">
        <v>2.0000000000000001E-4</v>
      </c>
      <c r="M3633" s="3">
        <v>6.5299999999999997E-2</v>
      </c>
      <c r="N3633" s="3">
        <v>2.7000000000000001E-3</v>
      </c>
      <c r="O3633" s="3">
        <v>4.9799999999999997E-2</v>
      </c>
      <c r="P3633" s="3">
        <v>1E-3</v>
      </c>
      <c r="Q3633" s="3">
        <v>6.1000000000000004E-3</v>
      </c>
      <c r="R3633" s="3">
        <v>0.23300000000000001</v>
      </c>
      <c r="S3633" s="3">
        <v>0.32990000000000003</v>
      </c>
      <c r="T3633" s="3">
        <v>3.0000000000000001E-3</v>
      </c>
      <c r="U3633" s="3">
        <v>0.70230000000000004</v>
      </c>
    </row>
    <row r="3634" spans="1:56">
      <c r="A3634" t="s">
        <v>195</v>
      </c>
      <c r="B3634" t="s">
        <v>219</v>
      </c>
      <c r="C3634">
        <v>506</v>
      </c>
      <c r="D3634" t="s">
        <v>194</v>
      </c>
      <c r="E3634">
        <v>2676</v>
      </c>
      <c r="F3634" s="3">
        <v>8.2000000000000003E-2</v>
      </c>
      <c r="G3634" s="3">
        <v>5.0000000000000001E-4</v>
      </c>
      <c r="H3634" s="3">
        <v>4.0800000000000003E-2</v>
      </c>
      <c r="I3634" s="3">
        <v>0.56210000000000004</v>
      </c>
      <c r="J3634" s="3">
        <v>4.1000000000000003E-3</v>
      </c>
      <c r="K3634" s="3">
        <v>8.8999999999999999E-3</v>
      </c>
      <c r="L3634" s="3">
        <v>1.1299999999999999E-2</v>
      </c>
      <c r="M3634" s="3">
        <v>0.1479</v>
      </c>
      <c r="N3634" s="3">
        <v>1.24E-2</v>
      </c>
      <c r="O3634" s="3">
        <v>3.8100000000000002E-2</v>
      </c>
      <c r="P3634" s="3">
        <v>9.1999999999999998E-3</v>
      </c>
      <c r="Q3634" s="3">
        <v>3.8999999999999998E-3</v>
      </c>
      <c r="R3634" s="3">
        <v>0.2873</v>
      </c>
      <c r="S3634" s="3">
        <v>0.38419999999999999</v>
      </c>
      <c r="T3634" s="3">
        <v>5.9999999999999995E-4</v>
      </c>
      <c r="U3634" s="3">
        <v>0.42020000000000002</v>
      </c>
    </row>
    <row r="3635" spans="1:56">
      <c r="A3635" t="s">
        <v>195</v>
      </c>
      <c r="B3635" t="s">
        <v>220</v>
      </c>
      <c r="C3635">
        <v>182</v>
      </c>
      <c r="D3635" t="s">
        <v>194</v>
      </c>
      <c r="E3635">
        <v>2676</v>
      </c>
      <c r="F3635" s="3">
        <v>0.28749999999999998</v>
      </c>
      <c r="H3635" s="3">
        <v>4.7600000000000003E-2</v>
      </c>
      <c r="I3635" s="3">
        <v>0.4224</v>
      </c>
      <c r="J3635" s="3">
        <v>4.9399999999999999E-2</v>
      </c>
      <c r="K3635" s="3">
        <v>5.7000000000000002E-3</v>
      </c>
      <c r="L3635" s="3">
        <v>8.0000000000000004E-4</v>
      </c>
      <c r="M3635" s="3">
        <v>0.1077</v>
      </c>
      <c r="N3635" s="3">
        <v>5.0000000000000001E-3</v>
      </c>
      <c r="O3635" s="3">
        <v>3.4299999999999997E-2</v>
      </c>
      <c r="P3635" s="3">
        <v>6.7000000000000002E-3</v>
      </c>
      <c r="Q3635" s="3">
        <v>2.53E-2</v>
      </c>
      <c r="R3635" s="3">
        <v>0.23150000000000001</v>
      </c>
      <c r="S3635" s="3">
        <v>0.22739999999999999</v>
      </c>
      <c r="U3635" s="3">
        <v>0.49930000000000002</v>
      </c>
    </row>
    <row r="3636" spans="1:56">
      <c r="A3636" t="s">
        <v>199</v>
      </c>
      <c r="B3636" t="s">
        <v>217</v>
      </c>
      <c r="C3636">
        <v>814</v>
      </c>
      <c r="D3636" t="s">
        <v>194</v>
      </c>
      <c r="E3636">
        <v>2676</v>
      </c>
      <c r="F3636" s="3">
        <v>0.15040000000000001</v>
      </c>
      <c r="H3636" s="3">
        <v>8.0999999999999996E-3</v>
      </c>
      <c r="I3636" s="3">
        <v>2.07E-2</v>
      </c>
      <c r="J3636" s="3">
        <v>0.1255</v>
      </c>
      <c r="K3636" s="3">
        <v>1.95E-2</v>
      </c>
      <c r="L3636" s="3">
        <v>6.3799999999999996E-2</v>
      </c>
      <c r="M3636" s="3">
        <v>6.4799999999999996E-2</v>
      </c>
      <c r="N3636" s="3">
        <v>2.5999999999999999E-3</v>
      </c>
      <c r="O3636" s="3">
        <v>4.7199999999999999E-2</v>
      </c>
      <c r="Q3636" s="3">
        <v>1.1000000000000001E-3</v>
      </c>
      <c r="R3636" s="3">
        <v>0.19170000000000001</v>
      </c>
      <c r="S3636" s="3">
        <v>0.24160000000000001</v>
      </c>
      <c r="T3636" s="3">
        <v>3.8E-3</v>
      </c>
      <c r="U3636" s="3">
        <v>0.80600000000000005</v>
      </c>
    </row>
    <row r="3637" spans="1:56">
      <c r="A3637" t="s">
        <v>199</v>
      </c>
      <c r="B3637" t="s">
        <v>219</v>
      </c>
      <c r="C3637">
        <v>451</v>
      </c>
      <c r="D3637" t="s">
        <v>194</v>
      </c>
      <c r="E3637">
        <v>2676</v>
      </c>
      <c r="F3637" s="3">
        <v>9.8900000000000002E-2</v>
      </c>
      <c r="G3637" s="3">
        <v>8.9999999999999998E-4</v>
      </c>
      <c r="H3637" s="3">
        <v>7.1000000000000004E-3</v>
      </c>
      <c r="I3637" s="3">
        <v>3.6700000000000003E-2</v>
      </c>
      <c r="J3637" s="3">
        <v>4.1799999999999997E-2</v>
      </c>
      <c r="K3637" s="3">
        <v>1.11E-2</v>
      </c>
      <c r="L3637" s="3">
        <v>2.92E-2</v>
      </c>
      <c r="M3637" s="3">
        <v>0.1971</v>
      </c>
      <c r="N3637" s="3">
        <v>1.2999999999999999E-3</v>
      </c>
      <c r="O3637" s="3">
        <v>0.1139</v>
      </c>
      <c r="P3637" s="3">
        <v>2.3999999999999998E-3</v>
      </c>
      <c r="Q3637" s="3">
        <v>7.0000000000000001E-3</v>
      </c>
      <c r="R3637" s="3">
        <v>0.17599999999999999</v>
      </c>
      <c r="S3637" s="3">
        <v>0.34899999999999998</v>
      </c>
      <c r="T3637" s="3">
        <v>1.8E-3</v>
      </c>
      <c r="U3637" s="3">
        <v>0.63160000000000005</v>
      </c>
    </row>
    <row r="3638" spans="1:56">
      <c r="A3638" t="s">
        <v>199</v>
      </c>
      <c r="B3638" t="s">
        <v>220</v>
      </c>
      <c r="C3638">
        <v>223</v>
      </c>
      <c r="D3638" t="s">
        <v>194</v>
      </c>
      <c r="E3638">
        <v>2676</v>
      </c>
      <c r="F3638" s="3">
        <v>0.153</v>
      </c>
      <c r="H3638" s="3">
        <v>0.02</v>
      </c>
      <c r="I3638" s="3">
        <v>3.6600000000000001E-2</v>
      </c>
      <c r="J3638" s="3">
        <v>0.16819999999999999</v>
      </c>
      <c r="K3638" s="3">
        <v>3.7400000000000003E-2</v>
      </c>
      <c r="L3638" s="3">
        <v>3.5000000000000003E-2</v>
      </c>
      <c r="M3638" s="3">
        <v>3.8699999999999998E-2</v>
      </c>
      <c r="N3638" s="3">
        <v>1.5E-3</v>
      </c>
      <c r="O3638" s="3">
        <v>6.2199999999999998E-2</v>
      </c>
      <c r="P3638" s="3">
        <v>6.9999999999999999E-4</v>
      </c>
      <c r="Q3638" s="3">
        <v>1.3599999999999999E-2</v>
      </c>
      <c r="R3638" s="3">
        <v>0.1794</v>
      </c>
      <c r="S3638" s="3">
        <v>0.15809999999999999</v>
      </c>
      <c r="U3638" s="3">
        <v>0.70720000000000005</v>
      </c>
    </row>
    <row r="3639" spans="1:56">
      <c r="A3639" t="s">
        <v>200</v>
      </c>
      <c r="B3639" t="s">
        <v>200</v>
      </c>
      <c r="C3639">
        <v>2676</v>
      </c>
      <c r="D3639" t="s">
        <v>200</v>
      </c>
      <c r="E3639">
        <v>2676</v>
      </c>
      <c r="F3639" s="3">
        <v>0.14960000000000001</v>
      </c>
      <c r="G3639" s="3">
        <v>2.0000000000000001E-4</v>
      </c>
      <c r="H3639" s="3">
        <v>2.6499999999999999E-2</v>
      </c>
      <c r="I3639" s="3">
        <v>0.2369</v>
      </c>
      <c r="J3639" s="3">
        <v>7.2800000000000004E-2</v>
      </c>
      <c r="K3639" s="3">
        <v>1.6799999999999999E-2</v>
      </c>
      <c r="L3639" s="3">
        <v>3.0200000000000001E-2</v>
      </c>
      <c r="M3639" s="3">
        <v>9.8699999999999996E-2</v>
      </c>
      <c r="N3639" s="3">
        <v>4.3E-3</v>
      </c>
      <c r="O3639" s="3">
        <v>5.5500000000000001E-2</v>
      </c>
      <c r="P3639" s="3">
        <v>2.7000000000000001E-3</v>
      </c>
      <c r="Q3639" s="3">
        <v>6.4000000000000003E-3</v>
      </c>
      <c r="R3639" s="3">
        <v>0.21609999999999999</v>
      </c>
      <c r="S3639" s="3">
        <v>0.28910000000000002</v>
      </c>
      <c r="T3639" s="3">
        <v>2.2000000000000001E-3</v>
      </c>
      <c r="U3639" s="3">
        <v>0.66149999999999998</v>
      </c>
    </row>
    <row r="3641" spans="1:56" ht="45">
      <c r="A3641" s="22" t="s">
        <v>889</v>
      </c>
    </row>
    <row r="3642" spans="1:56">
      <c r="A3642" t="s">
        <v>184</v>
      </c>
      <c r="B3642" t="s">
        <v>185</v>
      </c>
      <c r="C3642" t="s">
        <v>186</v>
      </c>
      <c r="D3642" t="s">
        <v>890</v>
      </c>
      <c r="E3642" t="s">
        <v>891</v>
      </c>
      <c r="F3642" t="s">
        <v>892</v>
      </c>
      <c r="G3642" t="s">
        <v>893</v>
      </c>
      <c r="H3642" t="s">
        <v>894</v>
      </c>
      <c r="I3642" t="s">
        <v>895</v>
      </c>
      <c r="J3642" t="s">
        <v>896</v>
      </c>
      <c r="K3642" t="s">
        <v>897</v>
      </c>
      <c r="L3642" t="s">
        <v>898</v>
      </c>
      <c r="M3642" t="s">
        <v>899</v>
      </c>
      <c r="N3642" t="s">
        <v>900</v>
      </c>
      <c r="O3642" t="s">
        <v>901</v>
      </c>
      <c r="P3642" t="s">
        <v>902</v>
      </c>
      <c r="Q3642" t="s">
        <v>903</v>
      </c>
      <c r="R3642" t="s">
        <v>904</v>
      </c>
      <c r="S3642" t="s">
        <v>905</v>
      </c>
      <c r="T3642" t="s">
        <v>906</v>
      </c>
      <c r="U3642" t="s">
        <v>907</v>
      </c>
      <c r="V3642" t="s">
        <v>908</v>
      </c>
      <c r="W3642" t="s">
        <v>909</v>
      </c>
      <c r="X3642" t="s">
        <v>910</v>
      </c>
      <c r="Y3642" t="s">
        <v>911</v>
      </c>
      <c r="Z3642" t="s">
        <v>912</v>
      </c>
      <c r="AA3642" t="s">
        <v>913</v>
      </c>
      <c r="AB3642" t="s">
        <v>914</v>
      </c>
      <c r="AC3642" t="s">
        <v>915</v>
      </c>
      <c r="AD3642" t="s">
        <v>916</v>
      </c>
      <c r="AE3642" t="s">
        <v>917</v>
      </c>
      <c r="AF3642" t="s">
        <v>918</v>
      </c>
      <c r="AG3642" t="s">
        <v>919</v>
      </c>
      <c r="AH3642" t="s">
        <v>920</v>
      </c>
      <c r="AI3642" t="s">
        <v>921</v>
      </c>
      <c r="AJ3642" t="s">
        <v>922</v>
      </c>
      <c r="AK3642" t="s">
        <v>923</v>
      </c>
      <c r="AL3642" t="s">
        <v>924</v>
      </c>
      <c r="AM3642" t="s">
        <v>925</v>
      </c>
      <c r="AN3642" t="s">
        <v>926</v>
      </c>
      <c r="AO3642" t="s">
        <v>927</v>
      </c>
      <c r="AP3642" t="s">
        <v>928</v>
      </c>
      <c r="AQ3642" t="s">
        <v>929</v>
      </c>
      <c r="AR3642" t="s">
        <v>930</v>
      </c>
      <c r="AS3642" t="s">
        <v>931</v>
      </c>
      <c r="AT3642" t="s">
        <v>932</v>
      </c>
      <c r="AU3642" t="s">
        <v>933</v>
      </c>
      <c r="AV3642" t="s">
        <v>934</v>
      </c>
      <c r="AW3642" t="s">
        <v>935</v>
      </c>
      <c r="AX3642" t="s">
        <v>936</v>
      </c>
      <c r="AY3642" t="s">
        <v>937</v>
      </c>
      <c r="AZ3642" t="s">
        <v>938</v>
      </c>
      <c r="BA3642" t="s">
        <v>939</v>
      </c>
      <c r="BB3642" t="s">
        <v>940</v>
      </c>
      <c r="BC3642" t="s">
        <v>941</v>
      </c>
      <c r="BD3642" t="s">
        <v>193</v>
      </c>
    </row>
    <row r="3643" spans="1:56">
      <c r="A3643" t="s">
        <v>194</v>
      </c>
      <c r="B3643" t="s">
        <v>195</v>
      </c>
      <c r="C3643" t="s">
        <v>196</v>
      </c>
      <c r="D3643">
        <v>21379.63363531548</v>
      </c>
      <c r="E3643">
        <v>15000</v>
      </c>
      <c r="F3643">
        <v>1600</v>
      </c>
      <c r="G3643">
        <v>100000</v>
      </c>
      <c r="H3643">
        <v>11524.845956630041</v>
      </c>
      <c r="I3643">
        <v>8000</v>
      </c>
      <c r="J3643">
        <v>200</v>
      </c>
      <c r="K3643">
        <v>40000</v>
      </c>
      <c r="L3643">
        <v>17624.129222782081</v>
      </c>
      <c r="M3643">
        <v>10000</v>
      </c>
      <c r="N3643">
        <v>3000</v>
      </c>
      <c r="O3643">
        <v>50000</v>
      </c>
      <c r="P3643">
        <v>2893.8061867014112</v>
      </c>
      <c r="Q3643">
        <v>2000</v>
      </c>
      <c r="R3643">
        <v>500</v>
      </c>
      <c r="S3643">
        <v>15000</v>
      </c>
      <c r="T3643">
        <v>5670.1705824140063</v>
      </c>
      <c r="U3643">
        <v>5000</v>
      </c>
      <c r="V3643">
        <v>2000</v>
      </c>
      <c r="W3643">
        <v>20000</v>
      </c>
      <c r="X3643">
        <v>7096.7921289443229</v>
      </c>
      <c r="Y3643">
        <v>4800</v>
      </c>
      <c r="Z3643">
        <v>2300</v>
      </c>
      <c r="AA3643">
        <v>22000</v>
      </c>
      <c r="AB3643">
        <v>8681.7320848690033</v>
      </c>
      <c r="AC3643">
        <v>3000</v>
      </c>
      <c r="AD3643">
        <v>300</v>
      </c>
      <c r="AE3643">
        <v>340000</v>
      </c>
      <c r="AF3643">
        <v>3897.2582006006369</v>
      </c>
      <c r="AG3643">
        <v>5000</v>
      </c>
      <c r="AH3643">
        <v>1500</v>
      </c>
      <c r="AI3643">
        <v>5000</v>
      </c>
      <c r="AJ3643">
        <v>5103.3399717233042</v>
      </c>
      <c r="AK3643">
        <v>5000</v>
      </c>
      <c r="AL3643">
        <v>2500</v>
      </c>
      <c r="AM3643">
        <v>8000</v>
      </c>
      <c r="AN3643">
        <v>8192.0930960376572</v>
      </c>
      <c r="AO3643">
        <v>8800</v>
      </c>
      <c r="AP3643">
        <v>600</v>
      </c>
      <c r="AQ3643">
        <v>73000</v>
      </c>
      <c r="AR3643">
        <v>4495.4339243342201</v>
      </c>
      <c r="AS3643">
        <v>5000</v>
      </c>
      <c r="AT3643">
        <v>200</v>
      </c>
      <c r="AU3643">
        <v>38000</v>
      </c>
      <c r="AV3643">
        <v>3194.4821286135389</v>
      </c>
      <c r="AW3643">
        <v>3000</v>
      </c>
      <c r="AX3643">
        <v>3000</v>
      </c>
      <c r="AY3643">
        <v>4000</v>
      </c>
      <c r="AZ3643">
        <v>7453.8984344435303</v>
      </c>
      <c r="BA3643">
        <v>10000</v>
      </c>
      <c r="BB3643">
        <v>1600</v>
      </c>
      <c r="BC3643">
        <v>10000</v>
      </c>
      <c r="BD3643">
        <v>1336</v>
      </c>
    </row>
    <row r="3644" spans="1:56">
      <c r="A3644" t="s">
        <v>194</v>
      </c>
      <c r="B3644" t="s">
        <v>195</v>
      </c>
      <c r="C3644" t="s">
        <v>198</v>
      </c>
      <c r="D3644">
        <v>22904.333536606511</v>
      </c>
      <c r="E3644">
        <v>20000</v>
      </c>
      <c r="F3644">
        <v>1600</v>
      </c>
      <c r="G3644">
        <v>100000</v>
      </c>
      <c r="H3644">
        <v>11106.552602665561</v>
      </c>
      <c r="I3644">
        <v>8000</v>
      </c>
      <c r="J3644">
        <v>500</v>
      </c>
      <c r="K3644">
        <v>45000</v>
      </c>
      <c r="L3644">
        <v>31970.658880116429</v>
      </c>
      <c r="M3644">
        <v>33000</v>
      </c>
      <c r="N3644">
        <v>4000</v>
      </c>
      <c r="O3644">
        <v>60000</v>
      </c>
      <c r="P3644">
        <v>9134.1665922344018</v>
      </c>
      <c r="Q3644">
        <v>8000</v>
      </c>
      <c r="R3644">
        <v>5000</v>
      </c>
      <c r="S3644">
        <v>15000</v>
      </c>
      <c r="T3644">
        <v>5333.3174642397362</v>
      </c>
      <c r="U3644">
        <v>5000</v>
      </c>
      <c r="V3644">
        <v>2000</v>
      </c>
      <c r="W3644">
        <v>23000</v>
      </c>
      <c r="X3644">
        <v>6686.3347560462662</v>
      </c>
      <c r="Y3644">
        <v>6000</v>
      </c>
      <c r="Z3644">
        <v>2300</v>
      </c>
      <c r="AA3644">
        <v>30000</v>
      </c>
      <c r="AB3644">
        <v>4231.0292326627095</v>
      </c>
      <c r="AC3644">
        <v>2790</v>
      </c>
      <c r="AD3644">
        <v>340</v>
      </c>
      <c r="AE3644">
        <v>28000</v>
      </c>
      <c r="AF3644">
        <v>375</v>
      </c>
      <c r="AG3644">
        <v>375</v>
      </c>
      <c r="AH3644">
        <v>375</v>
      </c>
      <c r="AI3644">
        <v>375</v>
      </c>
      <c r="AJ3644">
        <v>7093.3203799900621</v>
      </c>
      <c r="AK3644">
        <v>3000</v>
      </c>
      <c r="AL3644">
        <v>1000</v>
      </c>
      <c r="AM3644">
        <v>40000</v>
      </c>
      <c r="AN3644">
        <v>7843.9851766064276</v>
      </c>
      <c r="AO3644">
        <v>3200</v>
      </c>
      <c r="AP3644">
        <v>300</v>
      </c>
      <c r="AQ3644">
        <v>42000</v>
      </c>
      <c r="AR3644">
        <v>20064.435734890729</v>
      </c>
      <c r="AS3644">
        <v>8000</v>
      </c>
      <c r="AT3644">
        <v>700</v>
      </c>
      <c r="AU3644">
        <v>150000</v>
      </c>
      <c r="AV3644">
        <v>2561.0904031529121</v>
      </c>
      <c r="AW3644">
        <v>3000</v>
      </c>
      <c r="AX3644">
        <v>1500</v>
      </c>
      <c r="AY3644">
        <v>6600</v>
      </c>
      <c r="AZ3644">
        <v>26184.508515328162</v>
      </c>
      <c r="BA3644">
        <v>30000</v>
      </c>
      <c r="BB3644">
        <v>1400</v>
      </c>
      <c r="BC3644">
        <v>50000</v>
      </c>
      <c r="BD3644">
        <v>1336</v>
      </c>
    </row>
    <row r="3645" spans="1:56">
      <c r="A3645" t="s">
        <v>194</v>
      </c>
      <c r="B3645" t="s">
        <v>199</v>
      </c>
      <c r="C3645" t="s">
        <v>196</v>
      </c>
      <c r="D3645">
        <v>30464.597614016151</v>
      </c>
      <c r="E3645">
        <v>25000</v>
      </c>
      <c r="F3645">
        <v>1700</v>
      </c>
      <c r="G3645">
        <v>250000</v>
      </c>
      <c r="H3645">
        <v>15580.99432394557</v>
      </c>
      <c r="I3645">
        <v>10000</v>
      </c>
      <c r="J3645">
        <v>500</v>
      </c>
      <c r="K3645">
        <v>80000</v>
      </c>
      <c r="L3645">
        <v>46464.786924196836</v>
      </c>
      <c r="M3645">
        <v>40000</v>
      </c>
      <c r="N3645">
        <v>2100</v>
      </c>
      <c r="O3645">
        <v>80000</v>
      </c>
      <c r="P3645">
        <v>7406.3031361795138</v>
      </c>
      <c r="Q3645">
        <v>4000</v>
      </c>
      <c r="R3645">
        <v>300</v>
      </c>
      <c r="S3645">
        <v>40000</v>
      </c>
      <c r="T3645">
        <v>4401.6265734772178</v>
      </c>
      <c r="U3645">
        <v>3000</v>
      </c>
      <c r="V3645">
        <v>2000</v>
      </c>
      <c r="W3645">
        <v>20000</v>
      </c>
      <c r="X3645">
        <v>6504.0967703266306</v>
      </c>
      <c r="Y3645">
        <v>5000</v>
      </c>
      <c r="Z3645">
        <v>2300</v>
      </c>
      <c r="AA3645">
        <v>20000</v>
      </c>
      <c r="AB3645">
        <v>3670.9063833429509</v>
      </c>
      <c r="AC3645">
        <v>2250</v>
      </c>
      <c r="AD3645">
        <v>500</v>
      </c>
      <c r="AE3645">
        <v>25000</v>
      </c>
      <c r="AF3645">
        <v>6721.9646291279378</v>
      </c>
      <c r="AG3645">
        <v>5000</v>
      </c>
      <c r="AH3645">
        <v>290</v>
      </c>
      <c r="AI3645">
        <v>55000</v>
      </c>
      <c r="AJ3645">
        <v>11700.03541694591</v>
      </c>
      <c r="AK3645">
        <v>10000</v>
      </c>
      <c r="AL3645">
        <v>1000</v>
      </c>
      <c r="AM3645">
        <v>30000</v>
      </c>
      <c r="AN3645">
        <v>12323.34737511737</v>
      </c>
      <c r="AO3645">
        <v>15000</v>
      </c>
      <c r="AP3645">
        <v>500</v>
      </c>
      <c r="AQ3645">
        <v>80000</v>
      </c>
      <c r="AR3645">
        <v>15947.130001847971</v>
      </c>
      <c r="AS3645">
        <v>5000</v>
      </c>
      <c r="AT3645">
        <v>2000</v>
      </c>
      <c r="AU3645">
        <v>100000</v>
      </c>
      <c r="AV3645">
        <v>11111.1740908786</v>
      </c>
      <c r="AW3645">
        <v>25000</v>
      </c>
      <c r="AX3645">
        <v>3000</v>
      </c>
      <c r="AY3645">
        <v>25000</v>
      </c>
      <c r="AZ3645">
        <v>7828.1195621055549</v>
      </c>
      <c r="BA3645">
        <v>70000</v>
      </c>
      <c r="BB3645">
        <v>500</v>
      </c>
      <c r="BC3645">
        <v>70000</v>
      </c>
      <c r="BD3645">
        <v>1336</v>
      </c>
    </row>
    <row r="3646" spans="1:56">
      <c r="A3646" t="s">
        <v>194</v>
      </c>
      <c r="B3646" t="s">
        <v>199</v>
      </c>
      <c r="C3646" t="s">
        <v>198</v>
      </c>
      <c r="D3646">
        <v>31580.195645030679</v>
      </c>
      <c r="E3646">
        <v>25000</v>
      </c>
      <c r="F3646">
        <v>1600</v>
      </c>
      <c r="G3646">
        <v>167000</v>
      </c>
      <c r="H3646">
        <v>13741.940188495641</v>
      </c>
      <c r="I3646">
        <v>11000</v>
      </c>
      <c r="J3646">
        <v>500</v>
      </c>
      <c r="K3646">
        <v>45000</v>
      </c>
      <c r="L3646">
        <v>67270.936260440285</v>
      </c>
      <c r="M3646">
        <v>40000</v>
      </c>
      <c r="N3646">
        <v>1000</v>
      </c>
      <c r="O3646">
        <v>500000</v>
      </c>
      <c r="P3646">
        <v>6165.5566706064265</v>
      </c>
      <c r="Q3646">
        <v>6000</v>
      </c>
      <c r="R3646">
        <v>2000</v>
      </c>
      <c r="S3646">
        <v>10000</v>
      </c>
      <c r="T3646">
        <v>4980.2591600176329</v>
      </c>
      <c r="U3646">
        <v>4000</v>
      </c>
      <c r="V3646">
        <v>2000</v>
      </c>
      <c r="W3646">
        <v>11000</v>
      </c>
      <c r="X3646">
        <v>6700.3876731991804</v>
      </c>
      <c r="Y3646">
        <v>5800</v>
      </c>
      <c r="Z3646">
        <v>2300</v>
      </c>
      <c r="AA3646">
        <v>30000</v>
      </c>
      <c r="AB3646">
        <v>2524.6242003998082</v>
      </c>
      <c r="AC3646">
        <v>860</v>
      </c>
      <c r="AD3646">
        <v>245</v>
      </c>
      <c r="AE3646">
        <v>40000</v>
      </c>
      <c r="AF3646">
        <v>6738.4419525321509</v>
      </c>
      <c r="AG3646">
        <v>7000</v>
      </c>
      <c r="AH3646">
        <v>1000</v>
      </c>
      <c r="AI3646">
        <v>20000</v>
      </c>
      <c r="AJ3646">
        <v>8089.0311632090234</v>
      </c>
      <c r="AK3646">
        <v>6000</v>
      </c>
      <c r="AL3646">
        <v>1000</v>
      </c>
      <c r="AM3646">
        <v>60000</v>
      </c>
      <c r="AN3646">
        <v>6372.5631121226033</v>
      </c>
      <c r="AO3646">
        <v>2000</v>
      </c>
      <c r="AP3646">
        <v>200</v>
      </c>
      <c r="AQ3646">
        <v>63000</v>
      </c>
      <c r="AR3646">
        <v>6855.2427474207479</v>
      </c>
      <c r="AS3646">
        <v>5000</v>
      </c>
      <c r="AT3646">
        <v>500</v>
      </c>
      <c r="AU3646">
        <v>50000</v>
      </c>
      <c r="AZ3646">
        <v>12649.692648838291</v>
      </c>
      <c r="BA3646">
        <v>4000</v>
      </c>
      <c r="BB3646">
        <v>800</v>
      </c>
      <c r="BC3646">
        <v>70000</v>
      </c>
      <c r="BD3646">
        <v>1336</v>
      </c>
    </row>
    <row r="3647" spans="1:56">
      <c r="A3647" t="s">
        <v>200</v>
      </c>
      <c r="B3647" t="s">
        <v>200</v>
      </c>
      <c r="C3647" t="s">
        <v>200</v>
      </c>
      <c r="D3647">
        <v>28127.024656758251</v>
      </c>
      <c r="E3647">
        <v>24000</v>
      </c>
      <c r="F3647">
        <v>1600</v>
      </c>
      <c r="G3647">
        <v>250000</v>
      </c>
      <c r="H3647">
        <v>12659.14791022075</v>
      </c>
      <c r="I3647">
        <v>10000</v>
      </c>
      <c r="J3647">
        <v>200</v>
      </c>
      <c r="K3647">
        <v>80000</v>
      </c>
      <c r="L3647">
        <v>56801.604419660587</v>
      </c>
      <c r="M3647">
        <v>40000</v>
      </c>
      <c r="N3647">
        <v>1000</v>
      </c>
      <c r="O3647">
        <v>500000</v>
      </c>
      <c r="P3647">
        <v>5811.6621826015762</v>
      </c>
      <c r="Q3647">
        <v>5000</v>
      </c>
      <c r="R3647">
        <v>300</v>
      </c>
      <c r="S3647">
        <v>40000</v>
      </c>
      <c r="T3647">
        <v>5393.8013120957103</v>
      </c>
      <c r="U3647">
        <v>5000</v>
      </c>
      <c r="V3647">
        <v>2000</v>
      </c>
      <c r="W3647">
        <v>23000</v>
      </c>
      <c r="X3647">
        <v>6740.6875195984258</v>
      </c>
      <c r="Y3647">
        <v>5600</v>
      </c>
      <c r="Z3647">
        <v>2300</v>
      </c>
      <c r="AA3647">
        <v>30000</v>
      </c>
      <c r="AB3647">
        <v>4132.2045837251189</v>
      </c>
      <c r="AC3647">
        <v>2300</v>
      </c>
      <c r="AD3647">
        <v>245</v>
      </c>
      <c r="AE3647">
        <v>340000</v>
      </c>
      <c r="AF3647">
        <v>6226.5985992729366</v>
      </c>
      <c r="AG3647">
        <v>6000</v>
      </c>
      <c r="AH3647">
        <v>290</v>
      </c>
      <c r="AI3647">
        <v>55000</v>
      </c>
      <c r="AJ3647">
        <v>8210.3761335685285</v>
      </c>
      <c r="AK3647">
        <v>6000</v>
      </c>
      <c r="AL3647">
        <v>1000</v>
      </c>
      <c r="AM3647">
        <v>60000</v>
      </c>
      <c r="AN3647">
        <v>8092.5418049963882</v>
      </c>
      <c r="AO3647">
        <v>3200</v>
      </c>
      <c r="AP3647">
        <v>200</v>
      </c>
      <c r="AQ3647">
        <v>80000</v>
      </c>
      <c r="AR3647">
        <v>11885.691398104111</v>
      </c>
      <c r="AS3647">
        <v>5000</v>
      </c>
      <c r="AT3647">
        <v>200</v>
      </c>
      <c r="AU3647">
        <v>150000</v>
      </c>
      <c r="AV3647">
        <v>3938.0192406278802</v>
      </c>
      <c r="AW3647">
        <v>3000</v>
      </c>
      <c r="AX3647">
        <v>1500</v>
      </c>
      <c r="AY3647">
        <v>25000</v>
      </c>
      <c r="AZ3647">
        <v>16455.56428890652</v>
      </c>
      <c r="BA3647">
        <v>9000</v>
      </c>
      <c r="BB3647">
        <v>500</v>
      </c>
      <c r="BC3647">
        <v>70000</v>
      </c>
      <c r="BD3647">
        <v>1336</v>
      </c>
    </row>
    <row r="3649" spans="1:56" ht="45">
      <c r="A3649" s="22" t="s">
        <v>942</v>
      </c>
    </row>
    <row r="3650" spans="1:56">
      <c r="A3650" t="s">
        <v>184</v>
      </c>
      <c r="B3650" t="s">
        <v>185</v>
      </c>
      <c r="C3650" t="s">
        <v>186</v>
      </c>
      <c r="D3650" t="s">
        <v>890</v>
      </c>
      <c r="E3650" t="s">
        <v>891</v>
      </c>
      <c r="F3650" t="s">
        <v>892</v>
      </c>
      <c r="G3650" t="s">
        <v>893</v>
      </c>
      <c r="H3650" t="s">
        <v>894</v>
      </c>
      <c r="I3650" t="s">
        <v>895</v>
      </c>
      <c r="J3650" t="s">
        <v>896</v>
      </c>
      <c r="K3650" t="s">
        <v>897</v>
      </c>
      <c r="L3650" t="s">
        <v>898</v>
      </c>
      <c r="M3650" t="s">
        <v>899</v>
      </c>
      <c r="N3650" t="s">
        <v>900</v>
      </c>
      <c r="O3650" t="s">
        <v>901</v>
      </c>
      <c r="P3650" t="s">
        <v>902</v>
      </c>
      <c r="Q3650" t="s">
        <v>903</v>
      </c>
      <c r="R3650" t="s">
        <v>904</v>
      </c>
      <c r="S3650" t="s">
        <v>905</v>
      </c>
      <c r="T3650" t="s">
        <v>906</v>
      </c>
      <c r="U3650" t="s">
        <v>907</v>
      </c>
      <c r="V3650" t="s">
        <v>908</v>
      </c>
      <c r="W3650" t="s">
        <v>909</v>
      </c>
      <c r="X3650" t="s">
        <v>910</v>
      </c>
      <c r="Y3650" t="s">
        <v>911</v>
      </c>
      <c r="Z3650" t="s">
        <v>912</v>
      </c>
      <c r="AA3650" t="s">
        <v>913</v>
      </c>
      <c r="AB3650" t="s">
        <v>914</v>
      </c>
      <c r="AC3650" t="s">
        <v>915</v>
      </c>
      <c r="AD3650" t="s">
        <v>916</v>
      </c>
      <c r="AE3650" t="s">
        <v>917</v>
      </c>
      <c r="AF3650" t="s">
        <v>918</v>
      </c>
      <c r="AG3650" t="s">
        <v>919</v>
      </c>
      <c r="AH3650" t="s">
        <v>920</v>
      </c>
      <c r="AI3650" t="s">
        <v>921</v>
      </c>
      <c r="AJ3650" t="s">
        <v>922</v>
      </c>
      <c r="AK3650" t="s">
        <v>923</v>
      </c>
      <c r="AL3650" t="s">
        <v>924</v>
      </c>
      <c r="AM3650" t="s">
        <v>925</v>
      </c>
      <c r="AN3650" t="s">
        <v>926</v>
      </c>
      <c r="AO3650" t="s">
        <v>927</v>
      </c>
      <c r="AP3650" t="s">
        <v>928</v>
      </c>
      <c r="AQ3650" t="s">
        <v>929</v>
      </c>
      <c r="AR3650" t="s">
        <v>930</v>
      </c>
      <c r="AS3650" t="s">
        <v>931</v>
      </c>
      <c r="AT3650" t="s">
        <v>932</v>
      </c>
      <c r="AU3650" t="s">
        <v>933</v>
      </c>
      <c r="AV3650" t="s">
        <v>934</v>
      </c>
      <c r="AW3650" t="s">
        <v>935</v>
      </c>
      <c r="AX3650" t="s">
        <v>936</v>
      </c>
      <c r="AY3650" t="s">
        <v>937</v>
      </c>
      <c r="AZ3650" t="s">
        <v>938</v>
      </c>
      <c r="BA3650" t="s">
        <v>939</v>
      </c>
      <c r="BB3650" t="s">
        <v>940</v>
      </c>
      <c r="BC3650" t="s">
        <v>941</v>
      </c>
      <c r="BD3650" t="s">
        <v>193</v>
      </c>
    </row>
    <row r="3651" spans="1:56">
      <c r="A3651" t="s">
        <v>194</v>
      </c>
      <c r="B3651" t="s">
        <v>195</v>
      </c>
      <c r="C3651" t="s">
        <v>202</v>
      </c>
      <c r="D3651">
        <v>23413.714745471028</v>
      </c>
      <c r="E3651">
        <v>20000</v>
      </c>
      <c r="F3651">
        <v>2000</v>
      </c>
      <c r="G3651">
        <v>100000</v>
      </c>
      <c r="H3651">
        <v>13378.35544656498</v>
      </c>
      <c r="I3651">
        <v>10000</v>
      </c>
      <c r="J3651">
        <v>200</v>
      </c>
      <c r="K3651">
        <v>40000</v>
      </c>
      <c r="L3651">
        <v>36572.571419666521</v>
      </c>
      <c r="M3651">
        <v>40000</v>
      </c>
      <c r="N3651">
        <v>10000</v>
      </c>
      <c r="O3651">
        <v>60000</v>
      </c>
      <c r="P3651">
        <v>9087.7989277906127</v>
      </c>
      <c r="Q3651">
        <v>15000</v>
      </c>
      <c r="R3651">
        <v>2500</v>
      </c>
      <c r="S3651">
        <v>15000</v>
      </c>
      <c r="T3651">
        <v>5118.7449808597275</v>
      </c>
      <c r="U3651">
        <v>4000</v>
      </c>
      <c r="V3651">
        <v>2000</v>
      </c>
      <c r="W3651">
        <v>23000</v>
      </c>
      <c r="X3651">
        <v>6902.28526660427</v>
      </c>
      <c r="Y3651">
        <v>5675</v>
      </c>
      <c r="Z3651">
        <v>2300</v>
      </c>
      <c r="AA3651">
        <v>24000</v>
      </c>
      <c r="AB3651">
        <v>4790.370394974605</v>
      </c>
      <c r="AC3651">
        <v>2980</v>
      </c>
      <c r="AD3651">
        <v>300</v>
      </c>
      <c r="AE3651">
        <v>28000</v>
      </c>
      <c r="AF3651">
        <v>5000</v>
      </c>
      <c r="AG3651">
        <v>5000</v>
      </c>
      <c r="AH3651">
        <v>5000</v>
      </c>
      <c r="AI3651">
        <v>5000</v>
      </c>
      <c r="AJ3651">
        <v>8749.4321051733805</v>
      </c>
      <c r="AK3651">
        <v>6000</v>
      </c>
      <c r="AL3651">
        <v>1000</v>
      </c>
      <c r="AM3651">
        <v>40000</v>
      </c>
      <c r="AN3651">
        <v>10387.76305524889</v>
      </c>
      <c r="AO3651">
        <v>3200</v>
      </c>
      <c r="AP3651">
        <v>600</v>
      </c>
      <c r="AQ3651">
        <v>33000</v>
      </c>
      <c r="AR3651">
        <v>23797.848452722828</v>
      </c>
      <c r="AS3651">
        <v>10000</v>
      </c>
      <c r="AT3651">
        <v>200</v>
      </c>
      <c r="AU3651">
        <v>150000</v>
      </c>
      <c r="AV3651">
        <v>2813.9875752336688</v>
      </c>
      <c r="AW3651">
        <v>4000</v>
      </c>
      <c r="AX3651">
        <v>2000</v>
      </c>
      <c r="AY3651">
        <v>4000</v>
      </c>
      <c r="AZ3651">
        <v>50000</v>
      </c>
      <c r="BA3651">
        <v>50000</v>
      </c>
      <c r="BB3651">
        <v>50000</v>
      </c>
      <c r="BC3651">
        <v>50000</v>
      </c>
      <c r="BD3651">
        <v>1336</v>
      </c>
    </row>
    <row r="3652" spans="1:56">
      <c r="A3652" t="s">
        <v>194</v>
      </c>
      <c r="B3652" t="s">
        <v>195</v>
      </c>
      <c r="C3652" t="s">
        <v>204</v>
      </c>
      <c r="D3652">
        <v>23059.234151345368</v>
      </c>
      <c r="E3652">
        <v>20000</v>
      </c>
      <c r="F3652">
        <v>2000</v>
      </c>
      <c r="G3652">
        <v>84000</v>
      </c>
      <c r="H3652">
        <v>11485.929824580349</v>
      </c>
      <c r="I3652">
        <v>9000</v>
      </c>
      <c r="J3652">
        <v>200</v>
      </c>
      <c r="K3652">
        <v>45000</v>
      </c>
      <c r="L3652">
        <v>10332.304172731419</v>
      </c>
      <c r="M3652">
        <v>10000</v>
      </c>
      <c r="N3652">
        <v>4000</v>
      </c>
      <c r="O3652">
        <v>22000</v>
      </c>
      <c r="P3652">
        <v>2386.8381383402671</v>
      </c>
      <c r="Q3652">
        <v>3000</v>
      </c>
      <c r="R3652">
        <v>500</v>
      </c>
      <c r="S3652">
        <v>7000</v>
      </c>
      <c r="T3652">
        <v>5642.1780592648875</v>
      </c>
      <c r="U3652">
        <v>5000</v>
      </c>
      <c r="V3652">
        <v>2000</v>
      </c>
      <c r="W3652">
        <v>19000</v>
      </c>
      <c r="X3652">
        <v>6682.3683757357048</v>
      </c>
      <c r="Y3652">
        <v>5800</v>
      </c>
      <c r="Z3652">
        <v>2300</v>
      </c>
      <c r="AA3652">
        <v>23000</v>
      </c>
      <c r="AB3652">
        <v>3392.3930905361781</v>
      </c>
      <c r="AC3652">
        <v>2700</v>
      </c>
      <c r="AD3652">
        <v>500</v>
      </c>
      <c r="AE3652">
        <v>20000</v>
      </c>
      <c r="AF3652">
        <v>1500</v>
      </c>
      <c r="AG3652">
        <v>1500</v>
      </c>
      <c r="AH3652">
        <v>1500</v>
      </c>
      <c r="AI3652">
        <v>1500</v>
      </c>
      <c r="AJ3652">
        <v>8153.6690295245826</v>
      </c>
      <c r="AK3652">
        <v>8000</v>
      </c>
      <c r="AL3652">
        <v>1000</v>
      </c>
      <c r="AM3652">
        <v>17000</v>
      </c>
      <c r="AN3652">
        <v>3701.393853543429</v>
      </c>
      <c r="AO3652">
        <v>1500</v>
      </c>
      <c r="AP3652">
        <v>500</v>
      </c>
      <c r="AQ3652">
        <v>73000</v>
      </c>
      <c r="AR3652">
        <v>4852.1173841850514</v>
      </c>
      <c r="AS3652">
        <v>5000</v>
      </c>
      <c r="AT3652">
        <v>1500</v>
      </c>
      <c r="AU3652">
        <v>20000</v>
      </c>
      <c r="AV3652">
        <v>2696.1585625600219</v>
      </c>
      <c r="AW3652">
        <v>3000</v>
      </c>
      <c r="AX3652">
        <v>1500</v>
      </c>
      <c r="AY3652">
        <v>3000</v>
      </c>
      <c r="AZ3652">
        <v>5700</v>
      </c>
      <c r="BA3652">
        <v>1400</v>
      </c>
      <c r="BB3652">
        <v>1400</v>
      </c>
      <c r="BC3652">
        <v>10000</v>
      </c>
      <c r="BD3652">
        <v>1336</v>
      </c>
    </row>
    <row r="3653" spans="1:56">
      <c r="A3653" t="s">
        <v>194</v>
      </c>
      <c r="B3653" t="s">
        <v>195</v>
      </c>
      <c r="C3653" t="s">
        <v>205</v>
      </c>
      <c r="D3653">
        <v>17386.186085494639</v>
      </c>
      <c r="E3653">
        <v>15000</v>
      </c>
      <c r="F3653">
        <v>1600</v>
      </c>
      <c r="G3653">
        <v>100000</v>
      </c>
      <c r="H3653">
        <v>7726.3477421564876</v>
      </c>
      <c r="I3653">
        <v>6400</v>
      </c>
      <c r="J3653">
        <v>500</v>
      </c>
      <c r="K3653">
        <v>25000</v>
      </c>
      <c r="L3653">
        <v>3000</v>
      </c>
      <c r="M3653">
        <v>3000</v>
      </c>
      <c r="N3653">
        <v>3000</v>
      </c>
      <c r="O3653">
        <v>3000</v>
      </c>
      <c r="P3653">
        <v>6498.6711353645342</v>
      </c>
      <c r="Q3653">
        <v>7500</v>
      </c>
      <c r="R3653">
        <v>2000</v>
      </c>
      <c r="S3653">
        <v>15000</v>
      </c>
      <c r="T3653">
        <v>6424.0591596588383</v>
      </c>
      <c r="U3653">
        <v>5000</v>
      </c>
      <c r="V3653">
        <v>2000</v>
      </c>
      <c r="W3653">
        <v>17000</v>
      </c>
      <c r="X3653">
        <v>6591.1703796929851</v>
      </c>
      <c r="Y3653">
        <v>6800</v>
      </c>
      <c r="Z3653">
        <v>2300</v>
      </c>
      <c r="AA3653">
        <v>30000</v>
      </c>
      <c r="AB3653">
        <v>10588.636110699919</v>
      </c>
      <c r="AC3653">
        <v>2300</v>
      </c>
      <c r="AD3653">
        <v>860</v>
      </c>
      <c r="AE3653">
        <v>340000</v>
      </c>
      <c r="AF3653">
        <v>375</v>
      </c>
      <c r="AG3653">
        <v>375</v>
      </c>
      <c r="AH3653">
        <v>375</v>
      </c>
      <c r="AI3653">
        <v>375</v>
      </c>
      <c r="AJ3653">
        <v>3353.767611872589</v>
      </c>
      <c r="AK3653">
        <v>4000</v>
      </c>
      <c r="AL3653">
        <v>2000</v>
      </c>
      <c r="AM3653">
        <v>7000</v>
      </c>
      <c r="AN3653">
        <v>9778.7695146891347</v>
      </c>
      <c r="AO3653">
        <v>6400</v>
      </c>
      <c r="AP3653">
        <v>300</v>
      </c>
      <c r="AQ3653">
        <v>42000</v>
      </c>
      <c r="AR3653">
        <v>9032.636552892307</v>
      </c>
      <c r="AS3653">
        <v>15000</v>
      </c>
      <c r="AT3653">
        <v>700</v>
      </c>
      <c r="AU3653">
        <v>38000</v>
      </c>
      <c r="AV3653">
        <v>6600</v>
      </c>
      <c r="AW3653">
        <v>6600</v>
      </c>
      <c r="AX3653">
        <v>6600</v>
      </c>
      <c r="AY3653">
        <v>6600</v>
      </c>
      <c r="AZ3653">
        <v>6720.8530311408713</v>
      </c>
      <c r="BA3653">
        <v>9000</v>
      </c>
      <c r="BB3653">
        <v>1600</v>
      </c>
      <c r="BC3653">
        <v>30000</v>
      </c>
      <c r="BD3653">
        <v>1336</v>
      </c>
    </row>
    <row r="3654" spans="1:56">
      <c r="A3654" t="s">
        <v>194</v>
      </c>
      <c r="B3654" t="s">
        <v>199</v>
      </c>
      <c r="C3654" t="s">
        <v>202</v>
      </c>
      <c r="D3654">
        <v>34593.469750623342</v>
      </c>
      <c r="E3654">
        <v>27000</v>
      </c>
      <c r="F3654">
        <v>2800</v>
      </c>
      <c r="G3654">
        <v>250000</v>
      </c>
      <c r="H3654">
        <v>17455.77985210613</v>
      </c>
      <c r="I3654">
        <v>15000</v>
      </c>
      <c r="J3654">
        <v>3700</v>
      </c>
      <c r="K3654">
        <v>80000</v>
      </c>
      <c r="L3654">
        <v>71715.873447931997</v>
      </c>
      <c r="M3654">
        <v>40000</v>
      </c>
      <c r="N3654">
        <v>1000</v>
      </c>
      <c r="O3654">
        <v>500000</v>
      </c>
      <c r="P3654">
        <v>12262.62990252139</v>
      </c>
      <c r="Q3654">
        <v>20000</v>
      </c>
      <c r="R3654">
        <v>9000</v>
      </c>
      <c r="S3654">
        <v>20000</v>
      </c>
      <c r="T3654">
        <v>3896.3621755635181</v>
      </c>
      <c r="U3654">
        <v>4000</v>
      </c>
      <c r="V3654">
        <v>2000</v>
      </c>
      <c r="W3654">
        <v>10000</v>
      </c>
      <c r="X3654">
        <v>6584.2709490908755</v>
      </c>
      <c r="Y3654">
        <v>5500</v>
      </c>
      <c r="Z3654">
        <v>2300</v>
      </c>
      <c r="AA3654">
        <v>23600</v>
      </c>
      <c r="AB3654">
        <v>2353.1564640035731</v>
      </c>
      <c r="AC3654">
        <v>960</v>
      </c>
      <c r="AD3654">
        <v>800</v>
      </c>
      <c r="AE3654">
        <v>25000</v>
      </c>
      <c r="AF3654">
        <v>8144.9387418131791</v>
      </c>
      <c r="AG3654">
        <v>7000</v>
      </c>
      <c r="AH3654">
        <v>1000</v>
      </c>
      <c r="AI3654">
        <v>20000</v>
      </c>
      <c r="AJ3654">
        <v>9636.5507263444997</v>
      </c>
      <c r="AK3654">
        <v>9000</v>
      </c>
      <c r="AL3654">
        <v>1000</v>
      </c>
      <c r="AM3654">
        <v>30000</v>
      </c>
      <c r="AR3654">
        <v>8516.4802151739532</v>
      </c>
      <c r="AS3654">
        <v>5000</v>
      </c>
      <c r="AT3654">
        <v>1000</v>
      </c>
      <c r="AU3654">
        <v>60000</v>
      </c>
      <c r="AZ3654">
        <v>3000</v>
      </c>
      <c r="BA3654">
        <v>3000</v>
      </c>
      <c r="BB3654">
        <v>3000</v>
      </c>
      <c r="BC3654">
        <v>3000</v>
      </c>
      <c r="BD3654">
        <v>1336</v>
      </c>
    </row>
    <row r="3655" spans="1:56">
      <c r="A3655" t="s">
        <v>194</v>
      </c>
      <c r="B3655" t="s">
        <v>199</v>
      </c>
      <c r="C3655" t="s">
        <v>204</v>
      </c>
      <c r="D3655">
        <v>27553.450933542361</v>
      </c>
      <c r="E3655">
        <v>25000</v>
      </c>
      <c r="F3655">
        <v>1700</v>
      </c>
      <c r="G3655">
        <v>130000</v>
      </c>
      <c r="H3655">
        <v>7837.8775165291272</v>
      </c>
      <c r="I3655">
        <v>6000</v>
      </c>
      <c r="J3655">
        <v>500</v>
      </c>
      <c r="K3655">
        <v>40000</v>
      </c>
      <c r="L3655">
        <v>35813.261782093352</v>
      </c>
      <c r="M3655">
        <v>40000</v>
      </c>
      <c r="N3655">
        <v>2500</v>
      </c>
      <c r="O3655">
        <v>100000</v>
      </c>
      <c r="P3655">
        <v>5033.8468454333906</v>
      </c>
      <c r="Q3655">
        <v>4000</v>
      </c>
      <c r="R3655">
        <v>300</v>
      </c>
      <c r="S3655">
        <v>40000</v>
      </c>
      <c r="T3655">
        <v>4033.8060607995908</v>
      </c>
      <c r="U3655">
        <v>4000</v>
      </c>
      <c r="V3655">
        <v>2000</v>
      </c>
      <c r="W3655">
        <v>20000</v>
      </c>
      <c r="X3655">
        <v>6236.8765334374557</v>
      </c>
      <c r="Y3655">
        <v>5000</v>
      </c>
      <c r="Z3655">
        <v>2300</v>
      </c>
      <c r="AA3655">
        <v>30000</v>
      </c>
      <c r="AB3655">
        <v>3509.3576391278548</v>
      </c>
      <c r="AC3655">
        <v>1500</v>
      </c>
      <c r="AD3655">
        <v>245</v>
      </c>
      <c r="AE3655">
        <v>40000</v>
      </c>
      <c r="AF3655">
        <v>4937.7448658183166</v>
      </c>
      <c r="AG3655">
        <v>4000</v>
      </c>
      <c r="AH3655">
        <v>290</v>
      </c>
      <c r="AI3655">
        <v>55000</v>
      </c>
      <c r="AJ3655">
        <v>6702.8462542985544</v>
      </c>
      <c r="AK3655">
        <v>7000</v>
      </c>
      <c r="AL3655">
        <v>1500</v>
      </c>
      <c r="AM3655">
        <v>60000</v>
      </c>
      <c r="AN3655">
        <v>10527.59836200378</v>
      </c>
      <c r="AO3655">
        <v>10000</v>
      </c>
      <c r="AP3655">
        <v>200</v>
      </c>
      <c r="AQ3655">
        <v>80000</v>
      </c>
      <c r="AR3655">
        <v>3942.1470694876489</v>
      </c>
      <c r="AS3655">
        <v>2000</v>
      </c>
      <c r="AT3655">
        <v>500</v>
      </c>
      <c r="AU3655">
        <v>100000</v>
      </c>
      <c r="AV3655">
        <v>11111.1740908786</v>
      </c>
      <c r="AW3655">
        <v>25000</v>
      </c>
      <c r="AX3655">
        <v>3000</v>
      </c>
      <c r="AY3655">
        <v>25000</v>
      </c>
      <c r="AZ3655">
        <v>15329.73784432373</v>
      </c>
      <c r="BA3655">
        <v>10000</v>
      </c>
      <c r="BB3655">
        <v>1000</v>
      </c>
      <c r="BC3655">
        <v>70000</v>
      </c>
      <c r="BD3655">
        <v>1336</v>
      </c>
    </row>
    <row r="3656" spans="1:56">
      <c r="A3656" t="s">
        <v>194</v>
      </c>
      <c r="B3656" t="s">
        <v>199</v>
      </c>
      <c r="C3656" t="s">
        <v>205</v>
      </c>
      <c r="D3656">
        <v>21072.689684286619</v>
      </c>
      <c r="E3656">
        <v>15000</v>
      </c>
      <c r="F3656">
        <v>1600</v>
      </c>
      <c r="G3656">
        <v>120000</v>
      </c>
      <c r="H3656">
        <v>11090.1487240147</v>
      </c>
      <c r="I3656">
        <v>8000</v>
      </c>
      <c r="J3656">
        <v>500</v>
      </c>
      <c r="K3656">
        <v>25000</v>
      </c>
      <c r="L3656">
        <v>69969.233205398719</v>
      </c>
      <c r="M3656">
        <v>23000</v>
      </c>
      <c r="N3656">
        <v>2100</v>
      </c>
      <c r="O3656">
        <v>300000</v>
      </c>
      <c r="P3656">
        <v>6419.054952937342</v>
      </c>
      <c r="Q3656">
        <v>6000</v>
      </c>
      <c r="R3656">
        <v>1500</v>
      </c>
      <c r="S3656">
        <v>30000</v>
      </c>
      <c r="T3656">
        <v>5431.6684611948331</v>
      </c>
      <c r="U3656">
        <v>4000</v>
      </c>
      <c r="V3656">
        <v>2000</v>
      </c>
      <c r="W3656">
        <v>11000</v>
      </c>
      <c r="X3656">
        <v>7193.5184523218486</v>
      </c>
      <c r="Y3656">
        <v>6000</v>
      </c>
      <c r="Z3656">
        <v>2300</v>
      </c>
      <c r="AA3656">
        <v>30000</v>
      </c>
      <c r="AB3656">
        <v>3555.4048834973428</v>
      </c>
      <c r="AC3656">
        <v>2960</v>
      </c>
      <c r="AD3656">
        <v>500</v>
      </c>
      <c r="AE3656">
        <v>27000</v>
      </c>
      <c r="AF3656">
        <v>4299.7702170233752</v>
      </c>
      <c r="AG3656">
        <v>5000</v>
      </c>
      <c r="AH3656">
        <v>500</v>
      </c>
      <c r="AI3656">
        <v>12000</v>
      </c>
      <c r="AJ3656">
        <v>9244.794987123958</v>
      </c>
      <c r="AK3656">
        <v>10000</v>
      </c>
      <c r="AL3656">
        <v>1000</v>
      </c>
      <c r="AM3656">
        <v>20000</v>
      </c>
      <c r="AN3656">
        <v>5478.4573413908811</v>
      </c>
      <c r="AO3656">
        <v>3000</v>
      </c>
      <c r="AP3656">
        <v>350</v>
      </c>
      <c r="AQ3656">
        <v>40000</v>
      </c>
      <c r="AR3656">
        <v>15182.86769010333</v>
      </c>
      <c r="AS3656">
        <v>3000</v>
      </c>
      <c r="AT3656">
        <v>1000</v>
      </c>
      <c r="AU3656">
        <v>50000</v>
      </c>
      <c r="AZ3656">
        <v>14083.535786911771</v>
      </c>
      <c r="BA3656">
        <v>5000</v>
      </c>
      <c r="BB3656">
        <v>500</v>
      </c>
      <c r="BC3656">
        <v>42000</v>
      </c>
      <c r="BD3656">
        <v>1336</v>
      </c>
    </row>
    <row r="3657" spans="1:56">
      <c r="A3657" t="s">
        <v>200</v>
      </c>
      <c r="B3657" t="s">
        <v>200</v>
      </c>
      <c r="C3657" t="s">
        <v>200</v>
      </c>
      <c r="D3657">
        <v>28127.024656758251</v>
      </c>
      <c r="E3657">
        <v>24000</v>
      </c>
      <c r="F3657">
        <v>1600</v>
      </c>
      <c r="G3657">
        <v>250000</v>
      </c>
      <c r="H3657">
        <v>12659.14791022075</v>
      </c>
      <c r="I3657">
        <v>10000</v>
      </c>
      <c r="J3657">
        <v>200</v>
      </c>
      <c r="K3657">
        <v>80000</v>
      </c>
      <c r="L3657">
        <v>56801.604419660587</v>
      </c>
      <c r="M3657">
        <v>40000</v>
      </c>
      <c r="N3657">
        <v>1000</v>
      </c>
      <c r="O3657">
        <v>500000</v>
      </c>
      <c r="P3657">
        <v>5811.6621826015762</v>
      </c>
      <c r="Q3657">
        <v>5000</v>
      </c>
      <c r="R3657">
        <v>300</v>
      </c>
      <c r="S3657">
        <v>40000</v>
      </c>
      <c r="T3657">
        <v>5393.8013120957103</v>
      </c>
      <c r="U3657">
        <v>5000</v>
      </c>
      <c r="V3657">
        <v>2000</v>
      </c>
      <c r="W3657">
        <v>23000</v>
      </c>
      <c r="X3657">
        <v>6740.6875195984258</v>
      </c>
      <c r="Y3657">
        <v>5600</v>
      </c>
      <c r="Z3657">
        <v>2300</v>
      </c>
      <c r="AA3657">
        <v>30000</v>
      </c>
      <c r="AB3657">
        <v>4132.2045837251189</v>
      </c>
      <c r="AC3657">
        <v>2300</v>
      </c>
      <c r="AD3657">
        <v>245</v>
      </c>
      <c r="AE3657">
        <v>340000</v>
      </c>
      <c r="AF3657">
        <v>6226.5985992729366</v>
      </c>
      <c r="AG3657">
        <v>6000</v>
      </c>
      <c r="AH3657">
        <v>290</v>
      </c>
      <c r="AI3657">
        <v>55000</v>
      </c>
      <c r="AJ3657">
        <v>8210.3761335685285</v>
      </c>
      <c r="AK3657">
        <v>6000</v>
      </c>
      <c r="AL3657">
        <v>1000</v>
      </c>
      <c r="AM3657">
        <v>60000</v>
      </c>
      <c r="AN3657">
        <v>8092.5418049963882</v>
      </c>
      <c r="AO3657">
        <v>3200</v>
      </c>
      <c r="AP3657">
        <v>200</v>
      </c>
      <c r="AQ3657">
        <v>80000</v>
      </c>
      <c r="AR3657">
        <v>11885.691398104111</v>
      </c>
      <c r="AS3657">
        <v>5000</v>
      </c>
      <c r="AT3657">
        <v>200</v>
      </c>
      <c r="AU3657">
        <v>150000</v>
      </c>
      <c r="AV3657">
        <v>3938.0192406278802</v>
      </c>
      <c r="AW3657">
        <v>3000</v>
      </c>
      <c r="AX3657">
        <v>1500</v>
      </c>
      <c r="AY3657">
        <v>25000</v>
      </c>
      <c r="AZ3657">
        <v>16455.56428890652</v>
      </c>
      <c r="BA3657">
        <v>9000</v>
      </c>
      <c r="BB3657">
        <v>500</v>
      </c>
      <c r="BC3657">
        <v>70000</v>
      </c>
      <c r="BD3657">
        <v>1336</v>
      </c>
    </row>
    <row r="3659" spans="1:56" ht="45">
      <c r="A3659" s="22" t="s">
        <v>943</v>
      </c>
    </row>
    <row r="3660" spans="1:56">
      <c r="A3660" t="s">
        <v>184</v>
      </c>
      <c r="B3660" t="s">
        <v>185</v>
      </c>
      <c r="C3660" t="s">
        <v>186</v>
      </c>
      <c r="D3660" t="s">
        <v>890</v>
      </c>
      <c r="E3660" t="s">
        <v>891</v>
      </c>
      <c r="F3660" t="s">
        <v>892</v>
      </c>
      <c r="G3660" t="s">
        <v>893</v>
      </c>
      <c r="H3660" t="s">
        <v>894</v>
      </c>
      <c r="I3660" t="s">
        <v>895</v>
      </c>
      <c r="J3660" t="s">
        <v>896</v>
      </c>
      <c r="K3660" t="s">
        <v>897</v>
      </c>
      <c r="L3660" t="s">
        <v>898</v>
      </c>
      <c r="M3660" t="s">
        <v>899</v>
      </c>
      <c r="N3660" t="s">
        <v>900</v>
      </c>
      <c r="O3660" t="s">
        <v>901</v>
      </c>
      <c r="P3660" t="s">
        <v>902</v>
      </c>
      <c r="Q3660" t="s">
        <v>903</v>
      </c>
      <c r="R3660" t="s">
        <v>904</v>
      </c>
      <c r="S3660" t="s">
        <v>905</v>
      </c>
      <c r="T3660" t="s">
        <v>906</v>
      </c>
      <c r="U3660" t="s">
        <v>907</v>
      </c>
      <c r="V3660" t="s">
        <v>908</v>
      </c>
      <c r="W3660" t="s">
        <v>909</v>
      </c>
      <c r="X3660" t="s">
        <v>910</v>
      </c>
      <c r="Y3660" t="s">
        <v>911</v>
      </c>
      <c r="Z3660" t="s">
        <v>912</v>
      </c>
      <c r="AA3660" t="s">
        <v>913</v>
      </c>
      <c r="AB3660" t="s">
        <v>914</v>
      </c>
      <c r="AC3660" t="s">
        <v>915</v>
      </c>
      <c r="AD3660" t="s">
        <v>916</v>
      </c>
      <c r="AE3660" t="s">
        <v>917</v>
      </c>
      <c r="AF3660" t="s">
        <v>918</v>
      </c>
      <c r="AG3660" t="s">
        <v>919</v>
      </c>
      <c r="AH3660" t="s">
        <v>920</v>
      </c>
      <c r="AI3660" t="s">
        <v>921</v>
      </c>
      <c r="AJ3660" t="s">
        <v>922</v>
      </c>
      <c r="AK3660" t="s">
        <v>923</v>
      </c>
      <c r="AL3660" t="s">
        <v>924</v>
      </c>
      <c r="AM3660" t="s">
        <v>925</v>
      </c>
      <c r="AN3660" t="s">
        <v>926</v>
      </c>
      <c r="AO3660" t="s">
        <v>927</v>
      </c>
      <c r="AP3660" t="s">
        <v>928</v>
      </c>
      <c r="AQ3660" t="s">
        <v>929</v>
      </c>
      <c r="AR3660" t="s">
        <v>930</v>
      </c>
      <c r="AS3660" t="s">
        <v>931</v>
      </c>
      <c r="AT3660" t="s">
        <v>932</v>
      </c>
      <c r="AU3660" t="s">
        <v>933</v>
      </c>
      <c r="AV3660" t="s">
        <v>934</v>
      </c>
      <c r="AW3660" t="s">
        <v>935</v>
      </c>
      <c r="AX3660" t="s">
        <v>936</v>
      </c>
      <c r="AY3660" t="s">
        <v>937</v>
      </c>
      <c r="AZ3660" t="s">
        <v>938</v>
      </c>
      <c r="BA3660" t="s">
        <v>939</v>
      </c>
      <c r="BB3660" t="s">
        <v>940</v>
      </c>
      <c r="BC3660" t="s">
        <v>941</v>
      </c>
      <c r="BD3660" t="s">
        <v>193</v>
      </c>
    </row>
    <row r="3661" spans="1:56">
      <c r="A3661" t="s">
        <v>194</v>
      </c>
      <c r="B3661" t="s">
        <v>195</v>
      </c>
      <c r="C3661" t="s">
        <v>207</v>
      </c>
      <c r="D3661">
        <v>20459.325017330379</v>
      </c>
      <c r="E3661">
        <v>15000</v>
      </c>
      <c r="F3661">
        <v>1600</v>
      </c>
      <c r="G3661">
        <v>100000</v>
      </c>
      <c r="H3661">
        <v>8451.6288811833783</v>
      </c>
      <c r="I3661">
        <v>6000</v>
      </c>
      <c r="J3661">
        <v>300</v>
      </c>
      <c r="K3661">
        <v>35000</v>
      </c>
      <c r="L3661">
        <v>32784.752857046013</v>
      </c>
      <c r="M3661">
        <v>50000</v>
      </c>
      <c r="N3661">
        <v>8000</v>
      </c>
      <c r="O3661">
        <v>50000</v>
      </c>
      <c r="P3661">
        <v>6922.6038404059454</v>
      </c>
      <c r="Q3661">
        <v>6000</v>
      </c>
      <c r="R3661">
        <v>5000</v>
      </c>
      <c r="S3661">
        <v>15000</v>
      </c>
      <c r="T3661">
        <v>4957.2424646138552</v>
      </c>
      <c r="U3661">
        <v>4000</v>
      </c>
      <c r="V3661">
        <v>2000</v>
      </c>
      <c r="W3661">
        <v>23000</v>
      </c>
      <c r="X3661">
        <v>6820.7068101681434</v>
      </c>
      <c r="Y3661">
        <v>6500</v>
      </c>
      <c r="Z3661">
        <v>2300</v>
      </c>
      <c r="AA3661">
        <v>21500</v>
      </c>
      <c r="AB3661">
        <v>7175.9387245641137</v>
      </c>
      <c r="AC3661">
        <v>3000</v>
      </c>
      <c r="AD3661">
        <v>500</v>
      </c>
      <c r="AE3661">
        <v>340000</v>
      </c>
      <c r="AF3661">
        <v>375</v>
      </c>
      <c r="AG3661">
        <v>375</v>
      </c>
      <c r="AH3661">
        <v>375</v>
      </c>
      <c r="AI3661">
        <v>375</v>
      </c>
      <c r="AJ3661">
        <v>7410.6420238647106</v>
      </c>
      <c r="AK3661">
        <v>8000</v>
      </c>
      <c r="AL3661">
        <v>2000</v>
      </c>
      <c r="AM3661">
        <v>17000</v>
      </c>
      <c r="AN3661">
        <v>6725.7422668550435</v>
      </c>
      <c r="AO3661">
        <v>4500</v>
      </c>
      <c r="AP3661">
        <v>1000</v>
      </c>
      <c r="AQ3661">
        <v>73000</v>
      </c>
      <c r="AR3661">
        <v>9918.7064060566991</v>
      </c>
      <c r="AS3661">
        <v>6000</v>
      </c>
      <c r="AT3661">
        <v>1000</v>
      </c>
      <c r="AU3661">
        <v>50000</v>
      </c>
      <c r="AV3661">
        <v>2650.3920693527248</v>
      </c>
      <c r="AW3661">
        <v>3000</v>
      </c>
      <c r="AX3661">
        <v>1500</v>
      </c>
      <c r="AY3661">
        <v>3000</v>
      </c>
      <c r="AZ3661">
        <v>10000</v>
      </c>
      <c r="BA3661">
        <v>10000</v>
      </c>
      <c r="BB3661">
        <v>10000</v>
      </c>
      <c r="BC3661">
        <v>10000</v>
      </c>
      <c r="BD3661">
        <v>1336</v>
      </c>
    </row>
    <row r="3662" spans="1:56">
      <c r="A3662" t="s">
        <v>194</v>
      </c>
      <c r="B3662" t="s">
        <v>195</v>
      </c>
      <c r="C3662" t="s">
        <v>209</v>
      </c>
      <c r="D3662">
        <v>23063.245631603251</v>
      </c>
      <c r="E3662">
        <v>20000</v>
      </c>
      <c r="F3662">
        <v>1600</v>
      </c>
      <c r="G3662">
        <v>100000</v>
      </c>
      <c r="H3662">
        <v>11658.24055227544</v>
      </c>
      <c r="I3662">
        <v>8000</v>
      </c>
      <c r="J3662">
        <v>200</v>
      </c>
      <c r="K3662">
        <v>45000</v>
      </c>
      <c r="L3662">
        <v>24511.198843832859</v>
      </c>
      <c r="M3662">
        <v>22000</v>
      </c>
      <c r="N3662">
        <v>3000</v>
      </c>
      <c r="O3662">
        <v>60000</v>
      </c>
      <c r="P3662">
        <v>4222.7082153304427</v>
      </c>
      <c r="Q3662">
        <v>3000</v>
      </c>
      <c r="R3662">
        <v>500</v>
      </c>
      <c r="S3662">
        <v>15000</v>
      </c>
      <c r="T3662">
        <v>5625.6318683901882</v>
      </c>
      <c r="U3662">
        <v>5000</v>
      </c>
      <c r="V3662">
        <v>2000</v>
      </c>
      <c r="W3662">
        <v>21000</v>
      </c>
      <c r="X3662">
        <v>6822.9149289718316</v>
      </c>
      <c r="Y3662">
        <v>5600</v>
      </c>
      <c r="Z3662">
        <v>2300</v>
      </c>
      <c r="AA3662">
        <v>30000</v>
      </c>
      <c r="AB3662">
        <v>4320.184096820758</v>
      </c>
      <c r="AC3662">
        <v>2500</v>
      </c>
      <c r="AD3662">
        <v>300</v>
      </c>
      <c r="AE3662">
        <v>28000</v>
      </c>
      <c r="AF3662">
        <v>3897.2582006006369</v>
      </c>
      <c r="AG3662">
        <v>5000</v>
      </c>
      <c r="AH3662">
        <v>1500</v>
      </c>
      <c r="AI3662">
        <v>5000</v>
      </c>
      <c r="AJ3662">
        <v>6898.4345370453348</v>
      </c>
      <c r="AK3662">
        <v>3000</v>
      </c>
      <c r="AL3662">
        <v>1000</v>
      </c>
      <c r="AM3662">
        <v>40000</v>
      </c>
      <c r="AN3662">
        <v>7982.8018872789871</v>
      </c>
      <c r="AO3662">
        <v>3000</v>
      </c>
      <c r="AP3662">
        <v>300</v>
      </c>
      <c r="AQ3662">
        <v>42000</v>
      </c>
      <c r="AR3662">
        <v>17330.846531387011</v>
      </c>
      <c r="AS3662">
        <v>7000</v>
      </c>
      <c r="AT3662">
        <v>200</v>
      </c>
      <c r="AU3662">
        <v>150000</v>
      </c>
      <c r="AV3662">
        <v>4519.5252442175733</v>
      </c>
      <c r="AW3662">
        <v>4000</v>
      </c>
      <c r="AX3662">
        <v>4000</v>
      </c>
      <c r="AY3662">
        <v>6600</v>
      </c>
      <c r="AZ3662">
        <v>24034.70203047794</v>
      </c>
      <c r="BA3662">
        <v>9900</v>
      </c>
      <c r="BB3662">
        <v>1400</v>
      </c>
      <c r="BC3662">
        <v>50000</v>
      </c>
      <c r="BD3662">
        <v>1336</v>
      </c>
    </row>
    <row r="3663" spans="1:56">
      <c r="A3663" t="s">
        <v>194</v>
      </c>
      <c r="B3663" t="s">
        <v>199</v>
      </c>
      <c r="C3663" t="s">
        <v>207</v>
      </c>
      <c r="D3663">
        <v>30249.504570904999</v>
      </c>
      <c r="E3663">
        <v>21000</v>
      </c>
      <c r="F3663">
        <v>2700</v>
      </c>
      <c r="G3663">
        <v>167000</v>
      </c>
      <c r="H3663">
        <v>12741.331426436849</v>
      </c>
      <c r="I3663">
        <v>9000</v>
      </c>
      <c r="J3663">
        <v>500</v>
      </c>
      <c r="K3663">
        <v>40000</v>
      </c>
      <c r="L3663">
        <v>64652.376626144702</v>
      </c>
      <c r="M3663">
        <v>40000</v>
      </c>
      <c r="N3663">
        <v>2700</v>
      </c>
      <c r="O3663">
        <v>200000</v>
      </c>
      <c r="P3663">
        <v>5350.0271991345107</v>
      </c>
      <c r="Q3663">
        <v>4000</v>
      </c>
      <c r="R3663">
        <v>2000</v>
      </c>
      <c r="S3663">
        <v>20000</v>
      </c>
      <c r="T3663">
        <v>4760.0127721479157</v>
      </c>
      <c r="U3663">
        <v>4000</v>
      </c>
      <c r="V3663">
        <v>2000</v>
      </c>
      <c r="W3663">
        <v>10000</v>
      </c>
      <c r="X3663">
        <v>6296.1791376740384</v>
      </c>
      <c r="Y3663">
        <v>5200</v>
      </c>
      <c r="Z3663">
        <v>2300</v>
      </c>
      <c r="AA3663">
        <v>20000</v>
      </c>
      <c r="AB3663">
        <v>4699.7258991057852</v>
      </c>
      <c r="AC3663">
        <v>2700</v>
      </c>
      <c r="AD3663">
        <v>860</v>
      </c>
      <c r="AE3663">
        <v>22000</v>
      </c>
      <c r="AF3663">
        <v>4340.5676498419007</v>
      </c>
      <c r="AG3663">
        <v>5000</v>
      </c>
      <c r="AH3663">
        <v>500</v>
      </c>
      <c r="AI3663">
        <v>12000</v>
      </c>
      <c r="AJ3663">
        <v>9691.0930115469855</v>
      </c>
      <c r="AK3663">
        <v>20000</v>
      </c>
      <c r="AL3663">
        <v>1500</v>
      </c>
      <c r="AM3663">
        <v>20000</v>
      </c>
      <c r="AN3663">
        <v>3560.1176188151449</v>
      </c>
      <c r="AO3663">
        <v>2000</v>
      </c>
      <c r="AP3663">
        <v>200</v>
      </c>
      <c r="AQ3663">
        <v>21600</v>
      </c>
      <c r="AR3663">
        <v>3418.9303283247018</v>
      </c>
      <c r="AS3663">
        <v>2000</v>
      </c>
      <c r="AT3663">
        <v>500</v>
      </c>
      <c r="AU3663">
        <v>20000</v>
      </c>
      <c r="AV3663">
        <v>13227.14611315918</v>
      </c>
      <c r="AW3663">
        <v>3000</v>
      </c>
      <c r="AX3663">
        <v>3000</v>
      </c>
      <c r="AY3663">
        <v>25000</v>
      </c>
      <c r="AZ3663">
        <v>15378.39673689998</v>
      </c>
      <c r="BA3663">
        <v>70000</v>
      </c>
      <c r="BB3663">
        <v>2000</v>
      </c>
      <c r="BC3663">
        <v>70000</v>
      </c>
      <c r="BD3663">
        <v>1336</v>
      </c>
    </row>
    <row r="3664" spans="1:56">
      <c r="A3664" t="s">
        <v>194</v>
      </c>
      <c r="B3664" t="s">
        <v>199</v>
      </c>
      <c r="C3664" t="s">
        <v>209</v>
      </c>
      <c r="D3664">
        <v>31534.09565789083</v>
      </c>
      <c r="E3664">
        <v>25000</v>
      </c>
      <c r="F3664">
        <v>1600</v>
      </c>
      <c r="G3664">
        <v>250000</v>
      </c>
      <c r="H3664">
        <v>14346.428963097111</v>
      </c>
      <c r="I3664">
        <v>11000</v>
      </c>
      <c r="J3664">
        <v>500</v>
      </c>
      <c r="K3664">
        <v>80000</v>
      </c>
      <c r="L3664">
        <v>64291.598778660293</v>
      </c>
      <c r="M3664">
        <v>40000</v>
      </c>
      <c r="N3664">
        <v>1000</v>
      </c>
      <c r="O3664">
        <v>500000</v>
      </c>
      <c r="P3664">
        <v>6842.0576544488313</v>
      </c>
      <c r="Q3664">
        <v>6000</v>
      </c>
      <c r="R3664">
        <v>300</v>
      </c>
      <c r="S3664">
        <v>40000</v>
      </c>
      <c r="T3664">
        <v>5025.8386976166948</v>
      </c>
      <c r="U3664">
        <v>4000</v>
      </c>
      <c r="V3664">
        <v>2000</v>
      </c>
      <c r="W3664">
        <v>20000</v>
      </c>
      <c r="X3664">
        <v>6788.1837899322627</v>
      </c>
      <c r="Y3664">
        <v>5500</v>
      </c>
      <c r="Z3664">
        <v>2300</v>
      </c>
      <c r="AA3664">
        <v>30000</v>
      </c>
      <c r="AB3664">
        <v>2514.8712849881049</v>
      </c>
      <c r="AC3664">
        <v>860</v>
      </c>
      <c r="AD3664">
        <v>245</v>
      </c>
      <c r="AE3664">
        <v>40000</v>
      </c>
      <c r="AF3664">
        <v>6806.7204398200283</v>
      </c>
      <c r="AG3664">
        <v>7000</v>
      </c>
      <c r="AH3664">
        <v>290</v>
      </c>
      <c r="AI3664">
        <v>55000</v>
      </c>
      <c r="AJ3664">
        <v>8958.1755179888751</v>
      </c>
      <c r="AK3664">
        <v>7000</v>
      </c>
      <c r="AL3664">
        <v>1000</v>
      </c>
      <c r="AM3664">
        <v>60000</v>
      </c>
      <c r="AN3664">
        <v>10449.368818867461</v>
      </c>
      <c r="AO3664">
        <v>10500</v>
      </c>
      <c r="AP3664">
        <v>350</v>
      </c>
      <c r="AQ3664">
        <v>80000</v>
      </c>
      <c r="AR3664">
        <v>9785.8476917429598</v>
      </c>
      <c r="AS3664">
        <v>5000</v>
      </c>
      <c r="AT3664">
        <v>1000</v>
      </c>
      <c r="AU3664">
        <v>100000</v>
      </c>
      <c r="AV3664">
        <v>6991.2746204533341</v>
      </c>
      <c r="AW3664">
        <v>7200</v>
      </c>
      <c r="AX3664">
        <v>5000</v>
      </c>
      <c r="AY3664">
        <v>7200</v>
      </c>
      <c r="AZ3664">
        <v>10496.267242653879</v>
      </c>
      <c r="BA3664">
        <v>4000</v>
      </c>
      <c r="BB3664">
        <v>500</v>
      </c>
      <c r="BC3664">
        <v>70000</v>
      </c>
      <c r="BD3664">
        <v>1336</v>
      </c>
    </row>
    <row r="3665" spans="1:56">
      <c r="A3665" t="s">
        <v>200</v>
      </c>
      <c r="B3665" t="s">
        <v>200</v>
      </c>
      <c r="C3665" t="s">
        <v>200</v>
      </c>
      <c r="D3665">
        <v>28127.024656758251</v>
      </c>
      <c r="E3665">
        <v>24000</v>
      </c>
      <c r="F3665">
        <v>1600</v>
      </c>
      <c r="G3665">
        <v>250000</v>
      </c>
      <c r="H3665">
        <v>12659.14791022075</v>
      </c>
      <c r="I3665">
        <v>10000</v>
      </c>
      <c r="J3665">
        <v>200</v>
      </c>
      <c r="K3665">
        <v>80000</v>
      </c>
      <c r="L3665">
        <v>56801.604419660587</v>
      </c>
      <c r="M3665">
        <v>40000</v>
      </c>
      <c r="N3665">
        <v>1000</v>
      </c>
      <c r="O3665">
        <v>500000</v>
      </c>
      <c r="P3665">
        <v>5811.6621826015762</v>
      </c>
      <c r="Q3665">
        <v>5000</v>
      </c>
      <c r="R3665">
        <v>300</v>
      </c>
      <c r="S3665">
        <v>40000</v>
      </c>
      <c r="T3665">
        <v>5393.8013120957103</v>
      </c>
      <c r="U3665">
        <v>5000</v>
      </c>
      <c r="V3665">
        <v>2000</v>
      </c>
      <c r="W3665">
        <v>23000</v>
      </c>
      <c r="X3665">
        <v>6740.6875195984258</v>
      </c>
      <c r="Y3665">
        <v>5600</v>
      </c>
      <c r="Z3665">
        <v>2300</v>
      </c>
      <c r="AA3665">
        <v>30000</v>
      </c>
      <c r="AB3665">
        <v>4132.2045837251189</v>
      </c>
      <c r="AC3665">
        <v>2300</v>
      </c>
      <c r="AD3665">
        <v>245</v>
      </c>
      <c r="AE3665">
        <v>340000</v>
      </c>
      <c r="AF3665">
        <v>6226.5985992729366</v>
      </c>
      <c r="AG3665">
        <v>6000</v>
      </c>
      <c r="AH3665">
        <v>290</v>
      </c>
      <c r="AI3665">
        <v>55000</v>
      </c>
      <c r="AJ3665">
        <v>8210.3761335685285</v>
      </c>
      <c r="AK3665">
        <v>6000</v>
      </c>
      <c r="AL3665">
        <v>1000</v>
      </c>
      <c r="AM3665">
        <v>60000</v>
      </c>
      <c r="AN3665">
        <v>8092.5418049963882</v>
      </c>
      <c r="AO3665">
        <v>3200</v>
      </c>
      <c r="AP3665">
        <v>200</v>
      </c>
      <c r="AQ3665">
        <v>80000</v>
      </c>
      <c r="AR3665">
        <v>11885.691398104111</v>
      </c>
      <c r="AS3665">
        <v>5000</v>
      </c>
      <c r="AT3665">
        <v>200</v>
      </c>
      <c r="AU3665">
        <v>150000</v>
      </c>
      <c r="AV3665">
        <v>3938.0192406278802</v>
      </c>
      <c r="AW3665">
        <v>3000</v>
      </c>
      <c r="AX3665">
        <v>1500</v>
      </c>
      <c r="AY3665">
        <v>25000</v>
      </c>
      <c r="AZ3665">
        <v>16455.56428890652</v>
      </c>
      <c r="BA3665">
        <v>9000</v>
      </c>
      <c r="BB3665">
        <v>500</v>
      </c>
      <c r="BC3665">
        <v>70000</v>
      </c>
      <c r="BD3665">
        <v>1336</v>
      </c>
    </row>
    <row r="3667" spans="1:56" ht="45">
      <c r="A3667" s="22" t="s">
        <v>944</v>
      </c>
    </row>
    <row r="3668" spans="1:56">
      <c r="A3668" t="s">
        <v>184</v>
      </c>
      <c r="B3668" t="s">
        <v>185</v>
      </c>
      <c r="C3668" t="s">
        <v>890</v>
      </c>
      <c r="D3668" t="s">
        <v>891</v>
      </c>
      <c r="E3668" t="s">
        <v>892</v>
      </c>
      <c r="F3668" t="s">
        <v>893</v>
      </c>
      <c r="G3668" t="s">
        <v>894</v>
      </c>
      <c r="H3668" t="s">
        <v>895</v>
      </c>
      <c r="I3668" t="s">
        <v>896</v>
      </c>
      <c r="J3668" t="s">
        <v>897</v>
      </c>
      <c r="K3668" t="s">
        <v>898</v>
      </c>
      <c r="L3668" t="s">
        <v>899</v>
      </c>
      <c r="M3668" t="s">
        <v>900</v>
      </c>
      <c r="N3668" t="s">
        <v>901</v>
      </c>
      <c r="O3668" t="s">
        <v>902</v>
      </c>
      <c r="P3668" t="s">
        <v>903</v>
      </c>
      <c r="Q3668" t="s">
        <v>904</v>
      </c>
      <c r="R3668" t="s">
        <v>905</v>
      </c>
      <c r="S3668" t="s">
        <v>906</v>
      </c>
      <c r="T3668" t="s">
        <v>907</v>
      </c>
      <c r="U3668" t="s">
        <v>908</v>
      </c>
      <c r="V3668" t="s">
        <v>909</v>
      </c>
      <c r="W3668" t="s">
        <v>910</v>
      </c>
      <c r="X3668" t="s">
        <v>911</v>
      </c>
      <c r="Y3668" t="s">
        <v>912</v>
      </c>
      <c r="Z3668" t="s">
        <v>913</v>
      </c>
      <c r="AA3668" t="s">
        <v>914</v>
      </c>
      <c r="AB3668" t="s">
        <v>915</v>
      </c>
      <c r="AC3668" t="s">
        <v>916</v>
      </c>
      <c r="AD3668" t="s">
        <v>917</v>
      </c>
      <c r="AE3668" t="s">
        <v>918</v>
      </c>
      <c r="AF3668" t="s">
        <v>919</v>
      </c>
      <c r="AG3668" t="s">
        <v>920</v>
      </c>
      <c r="AH3668" t="s">
        <v>921</v>
      </c>
      <c r="AI3668" t="s">
        <v>922</v>
      </c>
      <c r="AJ3668" t="s">
        <v>923</v>
      </c>
      <c r="AK3668" t="s">
        <v>924</v>
      </c>
      <c r="AL3668" t="s">
        <v>925</v>
      </c>
      <c r="AM3668" t="s">
        <v>926</v>
      </c>
      <c r="AN3668" t="s">
        <v>927</v>
      </c>
      <c r="AO3668" t="s">
        <v>928</v>
      </c>
      <c r="AP3668" t="s">
        <v>929</v>
      </c>
      <c r="AQ3668" t="s">
        <v>930</v>
      </c>
      <c r="AR3668" t="s">
        <v>931</v>
      </c>
      <c r="AS3668" t="s">
        <v>932</v>
      </c>
      <c r="AT3668" t="s">
        <v>933</v>
      </c>
      <c r="AU3668" t="s">
        <v>934</v>
      </c>
      <c r="AV3668" t="s">
        <v>935</v>
      </c>
      <c r="AW3668" t="s">
        <v>936</v>
      </c>
      <c r="AX3668" t="s">
        <v>937</v>
      </c>
      <c r="AY3668" t="s">
        <v>938</v>
      </c>
      <c r="AZ3668" t="s">
        <v>939</v>
      </c>
      <c r="BA3668" t="s">
        <v>940</v>
      </c>
      <c r="BB3668" t="s">
        <v>941</v>
      </c>
      <c r="BC3668" t="s">
        <v>193</v>
      </c>
    </row>
    <row r="3669" spans="1:56">
      <c r="A3669" t="s">
        <v>194</v>
      </c>
      <c r="B3669" t="s">
        <v>195</v>
      </c>
      <c r="C3669">
        <v>22554.133900985049</v>
      </c>
      <c r="D3669">
        <v>20000</v>
      </c>
      <c r="E3669">
        <v>1600</v>
      </c>
      <c r="F3669">
        <v>100000</v>
      </c>
      <c r="G3669">
        <v>11229.44975449766</v>
      </c>
      <c r="H3669">
        <v>8000</v>
      </c>
      <c r="I3669">
        <v>200</v>
      </c>
      <c r="J3669">
        <v>45000</v>
      </c>
      <c r="K3669">
        <v>26412.979412110129</v>
      </c>
      <c r="L3669">
        <v>30000</v>
      </c>
      <c r="M3669">
        <v>3000</v>
      </c>
      <c r="N3669">
        <v>60000</v>
      </c>
      <c r="O3669">
        <v>4625.4570509964578</v>
      </c>
      <c r="P3669">
        <v>4000</v>
      </c>
      <c r="Q3669">
        <v>500</v>
      </c>
      <c r="R3669">
        <v>15000</v>
      </c>
      <c r="S3669">
        <v>5424.1142795006854</v>
      </c>
      <c r="T3669">
        <v>5000</v>
      </c>
      <c r="U3669">
        <v>2000</v>
      </c>
      <c r="V3669">
        <v>23000</v>
      </c>
      <c r="W3669">
        <v>6821.9244012285462</v>
      </c>
      <c r="X3669">
        <v>5800</v>
      </c>
      <c r="Y3669">
        <v>2300</v>
      </c>
      <c r="Z3669">
        <v>30000</v>
      </c>
      <c r="AA3669">
        <v>5377.7210831748926</v>
      </c>
      <c r="AB3669">
        <v>2900</v>
      </c>
      <c r="AC3669">
        <v>300</v>
      </c>
      <c r="AD3669">
        <v>340000</v>
      </c>
      <c r="AE3669">
        <v>536.99871313655649</v>
      </c>
      <c r="AF3669">
        <v>1500</v>
      </c>
      <c r="AG3669">
        <v>375</v>
      </c>
      <c r="AH3669">
        <v>5000</v>
      </c>
      <c r="AI3669">
        <v>7024.9659179127848</v>
      </c>
      <c r="AJ3669">
        <v>4000</v>
      </c>
      <c r="AK3669">
        <v>1000</v>
      </c>
      <c r="AL3669">
        <v>40000</v>
      </c>
      <c r="AM3669">
        <v>7905.1117005710403</v>
      </c>
      <c r="AN3669">
        <v>3000</v>
      </c>
      <c r="AO3669">
        <v>300</v>
      </c>
      <c r="AP3669">
        <v>73000</v>
      </c>
      <c r="AQ3669">
        <v>16026.270944676149</v>
      </c>
      <c r="AR3669">
        <v>6000</v>
      </c>
      <c r="AS3669">
        <v>200</v>
      </c>
      <c r="AT3669">
        <v>150000</v>
      </c>
      <c r="AU3669">
        <v>2876.9006783608279</v>
      </c>
      <c r="AV3669">
        <v>4000</v>
      </c>
      <c r="AW3669">
        <v>1500</v>
      </c>
      <c r="AX3669">
        <v>6600</v>
      </c>
      <c r="AY3669">
        <v>23015.664130015772</v>
      </c>
      <c r="AZ3669">
        <v>10000</v>
      </c>
      <c r="BA3669">
        <v>1400</v>
      </c>
      <c r="BB3669">
        <v>50000</v>
      </c>
      <c r="BC3669">
        <v>1336</v>
      </c>
    </row>
    <row r="3670" spans="1:56">
      <c r="A3670" t="s">
        <v>194</v>
      </c>
      <c r="B3670" t="s">
        <v>199</v>
      </c>
      <c r="C3670">
        <v>31370.780404528719</v>
      </c>
      <c r="D3670">
        <v>25000</v>
      </c>
      <c r="E3670">
        <v>1600</v>
      </c>
      <c r="F3670">
        <v>250000</v>
      </c>
      <c r="G3670">
        <v>14201.562149078991</v>
      </c>
      <c r="H3670">
        <v>10000</v>
      </c>
      <c r="I3670">
        <v>500</v>
      </c>
      <c r="J3670">
        <v>80000</v>
      </c>
      <c r="K3670">
        <v>64359.011614437048</v>
      </c>
      <c r="L3670">
        <v>40000</v>
      </c>
      <c r="M3670">
        <v>1000</v>
      </c>
      <c r="N3670">
        <v>500000</v>
      </c>
      <c r="O3670">
        <v>6788.5896887720219</v>
      </c>
      <c r="P3670">
        <v>6000</v>
      </c>
      <c r="Q3670">
        <v>300</v>
      </c>
      <c r="R3670">
        <v>40000</v>
      </c>
      <c r="S3670">
        <v>4919.7295906399304</v>
      </c>
      <c r="T3670">
        <v>4000</v>
      </c>
      <c r="U3670">
        <v>2000</v>
      </c>
      <c r="V3670">
        <v>20000</v>
      </c>
      <c r="W3670">
        <v>6654.7679832064432</v>
      </c>
      <c r="X3670">
        <v>5500</v>
      </c>
      <c r="Y3670">
        <v>2300</v>
      </c>
      <c r="Z3670">
        <v>30000</v>
      </c>
      <c r="AA3670">
        <v>2811.4262050362299</v>
      </c>
      <c r="AB3670">
        <v>1500</v>
      </c>
      <c r="AC3670">
        <v>245</v>
      </c>
      <c r="AD3670">
        <v>40000</v>
      </c>
      <c r="AE3670">
        <v>6735.5663800195034</v>
      </c>
      <c r="AF3670">
        <v>7000</v>
      </c>
      <c r="AG3670">
        <v>290</v>
      </c>
      <c r="AH3670">
        <v>55000</v>
      </c>
      <c r="AI3670">
        <v>9048.5322447025628</v>
      </c>
      <c r="AJ3670">
        <v>7000</v>
      </c>
      <c r="AK3670">
        <v>1000</v>
      </c>
      <c r="AL3670">
        <v>60000</v>
      </c>
      <c r="AM3670">
        <v>8663.294819081877</v>
      </c>
      <c r="AN3670">
        <v>6000</v>
      </c>
      <c r="AO3670">
        <v>200</v>
      </c>
      <c r="AP3670">
        <v>80000</v>
      </c>
      <c r="AQ3670">
        <v>8488.914930898105</v>
      </c>
      <c r="AR3670">
        <v>5000</v>
      </c>
      <c r="AS3670">
        <v>500</v>
      </c>
      <c r="AT3670">
        <v>100000</v>
      </c>
      <c r="AU3670">
        <v>11111.1740908786</v>
      </c>
      <c r="AV3670">
        <v>25000</v>
      </c>
      <c r="AW3670">
        <v>3000</v>
      </c>
      <c r="AX3670">
        <v>25000</v>
      </c>
      <c r="AY3670">
        <v>11631.245984834941</v>
      </c>
      <c r="AZ3670">
        <v>4500</v>
      </c>
      <c r="BA3670">
        <v>500</v>
      </c>
      <c r="BB3670">
        <v>70000</v>
      </c>
      <c r="BC3670">
        <v>1336</v>
      </c>
    </row>
    <row r="3671" spans="1:56">
      <c r="A3671" t="s">
        <v>200</v>
      </c>
      <c r="B3671" t="s">
        <v>200</v>
      </c>
      <c r="C3671">
        <v>28127.024656758251</v>
      </c>
      <c r="D3671">
        <v>24000</v>
      </c>
      <c r="E3671">
        <v>1600</v>
      </c>
      <c r="F3671">
        <v>250000</v>
      </c>
      <c r="G3671">
        <v>12659.14791022075</v>
      </c>
      <c r="H3671">
        <v>10000</v>
      </c>
      <c r="I3671">
        <v>200</v>
      </c>
      <c r="J3671">
        <v>80000</v>
      </c>
      <c r="K3671">
        <v>56801.604419660587</v>
      </c>
      <c r="L3671">
        <v>40000</v>
      </c>
      <c r="M3671">
        <v>1000</v>
      </c>
      <c r="N3671">
        <v>500000</v>
      </c>
      <c r="O3671">
        <v>5811.6621826015762</v>
      </c>
      <c r="P3671">
        <v>5000</v>
      </c>
      <c r="Q3671">
        <v>300</v>
      </c>
      <c r="R3671">
        <v>40000</v>
      </c>
      <c r="S3671">
        <v>5393.8013120957103</v>
      </c>
      <c r="T3671">
        <v>5000</v>
      </c>
      <c r="U3671">
        <v>2000</v>
      </c>
      <c r="V3671">
        <v>23000</v>
      </c>
      <c r="W3671">
        <v>6740.6875195984258</v>
      </c>
      <c r="X3671">
        <v>5600</v>
      </c>
      <c r="Y3671">
        <v>2300</v>
      </c>
      <c r="Z3671">
        <v>30000</v>
      </c>
      <c r="AA3671">
        <v>4132.2045837251189</v>
      </c>
      <c r="AB3671">
        <v>2300</v>
      </c>
      <c r="AC3671">
        <v>245</v>
      </c>
      <c r="AD3671">
        <v>340000</v>
      </c>
      <c r="AE3671">
        <v>6226.5985992729366</v>
      </c>
      <c r="AF3671">
        <v>6000</v>
      </c>
      <c r="AG3671">
        <v>290</v>
      </c>
      <c r="AH3671">
        <v>55000</v>
      </c>
      <c r="AI3671">
        <v>8210.3761335685285</v>
      </c>
      <c r="AJ3671">
        <v>6000</v>
      </c>
      <c r="AK3671">
        <v>1000</v>
      </c>
      <c r="AL3671">
        <v>60000</v>
      </c>
      <c r="AM3671">
        <v>8092.5418049963882</v>
      </c>
      <c r="AN3671">
        <v>3200</v>
      </c>
      <c r="AO3671">
        <v>200</v>
      </c>
      <c r="AP3671">
        <v>80000</v>
      </c>
      <c r="AQ3671">
        <v>11885.691398104111</v>
      </c>
      <c r="AR3671">
        <v>5000</v>
      </c>
      <c r="AS3671">
        <v>200</v>
      </c>
      <c r="AT3671">
        <v>150000</v>
      </c>
      <c r="AU3671">
        <v>3938.0192406278802</v>
      </c>
      <c r="AV3671">
        <v>3000</v>
      </c>
      <c r="AW3671">
        <v>1500</v>
      </c>
      <c r="AX3671">
        <v>25000</v>
      </c>
      <c r="AY3671">
        <v>16455.56428890652</v>
      </c>
      <c r="AZ3671">
        <v>9000</v>
      </c>
      <c r="BA3671">
        <v>500</v>
      </c>
      <c r="BB3671">
        <v>70000</v>
      </c>
      <c r="BC3671">
        <v>1336</v>
      </c>
    </row>
    <row r="3673" spans="1:56" ht="45">
      <c r="A3673" s="22" t="s">
        <v>945</v>
      </c>
    </row>
    <row r="3674" spans="1:56">
      <c r="A3674" t="s">
        <v>184</v>
      </c>
      <c r="B3674" t="s">
        <v>185</v>
      </c>
      <c r="C3674" t="s">
        <v>186</v>
      </c>
      <c r="D3674" t="s">
        <v>890</v>
      </c>
      <c r="E3674" t="s">
        <v>891</v>
      </c>
      <c r="F3674" t="s">
        <v>892</v>
      </c>
      <c r="G3674" t="s">
        <v>893</v>
      </c>
      <c r="H3674" t="s">
        <v>894</v>
      </c>
      <c r="I3674" t="s">
        <v>895</v>
      </c>
      <c r="J3674" t="s">
        <v>896</v>
      </c>
      <c r="K3674" t="s">
        <v>897</v>
      </c>
      <c r="L3674" t="s">
        <v>898</v>
      </c>
      <c r="M3674" t="s">
        <v>899</v>
      </c>
      <c r="N3674" t="s">
        <v>900</v>
      </c>
      <c r="O3674" t="s">
        <v>901</v>
      </c>
      <c r="P3674" t="s">
        <v>902</v>
      </c>
      <c r="Q3674" t="s">
        <v>903</v>
      </c>
      <c r="R3674" t="s">
        <v>904</v>
      </c>
      <c r="S3674" t="s">
        <v>905</v>
      </c>
      <c r="T3674" t="s">
        <v>906</v>
      </c>
      <c r="U3674" t="s">
        <v>907</v>
      </c>
      <c r="V3674" t="s">
        <v>908</v>
      </c>
      <c r="W3674" t="s">
        <v>909</v>
      </c>
      <c r="X3674" t="s">
        <v>910</v>
      </c>
      <c r="Y3674" t="s">
        <v>911</v>
      </c>
      <c r="Z3674" t="s">
        <v>912</v>
      </c>
      <c r="AA3674" t="s">
        <v>913</v>
      </c>
      <c r="AB3674" t="s">
        <v>914</v>
      </c>
      <c r="AC3674" t="s">
        <v>915</v>
      </c>
      <c r="AD3674" t="s">
        <v>916</v>
      </c>
      <c r="AE3674" t="s">
        <v>917</v>
      </c>
      <c r="AF3674" t="s">
        <v>918</v>
      </c>
      <c r="AG3674" t="s">
        <v>919</v>
      </c>
      <c r="AH3674" t="s">
        <v>920</v>
      </c>
      <c r="AI3674" t="s">
        <v>921</v>
      </c>
      <c r="AJ3674" t="s">
        <v>922</v>
      </c>
      <c r="AK3674" t="s">
        <v>923</v>
      </c>
      <c r="AL3674" t="s">
        <v>924</v>
      </c>
      <c r="AM3674" t="s">
        <v>925</v>
      </c>
      <c r="AN3674" t="s">
        <v>926</v>
      </c>
      <c r="AO3674" t="s">
        <v>927</v>
      </c>
      <c r="AP3674" t="s">
        <v>928</v>
      </c>
      <c r="AQ3674" t="s">
        <v>929</v>
      </c>
      <c r="AR3674" t="s">
        <v>930</v>
      </c>
      <c r="AS3674" t="s">
        <v>931</v>
      </c>
      <c r="AT3674" t="s">
        <v>932</v>
      </c>
      <c r="AU3674" t="s">
        <v>933</v>
      </c>
      <c r="AV3674" t="s">
        <v>934</v>
      </c>
      <c r="AW3674" t="s">
        <v>935</v>
      </c>
      <c r="AX3674" t="s">
        <v>936</v>
      </c>
      <c r="AY3674" t="s">
        <v>937</v>
      </c>
      <c r="AZ3674" t="s">
        <v>938</v>
      </c>
      <c r="BA3674" t="s">
        <v>939</v>
      </c>
      <c r="BB3674" t="s">
        <v>940</v>
      </c>
      <c r="BC3674" t="s">
        <v>941</v>
      </c>
      <c r="BD3674" t="s">
        <v>193</v>
      </c>
    </row>
    <row r="3675" spans="1:56">
      <c r="A3675" t="s">
        <v>194</v>
      </c>
      <c r="B3675" t="s">
        <v>195</v>
      </c>
      <c r="C3675" t="s">
        <v>212</v>
      </c>
      <c r="D3675">
        <v>22914.648587039421</v>
      </c>
      <c r="E3675">
        <v>20000</v>
      </c>
      <c r="F3675">
        <v>1600</v>
      </c>
      <c r="G3675">
        <v>100000</v>
      </c>
      <c r="H3675">
        <v>12253.49461607561</v>
      </c>
      <c r="I3675">
        <v>10000</v>
      </c>
      <c r="J3675">
        <v>200</v>
      </c>
      <c r="K3675">
        <v>40000</v>
      </c>
      <c r="L3675">
        <v>26365.916479368279</v>
      </c>
      <c r="M3675">
        <v>33000</v>
      </c>
      <c r="N3675">
        <v>3000</v>
      </c>
      <c r="O3675">
        <v>60000</v>
      </c>
      <c r="P3675">
        <v>4706.1378697929986</v>
      </c>
      <c r="Q3675">
        <v>5000</v>
      </c>
      <c r="R3675">
        <v>500</v>
      </c>
      <c r="S3675">
        <v>15000</v>
      </c>
      <c r="T3675">
        <v>5373.0689276230378</v>
      </c>
      <c r="U3675">
        <v>5000</v>
      </c>
      <c r="V3675">
        <v>2000</v>
      </c>
      <c r="W3675">
        <v>21000</v>
      </c>
      <c r="X3675">
        <v>7502.9726729079939</v>
      </c>
      <c r="Y3675">
        <v>6700</v>
      </c>
      <c r="Z3675">
        <v>2300</v>
      </c>
      <c r="AA3675">
        <v>30000</v>
      </c>
      <c r="AB3675">
        <v>5374.5345775505912</v>
      </c>
      <c r="AC3675">
        <v>2800</v>
      </c>
      <c r="AD3675">
        <v>340</v>
      </c>
      <c r="AE3675">
        <v>340000</v>
      </c>
      <c r="AF3675">
        <v>522.8387406751641</v>
      </c>
      <c r="AG3675">
        <v>375</v>
      </c>
      <c r="AH3675">
        <v>375</v>
      </c>
      <c r="AI3675">
        <v>5000</v>
      </c>
      <c r="AJ3675">
        <v>8489.1489518296567</v>
      </c>
      <c r="AK3675">
        <v>8000</v>
      </c>
      <c r="AL3675">
        <v>1000</v>
      </c>
      <c r="AM3675">
        <v>40000</v>
      </c>
      <c r="AN3675">
        <v>7497.2434909081076</v>
      </c>
      <c r="AO3675">
        <v>3600</v>
      </c>
      <c r="AP3675">
        <v>300</v>
      </c>
      <c r="AQ3675">
        <v>73000</v>
      </c>
      <c r="AR3675">
        <v>19966.07227702723</v>
      </c>
      <c r="AS3675">
        <v>8000</v>
      </c>
      <c r="AT3675">
        <v>700</v>
      </c>
      <c r="AU3675">
        <v>150000</v>
      </c>
      <c r="AV3675">
        <v>3155.6991548922629</v>
      </c>
      <c r="AW3675">
        <v>4000</v>
      </c>
      <c r="AX3675">
        <v>1500</v>
      </c>
      <c r="AY3675">
        <v>4000</v>
      </c>
      <c r="AZ3675">
        <v>26752.28421504674</v>
      </c>
      <c r="BA3675">
        <v>50000</v>
      </c>
      <c r="BB3675">
        <v>1400</v>
      </c>
      <c r="BC3675">
        <v>50000</v>
      </c>
      <c r="BD3675">
        <v>1336</v>
      </c>
    </row>
    <row r="3676" spans="1:56">
      <c r="A3676" t="s">
        <v>194</v>
      </c>
      <c r="B3676" t="s">
        <v>195</v>
      </c>
      <c r="C3676" t="s">
        <v>214</v>
      </c>
      <c r="D3676">
        <v>16870.46414340696</v>
      </c>
      <c r="E3676">
        <v>15000</v>
      </c>
      <c r="F3676">
        <v>1600</v>
      </c>
      <c r="G3676">
        <v>52000</v>
      </c>
      <c r="H3676">
        <v>6441.7445701956922</v>
      </c>
      <c r="I3676">
        <v>6100</v>
      </c>
      <c r="J3676">
        <v>1000</v>
      </c>
      <c r="K3676">
        <v>37000</v>
      </c>
      <c r="L3676">
        <v>32461.724838016009</v>
      </c>
      <c r="M3676">
        <v>50000</v>
      </c>
      <c r="N3676">
        <v>15000</v>
      </c>
      <c r="O3676">
        <v>50000</v>
      </c>
      <c r="P3676">
        <v>13000</v>
      </c>
      <c r="Q3676">
        <v>13000</v>
      </c>
      <c r="R3676">
        <v>13000</v>
      </c>
      <c r="S3676">
        <v>13000</v>
      </c>
      <c r="T3676">
        <v>2077.3234357582542</v>
      </c>
      <c r="U3676">
        <v>2000</v>
      </c>
      <c r="V3676">
        <v>2000</v>
      </c>
      <c r="W3676">
        <v>6000</v>
      </c>
      <c r="X3676">
        <v>5247.4600106067128</v>
      </c>
      <c r="Y3676">
        <v>4000</v>
      </c>
      <c r="Z3676">
        <v>2300</v>
      </c>
      <c r="AA3676">
        <v>20000</v>
      </c>
      <c r="AB3676">
        <v>3390.2644142339232</v>
      </c>
      <c r="AC3676">
        <v>2000</v>
      </c>
      <c r="AD3676">
        <v>300</v>
      </c>
      <c r="AE3676">
        <v>22000</v>
      </c>
      <c r="AJ3676">
        <v>4636.6849932656496</v>
      </c>
      <c r="AK3676">
        <v>6000</v>
      </c>
      <c r="AL3676">
        <v>2000</v>
      </c>
      <c r="AM3676">
        <v>10000</v>
      </c>
      <c r="AN3676">
        <v>1463.9090170477971</v>
      </c>
      <c r="AO3676">
        <v>1500</v>
      </c>
      <c r="AP3676">
        <v>500</v>
      </c>
      <c r="AQ3676">
        <v>10800</v>
      </c>
      <c r="AR3676">
        <v>5055.950612861182</v>
      </c>
      <c r="AS3676">
        <v>5000</v>
      </c>
      <c r="AT3676">
        <v>200</v>
      </c>
      <c r="AU3676">
        <v>10000</v>
      </c>
      <c r="AV3676">
        <v>3000</v>
      </c>
      <c r="AW3676">
        <v>3000</v>
      </c>
      <c r="AX3676">
        <v>3000</v>
      </c>
      <c r="AY3676">
        <v>3000</v>
      </c>
      <c r="AZ3676">
        <v>8113.1882199488518</v>
      </c>
      <c r="BA3676">
        <v>9000</v>
      </c>
      <c r="BB3676">
        <v>4000</v>
      </c>
      <c r="BC3676">
        <v>9000</v>
      </c>
      <c r="BD3676">
        <v>1336</v>
      </c>
    </row>
    <row r="3677" spans="1:56">
      <c r="A3677" t="s">
        <v>194</v>
      </c>
      <c r="B3677" t="s">
        <v>195</v>
      </c>
      <c r="C3677" t="s">
        <v>215</v>
      </c>
      <c r="D3677">
        <v>24423.899186133</v>
      </c>
      <c r="E3677">
        <v>20000</v>
      </c>
      <c r="F3677">
        <v>3000</v>
      </c>
      <c r="G3677">
        <v>75000</v>
      </c>
      <c r="H3677">
        <v>10511.094685695971</v>
      </c>
      <c r="I3677">
        <v>7000</v>
      </c>
      <c r="J3677">
        <v>200</v>
      </c>
      <c r="K3677">
        <v>45000</v>
      </c>
      <c r="L3677">
        <v>11875.989778570331</v>
      </c>
      <c r="M3677">
        <v>15000</v>
      </c>
      <c r="N3677">
        <v>4000</v>
      </c>
      <c r="O3677">
        <v>22000</v>
      </c>
      <c r="P3677">
        <v>3337.738088309774</v>
      </c>
      <c r="Q3677">
        <v>4000</v>
      </c>
      <c r="R3677">
        <v>2000</v>
      </c>
      <c r="S3677">
        <v>7000</v>
      </c>
      <c r="T3677">
        <v>10173.435237836549</v>
      </c>
      <c r="U3677">
        <v>11000</v>
      </c>
      <c r="V3677">
        <v>2000</v>
      </c>
      <c r="W3677">
        <v>23000</v>
      </c>
      <c r="X3677">
        <v>5590.7422885746</v>
      </c>
      <c r="Y3677">
        <v>5000</v>
      </c>
      <c r="Z3677">
        <v>2300</v>
      </c>
      <c r="AA3677">
        <v>14500</v>
      </c>
      <c r="AB3677">
        <v>6486.1083638627524</v>
      </c>
      <c r="AC3677">
        <v>5200</v>
      </c>
      <c r="AD3677">
        <v>800</v>
      </c>
      <c r="AE3677">
        <v>22000</v>
      </c>
      <c r="AF3677">
        <v>1500</v>
      </c>
      <c r="AG3677">
        <v>1500</v>
      </c>
      <c r="AH3677">
        <v>1500</v>
      </c>
      <c r="AI3677">
        <v>1500</v>
      </c>
      <c r="AJ3677">
        <v>4214.5295800683662</v>
      </c>
      <c r="AK3677">
        <v>3000</v>
      </c>
      <c r="AL3677">
        <v>3000</v>
      </c>
      <c r="AM3677">
        <v>10000</v>
      </c>
      <c r="AN3677">
        <v>21459.971439439531</v>
      </c>
      <c r="AO3677">
        <v>33000</v>
      </c>
      <c r="AP3677">
        <v>500</v>
      </c>
      <c r="AQ3677">
        <v>33000</v>
      </c>
      <c r="AR3677">
        <v>15324.02759460685</v>
      </c>
      <c r="AS3677">
        <v>6000</v>
      </c>
      <c r="AT3677">
        <v>1000</v>
      </c>
      <c r="AU3677">
        <v>50000</v>
      </c>
      <c r="AV3677">
        <v>2432.9357342431981</v>
      </c>
      <c r="AW3677">
        <v>2000</v>
      </c>
      <c r="AX3677">
        <v>2000</v>
      </c>
      <c r="AY3677">
        <v>6600</v>
      </c>
      <c r="BD3677">
        <v>1336</v>
      </c>
    </row>
    <row r="3678" spans="1:56">
      <c r="A3678" t="s">
        <v>194</v>
      </c>
      <c r="B3678" t="s">
        <v>199</v>
      </c>
      <c r="C3678" t="s">
        <v>212</v>
      </c>
      <c r="D3678">
        <v>33708.6046620864</v>
      </c>
      <c r="E3678">
        <v>28000</v>
      </c>
      <c r="F3678">
        <v>1600</v>
      </c>
      <c r="G3678">
        <v>167000</v>
      </c>
      <c r="H3678">
        <v>13493.823010198101</v>
      </c>
      <c r="I3678">
        <v>10000</v>
      </c>
      <c r="J3678">
        <v>500</v>
      </c>
      <c r="K3678">
        <v>80000</v>
      </c>
      <c r="L3678">
        <v>64924.415267105796</v>
      </c>
      <c r="M3678">
        <v>40000</v>
      </c>
      <c r="N3678">
        <v>1000</v>
      </c>
      <c r="O3678">
        <v>500000</v>
      </c>
      <c r="P3678">
        <v>7031.1129255993228</v>
      </c>
      <c r="Q3678">
        <v>9000</v>
      </c>
      <c r="R3678">
        <v>500</v>
      </c>
      <c r="S3678">
        <v>40000</v>
      </c>
      <c r="T3678">
        <v>5350.1022622082846</v>
      </c>
      <c r="U3678">
        <v>5000</v>
      </c>
      <c r="V3678">
        <v>2000</v>
      </c>
      <c r="W3678">
        <v>10000</v>
      </c>
      <c r="X3678">
        <v>7076.8463410469376</v>
      </c>
      <c r="Y3678">
        <v>6100</v>
      </c>
      <c r="Z3678">
        <v>2300</v>
      </c>
      <c r="AA3678">
        <v>30000</v>
      </c>
      <c r="AB3678">
        <v>2628.6213600352071</v>
      </c>
      <c r="AC3678">
        <v>860</v>
      </c>
      <c r="AD3678">
        <v>500</v>
      </c>
      <c r="AE3678">
        <v>40000</v>
      </c>
      <c r="AF3678">
        <v>6568.6698028863202</v>
      </c>
      <c r="AG3678">
        <v>7000</v>
      </c>
      <c r="AH3678">
        <v>290</v>
      </c>
      <c r="AI3678">
        <v>20000</v>
      </c>
      <c r="AJ3678">
        <v>9959.9649693015435</v>
      </c>
      <c r="AK3678">
        <v>10000</v>
      </c>
      <c r="AL3678">
        <v>1000</v>
      </c>
      <c r="AM3678">
        <v>60000</v>
      </c>
      <c r="AN3678">
        <v>10150.318086632869</v>
      </c>
      <c r="AO3678">
        <v>10500</v>
      </c>
      <c r="AP3678">
        <v>200</v>
      </c>
      <c r="AQ3678">
        <v>80000</v>
      </c>
      <c r="AR3678">
        <v>9383.7012944184135</v>
      </c>
      <c r="AS3678">
        <v>5000</v>
      </c>
      <c r="AT3678">
        <v>1000</v>
      </c>
      <c r="AU3678">
        <v>60000</v>
      </c>
      <c r="AV3678">
        <v>15547.22025570412</v>
      </c>
      <c r="AW3678">
        <v>25000</v>
      </c>
      <c r="AX3678">
        <v>5000</v>
      </c>
      <c r="AY3678">
        <v>25000</v>
      </c>
      <c r="AZ3678">
        <v>12433.0334058875</v>
      </c>
      <c r="BA3678">
        <v>4700</v>
      </c>
      <c r="BB3678">
        <v>500</v>
      </c>
      <c r="BC3678">
        <v>70000</v>
      </c>
      <c r="BD3678">
        <v>1336</v>
      </c>
    </row>
    <row r="3679" spans="1:56">
      <c r="A3679" t="s">
        <v>194</v>
      </c>
      <c r="B3679" t="s">
        <v>199</v>
      </c>
      <c r="C3679" t="s">
        <v>214</v>
      </c>
      <c r="D3679">
        <v>18920.237202466251</v>
      </c>
      <c r="E3679">
        <v>16000</v>
      </c>
      <c r="F3679">
        <v>2800</v>
      </c>
      <c r="G3679">
        <v>250000</v>
      </c>
      <c r="H3679">
        <v>18151.951095655011</v>
      </c>
      <c r="I3679">
        <v>17000</v>
      </c>
      <c r="J3679">
        <v>1000</v>
      </c>
      <c r="K3679">
        <v>45000</v>
      </c>
      <c r="L3679">
        <v>21000.37237319132</v>
      </c>
      <c r="M3679">
        <v>30000</v>
      </c>
      <c r="N3679">
        <v>15000</v>
      </c>
      <c r="O3679">
        <v>30000</v>
      </c>
      <c r="P3679">
        <v>300</v>
      </c>
      <c r="Q3679">
        <v>300</v>
      </c>
      <c r="R3679">
        <v>300</v>
      </c>
      <c r="S3679">
        <v>300</v>
      </c>
      <c r="T3679">
        <v>2215.3919884117008</v>
      </c>
      <c r="U3679">
        <v>2000</v>
      </c>
      <c r="V3679">
        <v>2000</v>
      </c>
      <c r="W3679">
        <v>8000</v>
      </c>
      <c r="X3679">
        <v>5078.5965616755147</v>
      </c>
      <c r="Y3679">
        <v>4500</v>
      </c>
      <c r="Z3679">
        <v>2300</v>
      </c>
      <c r="AA3679">
        <v>20000</v>
      </c>
      <c r="AB3679">
        <v>2400.691069475401</v>
      </c>
      <c r="AC3679">
        <v>3000</v>
      </c>
      <c r="AD3679">
        <v>245</v>
      </c>
      <c r="AE3679">
        <v>4000</v>
      </c>
      <c r="AF3679">
        <v>4123.7287052721567</v>
      </c>
      <c r="AG3679">
        <v>5000</v>
      </c>
      <c r="AH3679">
        <v>1500</v>
      </c>
      <c r="AI3679">
        <v>5000</v>
      </c>
      <c r="AJ3679">
        <v>6155.7822358968551</v>
      </c>
      <c r="AK3679">
        <v>10000</v>
      </c>
      <c r="AL3679">
        <v>2000</v>
      </c>
      <c r="AM3679">
        <v>12000</v>
      </c>
      <c r="AN3679">
        <v>1818.083609772041</v>
      </c>
      <c r="AO3679">
        <v>1500</v>
      </c>
      <c r="AP3679">
        <v>1500</v>
      </c>
      <c r="AQ3679">
        <v>3600</v>
      </c>
      <c r="AR3679">
        <v>3837.3081788046129</v>
      </c>
      <c r="AS3679">
        <v>4000</v>
      </c>
      <c r="AT3679">
        <v>500</v>
      </c>
      <c r="AU3679">
        <v>100000</v>
      </c>
      <c r="AV3679">
        <v>3000</v>
      </c>
      <c r="AW3679">
        <v>3000</v>
      </c>
      <c r="AX3679">
        <v>3000</v>
      </c>
      <c r="AY3679">
        <v>3000</v>
      </c>
      <c r="AZ3679">
        <v>5000</v>
      </c>
      <c r="BA3679">
        <v>5000</v>
      </c>
      <c r="BB3679">
        <v>5000</v>
      </c>
      <c r="BC3679">
        <v>5000</v>
      </c>
      <c r="BD3679">
        <v>1336</v>
      </c>
    </row>
    <row r="3680" spans="1:56">
      <c r="A3680" t="s">
        <v>194</v>
      </c>
      <c r="B3680" t="s">
        <v>199</v>
      </c>
      <c r="C3680" t="s">
        <v>215</v>
      </c>
      <c r="D3680">
        <v>29358.768694805</v>
      </c>
      <c r="E3680">
        <v>25000</v>
      </c>
      <c r="F3680">
        <v>2000</v>
      </c>
      <c r="G3680">
        <v>120000</v>
      </c>
      <c r="H3680">
        <v>8941.2009876486263</v>
      </c>
      <c r="I3680">
        <v>8000</v>
      </c>
      <c r="J3680">
        <v>3000</v>
      </c>
      <c r="K3680">
        <v>30000</v>
      </c>
      <c r="L3680">
        <v>37303.758980857463</v>
      </c>
      <c r="M3680">
        <v>50000</v>
      </c>
      <c r="N3680">
        <v>2700</v>
      </c>
      <c r="O3680">
        <v>50000</v>
      </c>
      <c r="P3680">
        <v>5865.1971506562877</v>
      </c>
      <c r="Q3680">
        <v>6000</v>
      </c>
      <c r="R3680">
        <v>2000</v>
      </c>
      <c r="S3680">
        <v>11000</v>
      </c>
      <c r="T3680">
        <v>5870.9627763460949</v>
      </c>
      <c r="U3680">
        <v>6000</v>
      </c>
      <c r="V3680">
        <v>2000</v>
      </c>
      <c r="W3680">
        <v>20000</v>
      </c>
      <c r="X3680">
        <v>7214.3873821692259</v>
      </c>
      <c r="Y3680">
        <v>7000</v>
      </c>
      <c r="Z3680">
        <v>2300</v>
      </c>
      <c r="AA3680">
        <v>20000</v>
      </c>
      <c r="AB3680">
        <v>3825.3157486228479</v>
      </c>
      <c r="AC3680">
        <v>2500</v>
      </c>
      <c r="AD3680">
        <v>860</v>
      </c>
      <c r="AE3680">
        <v>27000</v>
      </c>
      <c r="AF3680">
        <v>8480.3188681936263</v>
      </c>
      <c r="AG3680">
        <v>5000</v>
      </c>
      <c r="AH3680">
        <v>3000</v>
      </c>
      <c r="AI3680">
        <v>55000</v>
      </c>
      <c r="AJ3680">
        <v>11229.069086578131</v>
      </c>
      <c r="AK3680">
        <v>15000</v>
      </c>
      <c r="AL3680">
        <v>1000</v>
      </c>
      <c r="AM3680">
        <v>30000</v>
      </c>
      <c r="AN3680">
        <v>3172.969260832092</v>
      </c>
      <c r="AO3680">
        <v>7500</v>
      </c>
      <c r="AP3680">
        <v>1000</v>
      </c>
      <c r="AQ3680">
        <v>20000</v>
      </c>
      <c r="AR3680">
        <v>7107.6844976452639</v>
      </c>
      <c r="AS3680">
        <v>7000</v>
      </c>
      <c r="AT3680">
        <v>2000</v>
      </c>
      <c r="AU3680">
        <v>50000</v>
      </c>
      <c r="AZ3680">
        <v>2844.173777498092</v>
      </c>
      <c r="BA3680">
        <v>4000</v>
      </c>
      <c r="BB3680">
        <v>1200</v>
      </c>
      <c r="BC3680">
        <v>4000</v>
      </c>
      <c r="BD3680">
        <v>1336</v>
      </c>
    </row>
    <row r="3681" spans="1:56">
      <c r="A3681" t="s">
        <v>200</v>
      </c>
      <c r="B3681" t="s">
        <v>200</v>
      </c>
      <c r="C3681" t="s">
        <v>200</v>
      </c>
      <c r="D3681">
        <v>28127.024656758251</v>
      </c>
      <c r="E3681">
        <v>24000</v>
      </c>
      <c r="F3681">
        <v>1600</v>
      </c>
      <c r="G3681">
        <v>250000</v>
      </c>
      <c r="H3681">
        <v>12659.14791022075</v>
      </c>
      <c r="I3681">
        <v>10000</v>
      </c>
      <c r="J3681">
        <v>200</v>
      </c>
      <c r="K3681">
        <v>80000</v>
      </c>
      <c r="L3681">
        <v>56801.604419660587</v>
      </c>
      <c r="M3681">
        <v>40000</v>
      </c>
      <c r="N3681">
        <v>1000</v>
      </c>
      <c r="O3681">
        <v>500000</v>
      </c>
      <c r="P3681">
        <v>5811.6621826015762</v>
      </c>
      <c r="Q3681">
        <v>5000</v>
      </c>
      <c r="R3681">
        <v>300</v>
      </c>
      <c r="S3681">
        <v>40000</v>
      </c>
      <c r="T3681">
        <v>5393.8013120957103</v>
      </c>
      <c r="U3681">
        <v>5000</v>
      </c>
      <c r="V3681">
        <v>2000</v>
      </c>
      <c r="W3681">
        <v>23000</v>
      </c>
      <c r="X3681">
        <v>6740.6875195984258</v>
      </c>
      <c r="Y3681">
        <v>5600</v>
      </c>
      <c r="Z3681">
        <v>2300</v>
      </c>
      <c r="AA3681">
        <v>30000</v>
      </c>
      <c r="AB3681">
        <v>4132.2045837251189</v>
      </c>
      <c r="AC3681">
        <v>2300</v>
      </c>
      <c r="AD3681">
        <v>245</v>
      </c>
      <c r="AE3681">
        <v>340000</v>
      </c>
      <c r="AF3681">
        <v>6226.5985992729366</v>
      </c>
      <c r="AG3681">
        <v>6000</v>
      </c>
      <c r="AH3681">
        <v>290</v>
      </c>
      <c r="AI3681">
        <v>55000</v>
      </c>
      <c r="AJ3681">
        <v>8210.3761335685285</v>
      </c>
      <c r="AK3681">
        <v>6000</v>
      </c>
      <c r="AL3681">
        <v>1000</v>
      </c>
      <c r="AM3681">
        <v>60000</v>
      </c>
      <c r="AN3681">
        <v>8092.5418049963882</v>
      </c>
      <c r="AO3681">
        <v>3200</v>
      </c>
      <c r="AP3681">
        <v>200</v>
      </c>
      <c r="AQ3681">
        <v>80000</v>
      </c>
      <c r="AR3681">
        <v>11885.691398104111</v>
      </c>
      <c r="AS3681">
        <v>5000</v>
      </c>
      <c r="AT3681">
        <v>200</v>
      </c>
      <c r="AU3681">
        <v>150000</v>
      </c>
      <c r="AV3681">
        <v>3938.0192406278802</v>
      </c>
      <c r="AW3681">
        <v>3000</v>
      </c>
      <c r="AX3681">
        <v>1500</v>
      </c>
      <c r="AY3681">
        <v>25000</v>
      </c>
      <c r="AZ3681">
        <v>16455.56428890652</v>
      </c>
      <c r="BA3681">
        <v>9000</v>
      </c>
      <c r="BB3681">
        <v>500</v>
      </c>
      <c r="BC3681">
        <v>70000</v>
      </c>
      <c r="BD3681">
        <v>1336</v>
      </c>
    </row>
    <row r="3683" spans="1:56" ht="45">
      <c r="A3683" s="22" t="s">
        <v>946</v>
      </c>
    </row>
    <row r="3684" spans="1:56">
      <c r="A3684" t="s">
        <v>184</v>
      </c>
      <c r="B3684" t="s">
        <v>185</v>
      </c>
      <c r="C3684" t="s">
        <v>186</v>
      </c>
      <c r="D3684" t="s">
        <v>890</v>
      </c>
      <c r="E3684" t="s">
        <v>891</v>
      </c>
      <c r="F3684" t="s">
        <v>892</v>
      </c>
      <c r="G3684" t="s">
        <v>893</v>
      </c>
      <c r="H3684" t="s">
        <v>894</v>
      </c>
      <c r="I3684" t="s">
        <v>895</v>
      </c>
      <c r="J3684" t="s">
        <v>896</v>
      </c>
      <c r="K3684" t="s">
        <v>897</v>
      </c>
      <c r="L3684" t="s">
        <v>898</v>
      </c>
      <c r="M3684" t="s">
        <v>899</v>
      </c>
      <c r="N3684" t="s">
        <v>900</v>
      </c>
      <c r="O3684" t="s">
        <v>901</v>
      </c>
      <c r="P3684" t="s">
        <v>902</v>
      </c>
      <c r="Q3684" t="s">
        <v>903</v>
      </c>
      <c r="R3684" t="s">
        <v>904</v>
      </c>
      <c r="S3684" t="s">
        <v>905</v>
      </c>
      <c r="T3684" t="s">
        <v>906</v>
      </c>
      <c r="U3684" t="s">
        <v>907</v>
      </c>
      <c r="V3684" t="s">
        <v>908</v>
      </c>
      <c r="W3684" t="s">
        <v>909</v>
      </c>
      <c r="X3684" t="s">
        <v>910</v>
      </c>
      <c r="Y3684" t="s">
        <v>911</v>
      </c>
      <c r="Z3684" t="s">
        <v>912</v>
      </c>
      <c r="AA3684" t="s">
        <v>913</v>
      </c>
      <c r="AB3684" t="s">
        <v>914</v>
      </c>
      <c r="AC3684" t="s">
        <v>915</v>
      </c>
      <c r="AD3684" t="s">
        <v>916</v>
      </c>
      <c r="AE3684" t="s">
        <v>917</v>
      </c>
      <c r="AF3684" t="s">
        <v>918</v>
      </c>
      <c r="AG3684" t="s">
        <v>919</v>
      </c>
      <c r="AH3684" t="s">
        <v>920</v>
      </c>
      <c r="AI3684" t="s">
        <v>921</v>
      </c>
      <c r="AJ3684" t="s">
        <v>922</v>
      </c>
      <c r="AK3684" t="s">
        <v>923</v>
      </c>
      <c r="AL3684" t="s">
        <v>924</v>
      </c>
      <c r="AM3684" t="s">
        <v>925</v>
      </c>
      <c r="AN3684" t="s">
        <v>926</v>
      </c>
      <c r="AO3684" t="s">
        <v>927</v>
      </c>
      <c r="AP3684" t="s">
        <v>928</v>
      </c>
      <c r="AQ3684" t="s">
        <v>929</v>
      </c>
      <c r="AR3684" t="s">
        <v>930</v>
      </c>
      <c r="AS3684" t="s">
        <v>931</v>
      </c>
      <c r="AT3684" t="s">
        <v>932</v>
      </c>
      <c r="AU3684" t="s">
        <v>933</v>
      </c>
      <c r="AV3684" t="s">
        <v>934</v>
      </c>
      <c r="AW3684" t="s">
        <v>935</v>
      </c>
      <c r="AX3684" t="s">
        <v>936</v>
      </c>
      <c r="AY3684" t="s">
        <v>937</v>
      </c>
      <c r="AZ3684" t="s">
        <v>938</v>
      </c>
      <c r="BA3684" t="s">
        <v>939</v>
      </c>
      <c r="BB3684" t="s">
        <v>940</v>
      </c>
      <c r="BC3684" t="s">
        <v>941</v>
      </c>
      <c r="BD3684" t="s">
        <v>193</v>
      </c>
    </row>
    <row r="3685" spans="1:56">
      <c r="A3685" t="s">
        <v>194</v>
      </c>
      <c r="B3685" t="s">
        <v>195</v>
      </c>
      <c r="C3685" t="s">
        <v>217</v>
      </c>
      <c r="D3685">
        <v>24643.761096035381</v>
      </c>
      <c r="E3685">
        <v>20000</v>
      </c>
      <c r="F3685">
        <v>2000</v>
      </c>
      <c r="G3685">
        <v>100000</v>
      </c>
      <c r="H3685">
        <v>10944.18304384158</v>
      </c>
      <c r="I3685">
        <v>8000</v>
      </c>
      <c r="J3685">
        <v>200</v>
      </c>
      <c r="K3685">
        <v>35000</v>
      </c>
      <c r="L3685">
        <v>23712.807615744721</v>
      </c>
      <c r="M3685">
        <v>10000</v>
      </c>
      <c r="N3685">
        <v>3000</v>
      </c>
      <c r="O3685">
        <v>60000</v>
      </c>
      <c r="P3685">
        <v>4556.3234550100769</v>
      </c>
      <c r="Q3685">
        <v>2000</v>
      </c>
      <c r="R3685">
        <v>500</v>
      </c>
      <c r="S3685">
        <v>15000</v>
      </c>
      <c r="T3685">
        <v>6112.3283857726619</v>
      </c>
      <c r="U3685">
        <v>5000</v>
      </c>
      <c r="V3685">
        <v>2000</v>
      </c>
      <c r="W3685">
        <v>23000</v>
      </c>
      <c r="X3685">
        <v>7346.351272052485</v>
      </c>
      <c r="Y3685">
        <v>6500</v>
      </c>
      <c r="Z3685">
        <v>2300</v>
      </c>
      <c r="AA3685">
        <v>30000</v>
      </c>
      <c r="AB3685">
        <v>4807.776394423704</v>
      </c>
      <c r="AC3685">
        <v>2700</v>
      </c>
      <c r="AD3685">
        <v>500</v>
      </c>
      <c r="AE3685">
        <v>28000</v>
      </c>
      <c r="AF3685">
        <v>1500</v>
      </c>
      <c r="AG3685">
        <v>1500</v>
      </c>
      <c r="AH3685">
        <v>1500</v>
      </c>
      <c r="AI3685">
        <v>1500</v>
      </c>
      <c r="AJ3685">
        <v>5592.3228391303637</v>
      </c>
      <c r="AK3685">
        <v>3000</v>
      </c>
      <c r="AL3685">
        <v>1000</v>
      </c>
      <c r="AM3685">
        <v>17000</v>
      </c>
      <c r="AN3685">
        <v>8333.8579958905702</v>
      </c>
      <c r="AO3685">
        <v>4400</v>
      </c>
      <c r="AP3685">
        <v>500</v>
      </c>
      <c r="AQ3685">
        <v>42000</v>
      </c>
      <c r="AR3685">
        <v>9968.2183733858474</v>
      </c>
      <c r="AS3685">
        <v>6000</v>
      </c>
      <c r="AT3685">
        <v>700</v>
      </c>
      <c r="AU3685">
        <v>50000</v>
      </c>
      <c r="AV3685">
        <v>2000</v>
      </c>
      <c r="AW3685">
        <v>2000</v>
      </c>
      <c r="AX3685">
        <v>2000</v>
      </c>
      <c r="AY3685">
        <v>2000</v>
      </c>
      <c r="AZ3685">
        <v>34182.052735566424</v>
      </c>
      <c r="BA3685">
        <v>50000</v>
      </c>
      <c r="BB3685">
        <v>2000</v>
      </c>
      <c r="BC3685">
        <v>50000</v>
      </c>
      <c r="BD3685">
        <v>1336</v>
      </c>
    </row>
    <row r="3686" spans="1:56">
      <c r="A3686" t="s">
        <v>194</v>
      </c>
      <c r="B3686" t="s">
        <v>195</v>
      </c>
      <c r="C3686" t="s">
        <v>219</v>
      </c>
      <c r="D3686">
        <v>16767.36724422505</v>
      </c>
      <c r="E3686">
        <v>13000</v>
      </c>
      <c r="F3686">
        <v>1600</v>
      </c>
      <c r="G3686">
        <v>100000</v>
      </c>
      <c r="H3686">
        <v>8075.5812252089754</v>
      </c>
      <c r="I3686">
        <v>7000</v>
      </c>
      <c r="J3686">
        <v>300</v>
      </c>
      <c r="K3686">
        <v>25000</v>
      </c>
      <c r="L3686">
        <v>17765.561749508561</v>
      </c>
      <c r="M3686">
        <v>20000</v>
      </c>
      <c r="N3686">
        <v>15000</v>
      </c>
      <c r="O3686">
        <v>20000</v>
      </c>
      <c r="P3686">
        <v>5024.4776200425777</v>
      </c>
      <c r="Q3686">
        <v>6000</v>
      </c>
      <c r="R3686">
        <v>3000</v>
      </c>
      <c r="S3686">
        <v>13000</v>
      </c>
      <c r="T3686">
        <v>5164.2022980802876</v>
      </c>
      <c r="U3686">
        <v>5000</v>
      </c>
      <c r="V3686">
        <v>2000</v>
      </c>
      <c r="W3686">
        <v>21000</v>
      </c>
      <c r="X3686">
        <v>5577.5658836890498</v>
      </c>
      <c r="Y3686">
        <v>4300</v>
      </c>
      <c r="Z3686">
        <v>2300</v>
      </c>
      <c r="AA3686">
        <v>20000</v>
      </c>
      <c r="AB3686">
        <v>5879.4975805153144</v>
      </c>
      <c r="AC3686">
        <v>3000</v>
      </c>
      <c r="AD3686">
        <v>300</v>
      </c>
      <c r="AE3686">
        <v>340000</v>
      </c>
      <c r="AF3686">
        <v>375</v>
      </c>
      <c r="AG3686">
        <v>375</v>
      </c>
      <c r="AH3686">
        <v>375</v>
      </c>
      <c r="AI3686">
        <v>375</v>
      </c>
      <c r="AJ3686">
        <v>4883.7435331478027</v>
      </c>
      <c r="AK3686">
        <v>5000</v>
      </c>
      <c r="AL3686">
        <v>1000</v>
      </c>
      <c r="AM3686">
        <v>10000</v>
      </c>
      <c r="AN3686">
        <v>2881.3397903159221</v>
      </c>
      <c r="AO3686">
        <v>1500</v>
      </c>
      <c r="AP3686">
        <v>300</v>
      </c>
      <c r="AQ3686">
        <v>73000</v>
      </c>
      <c r="AR3686">
        <v>20910.682856026811</v>
      </c>
      <c r="AS3686">
        <v>6000</v>
      </c>
      <c r="AT3686">
        <v>1000</v>
      </c>
      <c r="AU3686">
        <v>150000</v>
      </c>
      <c r="AV3686">
        <v>3192.1658366282832</v>
      </c>
      <c r="AW3686">
        <v>4000</v>
      </c>
      <c r="AX3686">
        <v>1500</v>
      </c>
      <c r="AY3686">
        <v>6600</v>
      </c>
      <c r="AZ3686">
        <v>7000.0372469700724</v>
      </c>
      <c r="BA3686">
        <v>9900</v>
      </c>
      <c r="BB3686">
        <v>1400</v>
      </c>
      <c r="BC3686">
        <v>10000</v>
      </c>
      <c r="BD3686">
        <v>1336</v>
      </c>
    </row>
    <row r="3687" spans="1:56">
      <c r="A3687" t="s">
        <v>194</v>
      </c>
      <c r="B3687" t="s">
        <v>195</v>
      </c>
      <c r="C3687" t="s">
        <v>220</v>
      </c>
      <c r="D3687">
        <v>26336.616439980178</v>
      </c>
      <c r="E3687">
        <v>27000</v>
      </c>
      <c r="F3687">
        <v>3000</v>
      </c>
      <c r="G3687">
        <v>85000</v>
      </c>
      <c r="H3687">
        <v>13453.859765224481</v>
      </c>
      <c r="I3687">
        <v>10000</v>
      </c>
      <c r="J3687">
        <v>1000</v>
      </c>
      <c r="K3687">
        <v>45000</v>
      </c>
      <c r="L3687">
        <v>33136.033244091333</v>
      </c>
      <c r="M3687">
        <v>40000</v>
      </c>
      <c r="N3687">
        <v>10000</v>
      </c>
      <c r="O3687">
        <v>50000</v>
      </c>
      <c r="P3687">
        <v>3000</v>
      </c>
      <c r="Q3687">
        <v>3000</v>
      </c>
      <c r="R3687">
        <v>3000</v>
      </c>
      <c r="S3687">
        <v>3000</v>
      </c>
      <c r="T3687">
        <v>4284.3105831300982</v>
      </c>
      <c r="U3687">
        <v>3000</v>
      </c>
      <c r="V3687">
        <v>2000</v>
      </c>
      <c r="W3687">
        <v>20000</v>
      </c>
      <c r="X3687">
        <v>9615.1309529431037</v>
      </c>
      <c r="Y3687">
        <v>10000</v>
      </c>
      <c r="Z3687">
        <v>2300</v>
      </c>
      <c r="AA3687">
        <v>23000</v>
      </c>
      <c r="AB3687">
        <v>5275.5363383353506</v>
      </c>
      <c r="AC3687">
        <v>2361</v>
      </c>
      <c r="AD3687">
        <v>860</v>
      </c>
      <c r="AE3687">
        <v>22000</v>
      </c>
      <c r="AF3687">
        <v>5000</v>
      </c>
      <c r="AG3687">
        <v>5000</v>
      </c>
      <c r="AH3687">
        <v>5000</v>
      </c>
      <c r="AI3687">
        <v>5000</v>
      </c>
      <c r="AJ3687">
        <v>18413.43780694799</v>
      </c>
      <c r="AK3687">
        <v>40000</v>
      </c>
      <c r="AL3687">
        <v>2500</v>
      </c>
      <c r="AM3687">
        <v>40000</v>
      </c>
      <c r="AN3687">
        <v>20820.28941987707</v>
      </c>
      <c r="AO3687">
        <v>33000</v>
      </c>
      <c r="AP3687">
        <v>3200</v>
      </c>
      <c r="AQ3687">
        <v>33000</v>
      </c>
      <c r="AR3687">
        <v>10680.889418467859</v>
      </c>
      <c r="AS3687">
        <v>15000</v>
      </c>
      <c r="AT3687">
        <v>200</v>
      </c>
      <c r="AU3687">
        <v>30000</v>
      </c>
      <c r="AV3687">
        <v>3000</v>
      </c>
      <c r="AW3687">
        <v>3000</v>
      </c>
      <c r="AX3687">
        <v>3000</v>
      </c>
      <c r="AY3687">
        <v>3000</v>
      </c>
      <c r="AZ3687">
        <v>30000</v>
      </c>
      <c r="BA3687">
        <v>30000</v>
      </c>
      <c r="BB3687">
        <v>30000</v>
      </c>
      <c r="BC3687">
        <v>30000</v>
      </c>
      <c r="BD3687">
        <v>1336</v>
      </c>
    </row>
    <row r="3688" spans="1:56">
      <c r="A3688" t="s">
        <v>194</v>
      </c>
      <c r="B3688" t="s">
        <v>199</v>
      </c>
      <c r="C3688" t="s">
        <v>217</v>
      </c>
      <c r="D3688">
        <v>32605.514959336</v>
      </c>
      <c r="E3688">
        <v>30000</v>
      </c>
      <c r="F3688">
        <v>2000</v>
      </c>
      <c r="G3688">
        <v>167000</v>
      </c>
      <c r="H3688">
        <v>13742.141567462249</v>
      </c>
      <c r="I3688">
        <v>11000</v>
      </c>
      <c r="J3688">
        <v>1000</v>
      </c>
      <c r="K3688">
        <v>80000</v>
      </c>
      <c r="L3688">
        <v>43790.271998068944</v>
      </c>
      <c r="M3688">
        <v>40000</v>
      </c>
      <c r="N3688">
        <v>1000</v>
      </c>
      <c r="O3688">
        <v>200000</v>
      </c>
      <c r="P3688">
        <v>5007.1228329277656</v>
      </c>
      <c r="Q3688">
        <v>3000</v>
      </c>
      <c r="R3688">
        <v>500</v>
      </c>
      <c r="S3688">
        <v>40000</v>
      </c>
      <c r="T3688">
        <v>6557.3038218103102</v>
      </c>
      <c r="U3688">
        <v>6000</v>
      </c>
      <c r="V3688">
        <v>2000</v>
      </c>
      <c r="W3688">
        <v>20000</v>
      </c>
      <c r="X3688">
        <v>7345.7892481419749</v>
      </c>
      <c r="Y3688">
        <v>6500</v>
      </c>
      <c r="Z3688">
        <v>2300</v>
      </c>
      <c r="AA3688">
        <v>30000</v>
      </c>
      <c r="AB3688">
        <v>2564.6948469272788</v>
      </c>
      <c r="AC3688">
        <v>860</v>
      </c>
      <c r="AD3688">
        <v>700</v>
      </c>
      <c r="AE3688">
        <v>27000</v>
      </c>
      <c r="AF3688">
        <v>6508.199390397398</v>
      </c>
      <c r="AG3688">
        <v>7000</v>
      </c>
      <c r="AH3688">
        <v>417</v>
      </c>
      <c r="AI3688">
        <v>55000</v>
      </c>
      <c r="AJ3688">
        <v>7964.8054964257253</v>
      </c>
      <c r="AK3688">
        <v>5000</v>
      </c>
      <c r="AL3688">
        <v>1000</v>
      </c>
      <c r="AM3688">
        <v>30000</v>
      </c>
      <c r="AN3688">
        <v>8088.2525434387362</v>
      </c>
      <c r="AO3688">
        <v>2000</v>
      </c>
      <c r="AP3688">
        <v>200</v>
      </c>
      <c r="AQ3688">
        <v>80000</v>
      </c>
      <c r="AR3688">
        <v>4581.3166972119161</v>
      </c>
      <c r="AS3688">
        <v>5000</v>
      </c>
      <c r="AT3688">
        <v>1000</v>
      </c>
      <c r="AU3688">
        <v>50000</v>
      </c>
      <c r="AV3688">
        <v>15547.22025570412</v>
      </c>
      <c r="AW3688">
        <v>25000</v>
      </c>
      <c r="AX3688">
        <v>5000</v>
      </c>
      <c r="AY3688">
        <v>25000</v>
      </c>
      <c r="AZ3688">
        <v>13624.750999753391</v>
      </c>
      <c r="BA3688">
        <v>10000</v>
      </c>
      <c r="BB3688">
        <v>500</v>
      </c>
      <c r="BC3688">
        <v>70000</v>
      </c>
      <c r="BD3688">
        <v>1336</v>
      </c>
    </row>
    <row r="3689" spans="1:56">
      <c r="A3689" t="s">
        <v>194</v>
      </c>
      <c r="B3689" t="s">
        <v>199</v>
      </c>
      <c r="C3689" t="s">
        <v>219</v>
      </c>
      <c r="D3689">
        <v>22748.70153489057</v>
      </c>
      <c r="E3689">
        <v>20000</v>
      </c>
      <c r="F3689">
        <v>1600</v>
      </c>
      <c r="G3689">
        <v>120000</v>
      </c>
      <c r="H3689">
        <v>10466.78989261344</v>
      </c>
      <c r="I3689">
        <v>10000</v>
      </c>
      <c r="J3689">
        <v>500</v>
      </c>
      <c r="K3689">
        <v>38000</v>
      </c>
      <c r="L3689">
        <v>59149.076021941873</v>
      </c>
      <c r="M3689">
        <v>60000</v>
      </c>
      <c r="N3689">
        <v>2500</v>
      </c>
      <c r="O3689">
        <v>300000</v>
      </c>
      <c r="P3689">
        <v>4654.8149242411691</v>
      </c>
      <c r="Q3689">
        <v>4000</v>
      </c>
      <c r="R3689">
        <v>300</v>
      </c>
      <c r="S3689">
        <v>30000</v>
      </c>
      <c r="T3689">
        <v>2864.2277134117871</v>
      </c>
      <c r="U3689">
        <v>2000</v>
      </c>
      <c r="V3689">
        <v>2000</v>
      </c>
      <c r="W3689">
        <v>9000</v>
      </c>
      <c r="X3689">
        <v>5270.0559555506479</v>
      </c>
      <c r="Y3689">
        <v>4500</v>
      </c>
      <c r="Z3689">
        <v>2300</v>
      </c>
      <c r="AA3689">
        <v>19500</v>
      </c>
      <c r="AB3689">
        <v>4040.7650509605351</v>
      </c>
      <c r="AC3689">
        <v>2700</v>
      </c>
      <c r="AD3689">
        <v>245</v>
      </c>
      <c r="AE3689">
        <v>40000</v>
      </c>
      <c r="AF3689">
        <v>7317.6550994131694</v>
      </c>
      <c r="AG3689">
        <v>8000</v>
      </c>
      <c r="AH3689">
        <v>290</v>
      </c>
      <c r="AI3689">
        <v>12000</v>
      </c>
      <c r="AJ3689">
        <v>11103.018309877199</v>
      </c>
      <c r="AK3689">
        <v>10000</v>
      </c>
      <c r="AL3689">
        <v>1000</v>
      </c>
      <c r="AM3689">
        <v>60000</v>
      </c>
      <c r="AN3689">
        <v>10194.32282777848</v>
      </c>
      <c r="AO3689">
        <v>6000</v>
      </c>
      <c r="AP3689">
        <v>1500</v>
      </c>
      <c r="AQ3689">
        <v>63000</v>
      </c>
      <c r="AR3689">
        <v>12667.8046061635</v>
      </c>
      <c r="AS3689">
        <v>8000</v>
      </c>
      <c r="AT3689">
        <v>500</v>
      </c>
      <c r="AU3689">
        <v>100000</v>
      </c>
      <c r="AV3689">
        <v>3000</v>
      </c>
      <c r="AW3689">
        <v>3000</v>
      </c>
      <c r="AX3689">
        <v>3000</v>
      </c>
      <c r="AY3689">
        <v>3000</v>
      </c>
      <c r="AZ3689">
        <v>9462.5191222641733</v>
      </c>
      <c r="BA3689">
        <v>3000</v>
      </c>
      <c r="BB3689">
        <v>2000</v>
      </c>
      <c r="BC3689">
        <v>70000</v>
      </c>
      <c r="BD3689">
        <v>1336</v>
      </c>
    </row>
    <row r="3690" spans="1:56">
      <c r="A3690" t="s">
        <v>194</v>
      </c>
      <c r="B3690" t="s">
        <v>199</v>
      </c>
      <c r="C3690" t="s">
        <v>220</v>
      </c>
      <c r="D3690">
        <v>39804.662610232612</v>
      </c>
      <c r="E3690">
        <v>30000</v>
      </c>
      <c r="F3690">
        <v>2000</v>
      </c>
      <c r="G3690">
        <v>250000</v>
      </c>
      <c r="H3690">
        <v>19822.33513973419</v>
      </c>
      <c r="I3690">
        <v>10000</v>
      </c>
      <c r="J3690">
        <v>500</v>
      </c>
      <c r="K3690">
        <v>80000</v>
      </c>
      <c r="L3690">
        <v>142807.6965139072</v>
      </c>
      <c r="M3690">
        <v>500000</v>
      </c>
      <c r="N3690">
        <v>2000</v>
      </c>
      <c r="O3690">
        <v>500000</v>
      </c>
      <c r="P3690">
        <v>10072.40775884673</v>
      </c>
      <c r="Q3690">
        <v>9000</v>
      </c>
      <c r="R3690">
        <v>5000</v>
      </c>
      <c r="S3690">
        <v>15000</v>
      </c>
      <c r="T3690">
        <v>4597.240823834165</v>
      </c>
      <c r="U3690">
        <v>3000</v>
      </c>
      <c r="V3690">
        <v>2000</v>
      </c>
      <c r="W3690">
        <v>8500</v>
      </c>
      <c r="X3690">
        <v>7477.936951026737</v>
      </c>
      <c r="Y3690">
        <v>5500</v>
      </c>
      <c r="Z3690">
        <v>2300</v>
      </c>
      <c r="AA3690">
        <v>20000</v>
      </c>
      <c r="AB3690">
        <v>2013.5235603318299</v>
      </c>
      <c r="AC3690">
        <v>1500</v>
      </c>
      <c r="AD3690">
        <v>860</v>
      </c>
      <c r="AE3690">
        <v>18000</v>
      </c>
      <c r="AF3690">
        <v>7626.8314019477284</v>
      </c>
      <c r="AG3690">
        <v>17000</v>
      </c>
      <c r="AH3690">
        <v>4500</v>
      </c>
      <c r="AI3690">
        <v>17000</v>
      </c>
      <c r="AJ3690">
        <v>7696.8806891545182</v>
      </c>
      <c r="AK3690">
        <v>7000</v>
      </c>
      <c r="AL3690">
        <v>2000</v>
      </c>
      <c r="AM3690">
        <v>20000</v>
      </c>
      <c r="AN3690">
        <v>8898.5519729680946</v>
      </c>
      <c r="AO3690">
        <v>21600</v>
      </c>
      <c r="AP3690">
        <v>1500</v>
      </c>
      <c r="AQ3690">
        <v>21600</v>
      </c>
      <c r="AR3690">
        <v>3192.005087144873</v>
      </c>
      <c r="AS3690">
        <v>3000</v>
      </c>
      <c r="AT3690">
        <v>2000</v>
      </c>
      <c r="AU3690">
        <v>8000</v>
      </c>
      <c r="AZ3690">
        <v>15592.998607897471</v>
      </c>
      <c r="BA3690">
        <v>20000</v>
      </c>
      <c r="BB3690">
        <v>800</v>
      </c>
      <c r="BC3690">
        <v>20000</v>
      </c>
      <c r="BD3690">
        <v>1336</v>
      </c>
    </row>
    <row r="3691" spans="1:56">
      <c r="A3691" t="s">
        <v>200</v>
      </c>
      <c r="B3691" t="s">
        <v>200</v>
      </c>
      <c r="C3691" t="s">
        <v>200</v>
      </c>
      <c r="D3691">
        <v>28127.024656758251</v>
      </c>
      <c r="E3691">
        <v>24000</v>
      </c>
      <c r="F3691">
        <v>1600</v>
      </c>
      <c r="G3691">
        <v>250000</v>
      </c>
      <c r="H3691">
        <v>12659.14791022075</v>
      </c>
      <c r="I3691">
        <v>10000</v>
      </c>
      <c r="J3691">
        <v>200</v>
      </c>
      <c r="K3691">
        <v>80000</v>
      </c>
      <c r="L3691">
        <v>56801.604419660587</v>
      </c>
      <c r="M3691">
        <v>40000</v>
      </c>
      <c r="N3691">
        <v>1000</v>
      </c>
      <c r="O3691">
        <v>500000</v>
      </c>
      <c r="P3691">
        <v>5811.6621826015762</v>
      </c>
      <c r="Q3691">
        <v>5000</v>
      </c>
      <c r="R3691">
        <v>300</v>
      </c>
      <c r="S3691">
        <v>40000</v>
      </c>
      <c r="T3691">
        <v>5393.8013120957103</v>
      </c>
      <c r="U3691">
        <v>5000</v>
      </c>
      <c r="V3691">
        <v>2000</v>
      </c>
      <c r="W3691">
        <v>23000</v>
      </c>
      <c r="X3691">
        <v>6740.6875195984258</v>
      </c>
      <c r="Y3691">
        <v>5600</v>
      </c>
      <c r="Z3691">
        <v>2300</v>
      </c>
      <c r="AA3691">
        <v>30000</v>
      </c>
      <c r="AB3691">
        <v>4132.2045837251189</v>
      </c>
      <c r="AC3691">
        <v>2300</v>
      </c>
      <c r="AD3691">
        <v>245</v>
      </c>
      <c r="AE3691">
        <v>340000</v>
      </c>
      <c r="AF3691">
        <v>6226.5985992729366</v>
      </c>
      <c r="AG3691">
        <v>6000</v>
      </c>
      <c r="AH3691">
        <v>290</v>
      </c>
      <c r="AI3691">
        <v>55000</v>
      </c>
      <c r="AJ3691">
        <v>8210.3761335685285</v>
      </c>
      <c r="AK3691">
        <v>6000</v>
      </c>
      <c r="AL3691">
        <v>1000</v>
      </c>
      <c r="AM3691">
        <v>60000</v>
      </c>
      <c r="AN3691">
        <v>8092.5418049963882</v>
      </c>
      <c r="AO3691">
        <v>3200</v>
      </c>
      <c r="AP3691">
        <v>200</v>
      </c>
      <c r="AQ3691">
        <v>80000</v>
      </c>
      <c r="AR3691">
        <v>11885.691398104111</v>
      </c>
      <c r="AS3691">
        <v>5000</v>
      </c>
      <c r="AT3691">
        <v>200</v>
      </c>
      <c r="AU3691">
        <v>150000</v>
      </c>
      <c r="AV3691">
        <v>3938.0192406278802</v>
      </c>
      <c r="AW3691">
        <v>3000</v>
      </c>
      <c r="AX3691">
        <v>1500</v>
      </c>
      <c r="AY3691">
        <v>25000</v>
      </c>
      <c r="AZ3691">
        <v>16455.56428890652</v>
      </c>
      <c r="BA3691">
        <v>9000</v>
      </c>
      <c r="BB3691">
        <v>500</v>
      </c>
      <c r="BC3691">
        <v>70000</v>
      </c>
      <c r="BD3691">
        <v>1336</v>
      </c>
    </row>
    <row r="3693" spans="1:56" ht="45">
      <c r="A3693" s="22" t="s">
        <v>947</v>
      </c>
    </row>
    <row r="3694" spans="1:56">
      <c r="A3694" t="s">
        <v>184</v>
      </c>
      <c r="B3694" t="s">
        <v>185</v>
      </c>
      <c r="C3694" t="s">
        <v>186</v>
      </c>
      <c r="D3694" t="s">
        <v>187</v>
      </c>
      <c r="E3694" t="s">
        <v>188</v>
      </c>
      <c r="F3694" t="s">
        <v>189</v>
      </c>
      <c r="G3694" t="s">
        <v>190</v>
      </c>
      <c r="H3694" t="s">
        <v>191</v>
      </c>
      <c r="I3694" t="s">
        <v>948</v>
      </c>
      <c r="J3694" t="s">
        <v>193</v>
      </c>
    </row>
    <row r="3695" spans="1:56">
      <c r="A3695" t="s">
        <v>194</v>
      </c>
      <c r="B3695" t="s">
        <v>195</v>
      </c>
      <c r="C3695" t="s">
        <v>196</v>
      </c>
      <c r="D3695" t="s">
        <v>197</v>
      </c>
      <c r="E3695">
        <v>7415.6038433512758</v>
      </c>
      <c r="F3695">
        <v>5060</v>
      </c>
      <c r="G3695">
        <v>500</v>
      </c>
      <c r="H3695">
        <v>113333.33333333299</v>
      </c>
      <c r="I3695">
        <v>384</v>
      </c>
      <c r="J3695">
        <v>2368</v>
      </c>
    </row>
    <row r="3696" spans="1:56">
      <c r="A3696" t="s">
        <v>194</v>
      </c>
      <c r="B3696" t="s">
        <v>195</v>
      </c>
      <c r="C3696" t="s">
        <v>198</v>
      </c>
      <c r="D3696" t="s">
        <v>197</v>
      </c>
      <c r="E3696">
        <v>9166.7004950798873</v>
      </c>
      <c r="F3696">
        <v>7250</v>
      </c>
      <c r="G3696">
        <v>215</v>
      </c>
      <c r="H3696">
        <v>75000</v>
      </c>
      <c r="I3696">
        <v>683</v>
      </c>
      <c r="J3696">
        <v>2368</v>
      </c>
    </row>
    <row r="3697" spans="1:10">
      <c r="A3697" t="s">
        <v>194</v>
      </c>
      <c r="B3697" t="s">
        <v>199</v>
      </c>
      <c r="C3697" t="s">
        <v>196</v>
      </c>
      <c r="D3697" t="s">
        <v>197</v>
      </c>
      <c r="E3697">
        <v>11272.63450477317</v>
      </c>
      <c r="F3697">
        <v>7566.6666666666697</v>
      </c>
      <c r="G3697">
        <v>166.666666666667</v>
      </c>
      <c r="H3697">
        <v>250000</v>
      </c>
      <c r="I3697">
        <v>468</v>
      </c>
      <c r="J3697">
        <v>2368</v>
      </c>
    </row>
    <row r="3698" spans="1:10">
      <c r="A3698" t="s">
        <v>194</v>
      </c>
      <c r="B3698" t="s">
        <v>199</v>
      </c>
      <c r="C3698" t="s">
        <v>198</v>
      </c>
      <c r="D3698" t="s">
        <v>197</v>
      </c>
      <c r="E3698">
        <v>13720.119928383991</v>
      </c>
      <c r="F3698">
        <v>10000</v>
      </c>
      <c r="G3698">
        <v>215</v>
      </c>
      <c r="H3698">
        <v>250000</v>
      </c>
      <c r="I3698">
        <v>804</v>
      </c>
      <c r="J3698">
        <v>2368</v>
      </c>
    </row>
    <row r="3699" spans="1:10">
      <c r="A3699" t="s">
        <v>200</v>
      </c>
      <c r="B3699" t="s">
        <v>200</v>
      </c>
      <c r="C3699" t="s">
        <v>200</v>
      </c>
      <c r="D3699" t="s">
        <v>200</v>
      </c>
      <c r="E3699">
        <v>11135.371169255821</v>
      </c>
      <c r="F3699">
        <v>8000</v>
      </c>
      <c r="G3699">
        <v>166.666666666667</v>
      </c>
      <c r="H3699">
        <v>250000</v>
      </c>
      <c r="I3699">
        <v>2368</v>
      </c>
      <c r="J3699">
        <v>2368</v>
      </c>
    </row>
    <row r="3707" spans="1:10" ht="45">
      <c r="A3707" s="22" t="s">
        <v>949</v>
      </c>
    </row>
    <row r="3708" spans="1:10">
      <c r="A3708" t="s">
        <v>184</v>
      </c>
      <c r="B3708" t="s">
        <v>185</v>
      </c>
      <c r="C3708" t="s">
        <v>186</v>
      </c>
      <c r="D3708" t="s">
        <v>187</v>
      </c>
      <c r="E3708" t="s">
        <v>188</v>
      </c>
      <c r="F3708" t="s">
        <v>189</v>
      </c>
      <c r="G3708" t="s">
        <v>190</v>
      </c>
      <c r="H3708" t="s">
        <v>191</v>
      </c>
      <c r="I3708" t="s">
        <v>192</v>
      </c>
      <c r="J3708" t="s">
        <v>193</v>
      </c>
    </row>
    <row r="3709" spans="1:10">
      <c r="A3709" t="s">
        <v>194</v>
      </c>
      <c r="B3709" t="s">
        <v>195</v>
      </c>
      <c r="C3709" t="s">
        <v>202</v>
      </c>
      <c r="D3709" t="s">
        <v>203</v>
      </c>
      <c r="E3709">
        <v>9228.6991122498948</v>
      </c>
      <c r="F3709">
        <v>6633.3333333333303</v>
      </c>
      <c r="G3709">
        <v>215</v>
      </c>
      <c r="H3709">
        <v>75000</v>
      </c>
      <c r="I3709">
        <v>489</v>
      </c>
      <c r="J3709">
        <v>2368</v>
      </c>
    </row>
    <row r="3710" spans="1:10">
      <c r="A3710" t="s">
        <v>194</v>
      </c>
      <c r="B3710" t="s">
        <v>195</v>
      </c>
      <c r="C3710" t="s">
        <v>204</v>
      </c>
      <c r="D3710" t="s">
        <v>203</v>
      </c>
      <c r="E3710">
        <v>7863.2466971200911</v>
      </c>
      <c r="F3710">
        <v>6286.6666666666697</v>
      </c>
      <c r="G3710">
        <v>250</v>
      </c>
      <c r="H3710">
        <v>37000</v>
      </c>
      <c r="I3710">
        <v>278</v>
      </c>
      <c r="J3710">
        <v>2368</v>
      </c>
    </row>
    <row r="3711" spans="1:10">
      <c r="A3711" t="s">
        <v>194</v>
      </c>
      <c r="B3711" t="s">
        <v>195</v>
      </c>
      <c r="C3711" t="s">
        <v>205</v>
      </c>
      <c r="D3711" t="s">
        <v>203</v>
      </c>
      <c r="E3711">
        <v>7526.0858654240346</v>
      </c>
      <c r="F3711">
        <v>5750</v>
      </c>
      <c r="G3711">
        <v>286.66666666666703</v>
      </c>
      <c r="H3711">
        <v>113333.33333333299</v>
      </c>
      <c r="I3711">
        <v>300</v>
      </c>
      <c r="J3711">
        <v>2368</v>
      </c>
    </row>
    <row r="3712" spans="1:10">
      <c r="A3712" t="s">
        <v>194</v>
      </c>
      <c r="B3712" t="s">
        <v>199</v>
      </c>
      <c r="C3712" t="s">
        <v>202</v>
      </c>
      <c r="D3712" t="s">
        <v>203</v>
      </c>
      <c r="E3712">
        <v>15275.778042904851</v>
      </c>
      <c r="F3712">
        <v>10500</v>
      </c>
      <c r="G3712">
        <v>206.4</v>
      </c>
      <c r="H3712">
        <v>250000</v>
      </c>
      <c r="I3712">
        <v>462</v>
      </c>
      <c r="J3712">
        <v>2368</v>
      </c>
    </row>
    <row r="3713" spans="1:10">
      <c r="A3713" t="s">
        <v>194</v>
      </c>
      <c r="B3713" t="s">
        <v>199</v>
      </c>
      <c r="C3713" t="s">
        <v>204</v>
      </c>
      <c r="D3713" t="s">
        <v>203</v>
      </c>
      <c r="E3713">
        <v>9807.249932887411</v>
      </c>
      <c r="F3713">
        <v>7925</v>
      </c>
      <c r="G3713">
        <v>215</v>
      </c>
      <c r="H3713">
        <v>100000</v>
      </c>
      <c r="I3713">
        <v>381</v>
      </c>
      <c r="J3713">
        <v>2368</v>
      </c>
    </row>
    <row r="3714" spans="1:10">
      <c r="A3714" t="s">
        <v>194</v>
      </c>
      <c r="B3714" t="s">
        <v>199</v>
      </c>
      <c r="C3714" t="s">
        <v>205</v>
      </c>
      <c r="D3714" t="s">
        <v>203</v>
      </c>
      <c r="E3714">
        <v>9541.7956780048662</v>
      </c>
      <c r="F3714">
        <v>7000</v>
      </c>
      <c r="G3714">
        <v>166.666666666667</v>
      </c>
      <c r="H3714">
        <v>165000</v>
      </c>
      <c r="I3714">
        <v>429</v>
      </c>
      <c r="J3714">
        <v>2368</v>
      </c>
    </row>
    <row r="3715" spans="1:10">
      <c r="A3715" t="s">
        <v>200</v>
      </c>
      <c r="B3715" t="s">
        <v>200</v>
      </c>
      <c r="C3715" t="s">
        <v>200</v>
      </c>
      <c r="D3715" t="s">
        <v>200</v>
      </c>
      <c r="E3715">
        <v>11135.371169255821</v>
      </c>
      <c r="F3715">
        <v>8000</v>
      </c>
      <c r="G3715">
        <v>166.666666666667</v>
      </c>
      <c r="H3715">
        <v>250000</v>
      </c>
      <c r="I3715">
        <v>2368</v>
      </c>
      <c r="J3715">
        <v>2368</v>
      </c>
    </row>
    <row r="3726" spans="1:10" ht="45">
      <c r="A3726" s="22" t="s">
        <v>950</v>
      </c>
    </row>
    <row r="3727" spans="1:10">
      <c r="A3727" t="s">
        <v>951</v>
      </c>
    </row>
    <row r="3728" spans="1:10">
      <c r="A3728" t="s">
        <v>184</v>
      </c>
      <c r="B3728" t="s">
        <v>185</v>
      </c>
      <c r="C3728" t="s">
        <v>186</v>
      </c>
      <c r="D3728" t="s">
        <v>187</v>
      </c>
      <c r="E3728" t="s">
        <v>188</v>
      </c>
      <c r="F3728" t="s">
        <v>189</v>
      </c>
      <c r="G3728" t="s">
        <v>190</v>
      </c>
      <c r="H3728" t="s">
        <v>191</v>
      </c>
      <c r="I3728" t="s">
        <v>192</v>
      </c>
      <c r="J3728" t="s">
        <v>193</v>
      </c>
    </row>
    <row r="3729" spans="1:10">
      <c r="A3729" t="s">
        <v>194</v>
      </c>
      <c r="B3729" t="s">
        <v>195</v>
      </c>
      <c r="C3729" t="s">
        <v>207</v>
      </c>
      <c r="D3729" t="s">
        <v>208</v>
      </c>
      <c r="E3729">
        <v>7384.154465847324</v>
      </c>
      <c r="F3729">
        <v>5500</v>
      </c>
      <c r="G3729">
        <v>500</v>
      </c>
      <c r="H3729">
        <v>113333.33333333299</v>
      </c>
      <c r="I3729">
        <v>302</v>
      </c>
      <c r="J3729">
        <v>2368</v>
      </c>
    </row>
    <row r="3730" spans="1:10">
      <c r="A3730" t="s">
        <v>194</v>
      </c>
      <c r="B3730" t="s">
        <v>195</v>
      </c>
      <c r="C3730" t="s">
        <v>209</v>
      </c>
      <c r="D3730" t="s">
        <v>208</v>
      </c>
      <c r="E3730">
        <v>9132.0486066020221</v>
      </c>
      <c r="F3730">
        <v>7000</v>
      </c>
      <c r="G3730">
        <v>215</v>
      </c>
      <c r="H3730">
        <v>75000</v>
      </c>
      <c r="I3730">
        <v>782</v>
      </c>
      <c r="J3730">
        <v>2368</v>
      </c>
    </row>
    <row r="3731" spans="1:10">
      <c r="A3731" t="s">
        <v>194</v>
      </c>
      <c r="B3731" t="s">
        <v>199</v>
      </c>
      <c r="C3731" t="s">
        <v>207</v>
      </c>
      <c r="D3731" t="s">
        <v>208</v>
      </c>
      <c r="E3731">
        <v>11846.725424095341</v>
      </c>
      <c r="F3731">
        <v>7500</v>
      </c>
      <c r="G3731">
        <v>166.666666666667</v>
      </c>
      <c r="H3731">
        <v>83500</v>
      </c>
      <c r="I3731">
        <v>262</v>
      </c>
      <c r="J3731">
        <v>2368</v>
      </c>
    </row>
    <row r="3732" spans="1:10">
      <c r="A3732" t="s">
        <v>194</v>
      </c>
      <c r="B3732" t="s">
        <v>199</v>
      </c>
      <c r="C3732" t="s">
        <v>209</v>
      </c>
      <c r="D3732" t="s">
        <v>208</v>
      </c>
      <c r="E3732">
        <v>13454.02488120525</v>
      </c>
      <c r="F3732">
        <v>10000</v>
      </c>
      <c r="G3732">
        <v>206.4</v>
      </c>
      <c r="H3732">
        <v>250000</v>
      </c>
      <c r="I3732">
        <v>1022</v>
      </c>
      <c r="J3732">
        <v>2368</v>
      </c>
    </row>
    <row r="3733" spans="1:10">
      <c r="A3733" t="s">
        <v>200</v>
      </c>
      <c r="B3733" t="s">
        <v>200</v>
      </c>
      <c r="C3733" t="s">
        <v>200</v>
      </c>
      <c r="D3733" t="s">
        <v>200</v>
      </c>
      <c r="E3733">
        <v>11135.371169255821</v>
      </c>
      <c r="F3733">
        <v>8000</v>
      </c>
      <c r="G3733">
        <v>166.666666666667</v>
      </c>
      <c r="H3733">
        <v>250000</v>
      </c>
      <c r="I3733">
        <v>2368</v>
      </c>
      <c r="J3733">
        <v>2368</v>
      </c>
    </row>
    <row r="3740" spans="1:10" ht="45">
      <c r="A3740" s="22" t="s">
        <v>952</v>
      </c>
    </row>
    <row r="3741" spans="1:10">
      <c r="A3741" t="s">
        <v>184</v>
      </c>
      <c r="B3741" t="s">
        <v>185</v>
      </c>
      <c r="C3741" t="s">
        <v>188</v>
      </c>
      <c r="D3741" t="s">
        <v>189</v>
      </c>
      <c r="E3741" t="s">
        <v>190</v>
      </c>
      <c r="F3741" t="s">
        <v>191</v>
      </c>
      <c r="G3741" t="s">
        <v>192</v>
      </c>
      <c r="H3741" t="s">
        <v>193</v>
      </c>
    </row>
    <row r="3742" spans="1:10">
      <c r="A3742" t="s">
        <v>194</v>
      </c>
      <c r="B3742" t="s">
        <v>195</v>
      </c>
      <c r="C3742">
        <v>8681.4875348693568</v>
      </c>
      <c r="D3742">
        <v>6300</v>
      </c>
      <c r="E3742">
        <v>215</v>
      </c>
      <c r="F3742">
        <v>113333.33333333299</v>
      </c>
      <c r="G3742">
        <v>1084</v>
      </c>
      <c r="H3742">
        <v>2368</v>
      </c>
    </row>
    <row r="3743" spans="1:10">
      <c r="A3743" t="s">
        <v>194</v>
      </c>
      <c r="B3743" t="s">
        <v>199</v>
      </c>
      <c r="C3743">
        <v>13235.29624938039</v>
      </c>
      <c r="D3743">
        <v>10000</v>
      </c>
      <c r="E3743">
        <v>166.666666666667</v>
      </c>
      <c r="F3743">
        <v>250000</v>
      </c>
      <c r="G3743">
        <v>1284</v>
      </c>
      <c r="H3743">
        <v>2368</v>
      </c>
    </row>
    <row r="3744" spans="1:10">
      <c r="A3744" t="s">
        <v>200</v>
      </c>
      <c r="B3744" t="s">
        <v>200</v>
      </c>
      <c r="C3744">
        <v>11135.371169255821</v>
      </c>
      <c r="D3744">
        <v>8000</v>
      </c>
      <c r="E3744">
        <v>166.666666666667</v>
      </c>
      <c r="F3744">
        <v>250000</v>
      </c>
      <c r="G3744">
        <v>2368</v>
      </c>
      <c r="H3744">
        <v>2368</v>
      </c>
    </row>
    <row r="3749" spans="1:10" ht="45">
      <c r="A3749" s="22" t="s">
        <v>953</v>
      </c>
    </row>
    <row r="3750" spans="1:10">
      <c r="A3750" t="s">
        <v>184</v>
      </c>
      <c r="B3750" t="s">
        <v>185</v>
      </c>
      <c r="C3750" t="s">
        <v>186</v>
      </c>
      <c r="D3750" t="s">
        <v>187</v>
      </c>
      <c r="E3750" t="s">
        <v>188</v>
      </c>
      <c r="F3750" t="s">
        <v>189</v>
      </c>
      <c r="G3750" t="s">
        <v>190</v>
      </c>
      <c r="H3750" t="s">
        <v>191</v>
      </c>
      <c r="I3750" t="s">
        <v>192</v>
      </c>
      <c r="J3750" t="s">
        <v>193</v>
      </c>
    </row>
    <row r="3751" spans="1:10">
      <c r="A3751" t="s">
        <v>194</v>
      </c>
      <c r="B3751" t="s">
        <v>195</v>
      </c>
      <c r="C3751" t="s">
        <v>212</v>
      </c>
      <c r="D3751" t="s">
        <v>213</v>
      </c>
      <c r="E3751">
        <v>8631.0565077257979</v>
      </c>
      <c r="F3751">
        <v>6500</v>
      </c>
      <c r="G3751">
        <v>215</v>
      </c>
      <c r="H3751">
        <v>113333.33333333299</v>
      </c>
      <c r="I3751">
        <v>801</v>
      </c>
      <c r="J3751">
        <v>2368</v>
      </c>
    </row>
    <row r="3752" spans="1:10">
      <c r="A3752" t="s">
        <v>194</v>
      </c>
      <c r="B3752" t="s">
        <v>195</v>
      </c>
      <c r="C3752" t="s">
        <v>214</v>
      </c>
      <c r="D3752" t="s">
        <v>213</v>
      </c>
      <c r="E3752">
        <v>11143.44449052599</v>
      </c>
      <c r="F3752">
        <v>8000</v>
      </c>
      <c r="G3752">
        <v>2000</v>
      </c>
      <c r="H3752">
        <v>75000</v>
      </c>
      <c r="I3752">
        <v>159</v>
      </c>
      <c r="J3752">
        <v>2368</v>
      </c>
    </row>
    <row r="3753" spans="1:10">
      <c r="A3753" t="s">
        <v>194</v>
      </c>
      <c r="B3753" t="s">
        <v>195</v>
      </c>
      <c r="C3753" t="s">
        <v>215</v>
      </c>
      <c r="D3753" t="s">
        <v>213</v>
      </c>
      <c r="E3753">
        <v>4702.8153440047627</v>
      </c>
      <c r="F3753">
        <v>4000</v>
      </c>
      <c r="G3753">
        <v>333.33333333333297</v>
      </c>
      <c r="H3753">
        <v>16800</v>
      </c>
      <c r="I3753">
        <v>124</v>
      </c>
      <c r="J3753">
        <v>2368</v>
      </c>
    </row>
    <row r="3754" spans="1:10">
      <c r="A3754" t="s">
        <v>194</v>
      </c>
      <c r="B3754" t="s">
        <v>199</v>
      </c>
      <c r="C3754" t="s">
        <v>212</v>
      </c>
      <c r="D3754" t="s">
        <v>213</v>
      </c>
      <c r="E3754">
        <v>13217.353183196379</v>
      </c>
      <c r="F3754">
        <v>10000</v>
      </c>
      <c r="G3754">
        <v>166.666666666667</v>
      </c>
      <c r="H3754">
        <v>250000</v>
      </c>
      <c r="I3754">
        <v>962</v>
      </c>
      <c r="J3754">
        <v>2368</v>
      </c>
    </row>
    <row r="3755" spans="1:10">
      <c r="A3755" t="s">
        <v>194</v>
      </c>
      <c r="B3755" t="s">
        <v>199</v>
      </c>
      <c r="C3755" t="s">
        <v>214</v>
      </c>
      <c r="D3755" t="s">
        <v>213</v>
      </c>
      <c r="E3755">
        <v>16964.932125915529</v>
      </c>
      <c r="F3755">
        <v>15000</v>
      </c>
      <c r="G3755">
        <v>1000</v>
      </c>
      <c r="H3755">
        <v>250000</v>
      </c>
      <c r="I3755">
        <v>167</v>
      </c>
      <c r="J3755">
        <v>2368</v>
      </c>
    </row>
    <row r="3756" spans="1:10">
      <c r="A3756" t="s">
        <v>194</v>
      </c>
      <c r="B3756" t="s">
        <v>199</v>
      </c>
      <c r="C3756" t="s">
        <v>215</v>
      </c>
      <c r="D3756" t="s">
        <v>213</v>
      </c>
      <c r="E3756">
        <v>5910.5220673407239</v>
      </c>
      <c r="F3756">
        <v>5500</v>
      </c>
      <c r="G3756">
        <v>206.4</v>
      </c>
      <c r="H3756">
        <v>25600</v>
      </c>
      <c r="I3756">
        <v>155</v>
      </c>
      <c r="J3756">
        <v>2368</v>
      </c>
    </row>
    <row r="3757" spans="1:10">
      <c r="A3757" t="s">
        <v>200</v>
      </c>
      <c r="B3757" t="s">
        <v>200</v>
      </c>
      <c r="C3757" t="s">
        <v>200</v>
      </c>
      <c r="D3757" t="s">
        <v>200</v>
      </c>
      <c r="E3757">
        <v>11135.371169255821</v>
      </c>
      <c r="F3757">
        <v>8000</v>
      </c>
      <c r="G3757">
        <v>166.666666666667</v>
      </c>
      <c r="H3757">
        <v>250000</v>
      </c>
      <c r="I3757">
        <v>2368</v>
      </c>
      <c r="J3757">
        <v>2368</v>
      </c>
    </row>
    <row r="3760" spans="1:10" ht="12.6" customHeight="1"/>
    <row r="3768" spans="1:9" ht="45">
      <c r="A3768" s="22" t="s">
        <v>954</v>
      </c>
    </row>
    <row r="3769" spans="1:9">
      <c r="A3769" t="s">
        <v>185</v>
      </c>
      <c r="B3769" t="s">
        <v>186</v>
      </c>
      <c r="C3769" t="s">
        <v>187</v>
      </c>
      <c r="D3769" t="s">
        <v>188</v>
      </c>
      <c r="E3769" t="s">
        <v>189</v>
      </c>
      <c r="F3769" t="s">
        <v>190</v>
      </c>
      <c r="G3769" t="s">
        <v>191</v>
      </c>
      <c r="H3769" t="s">
        <v>192</v>
      </c>
      <c r="I3769" t="s">
        <v>193</v>
      </c>
    </row>
    <row r="3770" spans="1:9">
      <c r="A3770" t="s">
        <v>195</v>
      </c>
      <c r="B3770" t="s">
        <v>217</v>
      </c>
      <c r="C3770" t="s">
        <v>218</v>
      </c>
      <c r="D3770">
        <v>8497.5431244999254</v>
      </c>
      <c r="E3770">
        <v>6333.3333333333303</v>
      </c>
      <c r="F3770">
        <v>500</v>
      </c>
      <c r="G3770">
        <v>50000</v>
      </c>
      <c r="H3770">
        <v>455</v>
      </c>
      <c r="I3770">
        <v>2368</v>
      </c>
    </row>
    <row r="3771" spans="1:9">
      <c r="A3771" t="s">
        <v>195</v>
      </c>
      <c r="B3771" t="s">
        <v>219</v>
      </c>
      <c r="C3771" t="s">
        <v>218</v>
      </c>
      <c r="D3771">
        <v>7531.2623052140661</v>
      </c>
      <c r="E3771">
        <v>5500</v>
      </c>
      <c r="F3771">
        <v>215</v>
      </c>
      <c r="G3771">
        <v>113333.33333333299</v>
      </c>
      <c r="H3771">
        <v>465</v>
      </c>
      <c r="I3771">
        <v>2368</v>
      </c>
    </row>
    <row r="3772" spans="1:9">
      <c r="A3772" t="s">
        <v>195</v>
      </c>
      <c r="B3772" t="s">
        <v>220</v>
      </c>
      <c r="C3772" t="s">
        <v>218</v>
      </c>
      <c r="D3772">
        <v>11700.58717391696</v>
      </c>
      <c r="E3772">
        <v>9000</v>
      </c>
      <c r="F3772">
        <v>286.66666666666703</v>
      </c>
      <c r="G3772">
        <v>75000</v>
      </c>
      <c r="H3772">
        <v>163</v>
      </c>
      <c r="I3772">
        <v>2368</v>
      </c>
    </row>
    <row r="3773" spans="1:9">
      <c r="A3773" t="s">
        <v>199</v>
      </c>
      <c r="B3773" t="s">
        <v>217</v>
      </c>
      <c r="C3773" t="s">
        <v>218</v>
      </c>
      <c r="D3773">
        <v>11433.466150263979</v>
      </c>
      <c r="E3773">
        <v>9250</v>
      </c>
      <c r="F3773">
        <v>215</v>
      </c>
      <c r="G3773">
        <v>83500</v>
      </c>
      <c r="H3773">
        <v>696</v>
      </c>
      <c r="I3773">
        <v>2368</v>
      </c>
    </row>
    <row r="3774" spans="1:9">
      <c r="A3774" t="s">
        <v>199</v>
      </c>
      <c r="B3774" t="s">
        <v>219</v>
      </c>
      <c r="C3774" t="s">
        <v>218</v>
      </c>
      <c r="D3774">
        <v>12239.449458745919</v>
      </c>
      <c r="E3774">
        <v>10000</v>
      </c>
      <c r="F3774">
        <v>166.666666666667</v>
      </c>
      <c r="G3774">
        <v>165000</v>
      </c>
      <c r="H3774">
        <v>397</v>
      </c>
      <c r="I3774">
        <v>2368</v>
      </c>
    </row>
    <row r="3775" spans="1:9">
      <c r="A3775" t="s">
        <v>199</v>
      </c>
      <c r="B3775" t="s">
        <v>220</v>
      </c>
      <c r="C3775" t="s">
        <v>218</v>
      </c>
      <c r="D3775">
        <v>21367.79424561435</v>
      </c>
      <c r="E3775">
        <v>11950</v>
      </c>
      <c r="F3775">
        <v>206.4</v>
      </c>
      <c r="G3775">
        <v>250000</v>
      </c>
      <c r="H3775">
        <v>191</v>
      </c>
      <c r="I3775">
        <v>2368</v>
      </c>
    </row>
    <row r="3776" spans="1:9">
      <c r="A3776" t="s">
        <v>200</v>
      </c>
      <c r="B3776" t="s">
        <v>200</v>
      </c>
      <c r="C3776" t="s">
        <v>200</v>
      </c>
      <c r="D3776">
        <v>11135.371169255821</v>
      </c>
      <c r="E3776">
        <v>8000</v>
      </c>
      <c r="F3776">
        <v>166.666666666667</v>
      </c>
      <c r="G3776">
        <v>250000</v>
      </c>
      <c r="H3776">
        <v>2368</v>
      </c>
      <c r="I3776">
        <v>2368</v>
      </c>
    </row>
    <row r="3787" spans="1:10" ht="45">
      <c r="A3787" s="22" t="s">
        <v>955</v>
      </c>
    </row>
    <row r="3788" spans="1:10">
      <c r="A3788" t="s">
        <v>184</v>
      </c>
      <c r="B3788" t="s">
        <v>185</v>
      </c>
      <c r="C3788" t="s">
        <v>186</v>
      </c>
      <c r="D3788" t="s">
        <v>187</v>
      </c>
      <c r="E3788" t="s">
        <v>188</v>
      </c>
      <c r="F3788" t="s">
        <v>189</v>
      </c>
      <c r="G3788" t="s">
        <v>190</v>
      </c>
      <c r="H3788" t="s">
        <v>191</v>
      </c>
      <c r="I3788" t="s">
        <v>192</v>
      </c>
      <c r="J3788" t="s">
        <v>193</v>
      </c>
    </row>
    <row r="3789" spans="1:10">
      <c r="A3789" t="s">
        <v>194</v>
      </c>
      <c r="B3789" t="s">
        <v>195</v>
      </c>
      <c r="C3789" t="s">
        <v>196</v>
      </c>
      <c r="D3789" t="s">
        <v>197</v>
      </c>
      <c r="E3789">
        <v>18412.886537846462</v>
      </c>
      <c r="F3789">
        <v>12000</v>
      </c>
      <c r="G3789">
        <v>1500</v>
      </c>
      <c r="H3789">
        <v>340000</v>
      </c>
      <c r="I3789">
        <v>384</v>
      </c>
      <c r="J3789">
        <v>2368</v>
      </c>
    </row>
    <row r="3790" spans="1:10">
      <c r="A3790" t="s">
        <v>194</v>
      </c>
      <c r="B3790" t="s">
        <v>195</v>
      </c>
      <c r="C3790" t="s">
        <v>198</v>
      </c>
      <c r="D3790" t="s">
        <v>197</v>
      </c>
      <c r="E3790">
        <v>22500.836075918782</v>
      </c>
      <c r="F3790">
        <v>17960</v>
      </c>
      <c r="G3790">
        <v>500</v>
      </c>
      <c r="H3790">
        <v>150000</v>
      </c>
      <c r="I3790">
        <v>683</v>
      </c>
      <c r="J3790">
        <v>2368</v>
      </c>
    </row>
    <row r="3791" spans="1:10">
      <c r="A3791" t="s">
        <v>194</v>
      </c>
      <c r="B3791" t="s">
        <v>199</v>
      </c>
      <c r="C3791" t="s">
        <v>196</v>
      </c>
      <c r="D3791" t="s">
        <v>197</v>
      </c>
      <c r="E3791">
        <v>28738.452016778119</v>
      </c>
      <c r="F3791">
        <v>24800</v>
      </c>
      <c r="G3791">
        <v>500</v>
      </c>
      <c r="H3791">
        <v>250000</v>
      </c>
      <c r="I3791">
        <v>468</v>
      </c>
      <c r="J3791">
        <v>2368</v>
      </c>
    </row>
    <row r="3792" spans="1:10">
      <c r="A3792" t="s">
        <v>194</v>
      </c>
      <c r="B3792" t="s">
        <v>199</v>
      </c>
      <c r="C3792" t="s">
        <v>198</v>
      </c>
      <c r="D3792" t="s">
        <v>197</v>
      </c>
      <c r="E3792">
        <v>33048.368347775082</v>
      </c>
      <c r="F3792">
        <v>25860</v>
      </c>
      <c r="G3792">
        <v>860</v>
      </c>
      <c r="H3792">
        <v>500000</v>
      </c>
      <c r="I3792">
        <v>804</v>
      </c>
      <c r="J3792">
        <v>2368</v>
      </c>
    </row>
    <row r="3793" spans="1:10">
      <c r="A3793" t="s">
        <v>200</v>
      </c>
      <c r="B3793" t="s">
        <v>200</v>
      </c>
      <c r="C3793" t="s">
        <v>200</v>
      </c>
      <c r="D3793" t="s">
        <v>200</v>
      </c>
      <c r="E3793">
        <v>27197.1773687161</v>
      </c>
      <c r="F3793">
        <v>20380</v>
      </c>
      <c r="G3793">
        <v>500</v>
      </c>
      <c r="H3793">
        <v>500000</v>
      </c>
      <c r="I3793">
        <v>2368</v>
      </c>
      <c r="J3793">
        <v>2368</v>
      </c>
    </row>
    <row r="3795" spans="1:10" ht="45">
      <c r="A3795" s="22" t="s">
        <v>956</v>
      </c>
    </row>
    <row r="3796" spans="1:10">
      <c r="A3796" t="s">
        <v>184</v>
      </c>
      <c r="B3796" t="s">
        <v>185</v>
      </c>
      <c r="C3796" t="s">
        <v>186</v>
      </c>
      <c r="D3796" t="s">
        <v>187</v>
      </c>
      <c r="E3796" t="s">
        <v>188</v>
      </c>
      <c r="F3796" t="s">
        <v>189</v>
      </c>
      <c r="G3796" t="s">
        <v>190</v>
      </c>
      <c r="H3796" t="s">
        <v>191</v>
      </c>
      <c r="I3796" t="s">
        <v>192</v>
      </c>
      <c r="J3796" t="s">
        <v>193</v>
      </c>
    </row>
    <row r="3797" spans="1:10">
      <c r="A3797" t="s">
        <v>194</v>
      </c>
      <c r="B3797" t="s">
        <v>195</v>
      </c>
      <c r="C3797" t="s">
        <v>202</v>
      </c>
      <c r="D3797" t="s">
        <v>203</v>
      </c>
      <c r="E3797">
        <v>22204.947596523441</v>
      </c>
      <c r="F3797">
        <v>16000</v>
      </c>
      <c r="G3797">
        <v>860</v>
      </c>
      <c r="H3797">
        <v>150000</v>
      </c>
      <c r="I3797">
        <v>489</v>
      </c>
      <c r="J3797">
        <v>2368</v>
      </c>
    </row>
    <row r="3798" spans="1:10">
      <c r="A3798" t="s">
        <v>194</v>
      </c>
      <c r="B3798" t="s">
        <v>195</v>
      </c>
      <c r="C3798" t="s">
        <v>204</v>
      </c>
      <c r="D3798" t="s">
        <v>203</v>
      </c>
      <c r="E3798">
        <v>20017.40107492618</v>
      </c>
      <c r="F3798">
        <v>16860</v>
      </c>
      <c r="G3798">
        <v>500</v>
      </c>
      <c r="H3798">
        <v>87000</v>
      </c>
      <c r="I3798">
        <v>278</v>
      </c>
      <c r="J3798">
        <v>2368</v>
      </c>
    </row>
    <row r="3799" spans="1:10">
      <c r="A3799" t="s">
        <v>194</v>
      </c>
      <c r="B3799" t="s">
        <v>195</v>
      </c>
      <c r="C3799" t="s">
        <v>205</v>
      </c>
      <c r="D3799" t="s">
        <v>203</v>
      </c>
      <c r="E3799">
        <v>19786.12063585531</v>
      </c>
      <c r="F3799">
        <v>15000</v>
      </c>
      <c r="G3799">
        <v>860</v>
      </c>
      <c r="H3799">
        <v>340000</v>
      </c>
      <c r="I3799">
        <v>300</v>
      </c>
      <c r="J3799">
        <v>2368</v>
      </c>
    </row>
    <row r="3800" spans="1:10">
      <c r="A3800" t="s">
        <v>194</v>
      </c>
      <c r="B3800" t="s">
        <v>199</v>
      </c>
      <c r="C3800" t="s">
        <v>202</v>
      </c>
      <c r="D3800" t="s">
        <v>203</v>
      </c>
      <c r="E3800">
        <v>36019.645855302479</v>
      </c>
      <c r="F3800">
        <v>28360</v>
      </c>
      <c r="G3800">
        <v>860</v>
      </c>
      <c r="H3800">
        <v>500000</v>
      </c>
      <c r="I3800">
        <v>462</v>
      </c>
      <c r="J3800">
        <v>2368</v>
      </c>
    </row>
    <row r="3801" spans="1:10">
      <c r="A3801" t="s">
        <v>194</v>
      </c>
      <c r="B3801" t="s">
        <v>199</v>
      </c>
      <c r="C3801" t="s">
        <v>204</v>
      </c>
      <c r="D3801" t="s">
        <v>203</v>
      </c>
      <c r="E3801">
        <v>26610.400189225249</v>
      </c>
      <c r="F3801">
        <v>23600</v>
      </c>
      <c r="G3801">
        <v>860</v>
      </c>
      <c r="H3801">
        <v>130000</v>
      </c>
      <c r="I3801">
        <v>381</v>
      </c>
      <c r="J3801">
        <v>2368</v>
      </c>
    </row>
    <row r="3802" spans="1:10">
      <c r="A3802" t="s">
        <v>194</v>
      </c>
      <c r="B3802" t="s">
        <v>199</v>
      </c>
      <c r="C3802" t="s">
        <v>205</v>
      </c>
      <c r="D3802" t="s">
        <v>203</v>
      </c>
      <c r="E3802">
        <v>24185.651983650801</v>
      </c>
      <c r="F3802">
        <v>18500</v>
      </c>
      <c r="G3802">
        <v>500</v>
      </c>
      <c r="H3802">
        <v>330000</v>
      </c>
      <c r="I3802">
        <v>429</v>
      </c>
      <c r="J3802">
        <v>2368</v>
      </c>
    </row>
    <row r="3803" spans="1:10">
      <c r="A3803" t="s">
        <v>200</v>
      </c>
      <c r="B3803" t="s">
        <v>200</v>
      </c>
      <c r="C3803" t="s">
        <v>200</v>
      </c>
      <c r="D3803" t="s">
        <v>200</v>
      </c>
      <c r="E3803">
        <v>27197.1773687161</v>
      </c>
      <c r="F3803">
        <v>20380</v>
      </c>
      <c r="G3803">
        <v>500</v>
      </c>
      <c r="H3803">
        <v>500000</v>
      </c>
      <c r="I3803">
        <v>2368</v>
      </c>
      <c r="J3803">
        <v>2368</v>
      </c>
    </row>
    <row r="3805" spans="1:10" ht="45">
      <c r="A3805" s="22" t="s">
        <v>957</v>
      </c>
    </row>
    <row r="3806" spans="1:10">
      <c r="A3806" t="s">
        <v>184</v>
      </c>
      <c r="B3806" t="s">
        <v>185</v>
      </c>
      <c r="C3806" t="s">
        <v>186</v>
      </c>
      <c r="D3806" t="s">
        <v>187</v>
      </c>
      <c r="E3806" t="s">
        <v>188</v>
      </c>
      <c r="F3806" t="s">
        <v>189</v>
      </c>
      <c r="G3806" t="s">
        <v>190</v>
      </c>
      <c r="H3806" t="s">
        <v>191</v>
      </c>
      <c r="I3806" t="s">
        <v>192</v>
      </c>
      <c r="J3806" t="s">
        <v>193</v>
      </c>
    </row>
    <row r="3807" spans="1:10">
      <c r="A3807" t="s">
        <v>194</v>
      </c>
      <c r="B3807" t="s">
        <v>195</v>
      </c>
      <c r="C3807" t="s">
        <v>207</v>
      </c>
      <c r="D3807" t="s">
        <v>208</v>
      </c>
      <c r="E3807">
        <v>19127.86950666333</v>
      </c>
      <c r="F3807">
        <v>13000</v>
      </c>
      <c r="G3807">
        <v>2000</v>
      </c>
      <c r="H3807">
        <v>340000</v>
      </c>
      <c r="I3807">
        <v>302</v>
      </c>
      <c r="J3807">
        <v>2368</v>
      </c>
    </row>
    <row r="3808" spans="1:10">
      <c r="A3808" t="s">
        <v>194</v>
      </c>
      <c r="B3808" t="s">
        <v>195</v>
      </c>
      <c r="C3808" t="s">
        <v>209</v>
      </c>
      <c r="D3808" t="s">
        <v>208</v>
      </c>
      <c r="E3808">
        <v>22139.13527637727</v>
      </c>
      <c r="F3808">
        <v>16000</v>
      </c>
      <c r="G3808">
        <v>500</v>
      </c>
      <c r="H3808">
        <v>150000</v>
      </c>
      <c r="I3808">
        <v>782</v>
      </c>
      <c r="J3808">
        <v>2368</v>
      </c>
    </row>
    <row r="3809" spans="1:10">
      <c r="A3809" t="s">
        <v>194</v>
      </c>
      <c r="B3809" t="s">
        <v>199</v>
      </c>
      <c r="C3809" t="s">
        <v>207</v>
      </c>
      <c r="D3809" t="s">
        <v>208</v>
      </c>
      <c r="E3809">
        <v>32630.640813107409</v>
      </c>
      <c r="F3809">
        <v>24900</v>
      </c>
      <c r="G3809">
        <v>500</v>
      </c>
      <c r="H3809">
        <v>200000</v>
      </c>
      <c r="I3809">
        <v>262</v>
      </c>
      <c r="J3809">
        <v>2368</v>
      </c>
    </row>
    <row r="3810" spans="1:10">
      <c r="A3810" t="s">
        <v>194</v>
      </c>
      <c r="B3810" t="s">
        <v>199</v>
      </c>
      <c r="C3810" t="s">
        <v>209</v>
      </c>
      <c r="D3810" t="s">
        <v>208</v>
      </c>
      <c r="E3810">
        <v>32120.456957727609</v>
      </c>
      <c r="F3810">
        <v>25000</v>
      </c>
      <c r="G3810">
        <v>860</v>
      </c>
      <c r="H3810">
        <v>500000</v>
      </c>
      <c r="I3810">
        <v>1022</v>
      </c>
      <c r="J3810">
        <v>2368</v>
      </c>
    </row>
    <row r="3811" spans="1:10">
      <c r="A3811" t="s">
        <v>200</v>
      </c>
      <c r="B3811" t="s">
        <v>200</v>
      </c>
      <c r="C3811" t="s">
        <v>200</v>
      </c>
      <c r="D3811" t="s">
        <v>200</v>
      </c>
      <c r="E3811">
        <v>27197.1773687161</v>
      </c>
      <c r="F3811">
        <v>20380</v>
      </c>
      <c r="G3811">
        <v>500</v>
      </c>
      <c r="H3811">
        <v>500000</v>
      </c>
      <c r="I3811">
        <v>2368</v>
      </c>
      <c r="J3811">
        <v>2368</v>
      </c>
    </row>
    <row r="3813" spans="1:10" ht="45">
      <c r="A3813" s="22" t="s">
        <v>958</v>
      </c>
    </row>
    <row r="3814" spans="1:10">
      <c r="A3814" t="s">
        <v>184</v>
      </c>
      <c r="B3814" t="s">
        <v>185</v>
      </c>
      <c r="C3814" t="s">
        <v>188</v>
      </c>
      <c r="D3814" t="s">
        <v>189</v>
      </c>
      <c r="E3814" t="s">
        <v>190</v>
      </c>
      <c r="F3814" t="s">
        <v>191</v>
      </c>
      <c r="G3814" t="s">
        <v>192</v>
      </c>
      <c r="H3814" t="s">
        <v>193</v>
      </c>
    </row>
    <row r="3815" spans="1:10">
      <c r="A3815" t="s">
        <v>194</v>
      </c>
      <c r="B3815" t="s">
        <v>195</v>
      </c>
      <c r="C3815">
        <v>21362.91027462266</v>
      </c>
      <c r="D3815">
        <v>16000</v>
      </c>
      <c r="E3815">
        <v>500</v>
      </c>
      <c r="F3815">
        <v>340000</v>
      </c>
      <c r="G3815">
        <v>1084</v>
      </c>
      <c r="H3815">
        <v>2368</v>
      </c>
    </row>
    <row r="3816" spans="1:10">
      <c r="A3816" t="s">
        <v>194</v>
      </c>
      <c r="B3816" t="s">
        <v>199</v>
      </c>
      <c r="C3816">
        <v>32189.885100798729</v>
      </c>
      <c r="D3816">
        <v>25000</v>
      </c>
      <c r="E3816">
        <v>500</v>
      </c>
      <c r="F3816">
        <v>500000</v>
      </c>
      <c r="G3816">
        <v>1284</v>
      </c>
      <c r="H3816">
        <v>2368</v>
      </c>
    </row>
    <row r="3817" spans="1:10">
      <c r="A3817" t="s">
        <v>200</v>
      </c>
      <c r="B3817" t="s">
        <v>200</v>
      </c>
      <c r="C3817">
        <v>27197.1773687161</v>
      </c>
      <c r="D3817">
        <v>20380</v>
      </c>
      <c r="E3817">
        <v>500</v>
      </c>
      <c r="F3817">
        <v>500000</v>
      </c>
      <c r="G3817">
        <v>2368</v>
      </c>
      <c r="H3817">
        <v>2368</v>
      </c>
    </row>
    <row r="3819" spans="1:10" ht="45">
      <c r="A3819" s="22" t="s">
        <v>959</v>
      </c>
    </row>
    <row r="3820" spans="1:10">
      <c r="A3820" t="s">
        <v>184</v>
      </c>
      <c r="B3820" t="s">
        <v>185</v>
      </c>
      <c r="C3820" t="s">
        <v>186</v>
      </c>
      <c r="D3820" t="s">
        <v>187</v>
      </c>
      <c r="E3820" t="s">
        <v>188</v>
      </c>
      <c r="F3820" t="s">
        <v>189</v>
      </c>
      <c r="G3820" t="s">
        <v>190</v>
      </c>
      <c r="H3820" t="s">
        <v>191</v>
      </c>
      <c r="I3820" t="s">
        <v>192</v>
      </c>
      <c r="J3820" t="s">
        <v>193</v>
      </c>
    </row>
    <row r="3821" spans="1:10">
      <c r="A3821" t="s">
        <v>194</v>
      </c>
      <c r="B3821" t="s">
        <v>195</v>
      </c>
      <c r="C3821" t="s">
        <v>212</v>
      </c>
      <c r="D3821" t="s">
        <v>213</v>
      </c>
      <c r="E3821">
        <v>22847.751926432538</v>
      </c>
      <c r="F3821">
        <v>18000</v>
      </c>
      <c r="G3821">
        <v>500</v>
      </c>
      <c r="H3821">
        <v>340000</v>
      </c>
      <c r="I3821">
        <v>801</v>
      </c>
      <c r="J3821">
        <v>2368</v>
      </c>
    </row>
    <row r="3822" spans="1:10">
      <c r="A3822" t="s">
        <v>194</v>
      </c>
      <c r="B3822" t="s">
        <v>195</v>
      </c>
      <c r="C3822" t="s">
        <v>214</v>
      </c>
      <c r="D3822" t="s">
        <v>213</v>
      </c>
      <c r="E3822">
        <v>11143.44449052599</v>
      </c>
      <c r="F3822">
        <v>8000</v>
      </c>
      <c r="G3822">
        <v>2000</v>
      </c>
      <c r="H3822">
        <v>75000</v>
      </c>
      <c r="I3822">
        <v>159</v>
      </c>
      <c r="J3822">
        <v>2368</v>
      </c>
    </row>
    <row r="3823" spans="1:10">
      <c r="A3823" t="s">
        <v>194</v>
      </c>
      <c r="B3823" t="s">
        <v>195</v>
      </c>
      <c r="C3823" t="s">
        <v>215</v>
      </c>
      <c r="D3823" t="s">
        <v>213</v>
      </c>
      <c r="E3823">
        <v>26571.028793591791</v>
      </c>
      <c r="F3823">
        <v>22000</v>
      </c>
      <c r="G3823">
        <v>2000</v>
      </c>
      <c r="H3823">
        <v>98860</v>
      </c>
      <c r="I3823">
        <v>124</v>
      </c>
      <c r="J3823">
        <v>2368</v>
      </c>
    </row>
    <row r="3824" spans="1:10">
      <c r="A3824" t="s">
        <v>194</v>
      </c>
      <c r="B3824" t="s">
        <v>199</v>
      </c>
      <c r="C3824" t="s">
        <v>212</v>
      </c>
      <c r="D3824" t="s">
        <v>213</v>
      </c>
      <c r="E3824">
        <v>35408.436640774184</v>
      </c>
      <c r="F3824">
        <v>28500</v>
      </c>
      <c r="G3824">
        <v>500</v>
      </c>
      <c r="H3824">
        <v>500000</v>
      </c>
      <c r="I3824">
        <v>962</v>
      </c>
      <c r="J3824">
        <v>2368</v>
      </c>
    </row>
    <row r="3825" spans="1:10">
      <c r="A3825" t="s">
        <v>194</v>
      </c>
      <c r="B3825" t="s">
        <v>199</v>
      </c>
      <c r="C3825" t="s">
        <v>214</v>
      </c>
      <c r="D3825" t="s">
        <v>213</v>
      </c>
      <c r="E3825">
        <v>16964.932125915529</v>
      </c>
      <c r="F3825">
        <v>15000</v>
      </c>
      <c r="G3825">
        <v>1000</v>
      </c>
      <c r="H3825">
        <v>250000</v>
      </c>
      <c r="I3825">
        <v>167</v>
      </c>
      <c r="J3825">
        <v>2368</v>
      </c>
    </row>
    <row r="3826" spans="1:10">
      <c r="A3826" t="s">
        <v>194</v>
      </c>
      <c r="B3826" t="s">
        <v>199</v>
      </c>
      <c r="C3826" t="s">
        <v>215</v>
      </c>
      <c r="D3826" t="s">
        <v>213</v>
      </c>
      <c r="E3826">
        <v>31884.885984095999</v>
      </c>
      <c r="F3826">
        <v>28900</v>
      </c>
      <c r="G3826">
        <v>1032</v>
      </c>
      <c r="H3826">
        <v>128000</v>
      </c>
      <c r="I3826">
        <v>155</v>
      </c>
      <c r="J3826">
        <v>2368</v>
      </c>
    </row>
    <row r="3827" spans="1:10">
      <c r="A3827" t="s">
        <v>200</v>
      </c>
      <c r="B3827" t="s">
        <v>200</v>
      </c>
      <c r="C3827" t="s">
        <v>200</v>
      </c>
      <c r="D3827" t="s">
        <v>200</v>
      </c>
      <c r="E3827">
        <v>27197.1773687161</v>
      </c>
      <c r="F3827">
        <v>20380</v>
      </c>
      <c r="G3827">
        <v>500</v>
      </c>
      <c r="H3827">
        <v>500000</v>
      </c>
      <c r="I3827">
        <v>2368</v>
      </c>
      <c r="J3827">
        <v>2368</v>
      </c>
    </row>
    <row r="3829" spans="1:10" ht="45">
      <c r="A3829" s="22" t="s">
        <v>960</v>
      </c>
    </row>
    <row r="3830" spans="1:10">
      <c r="A3830" t="s">
        <v>184</v>
      </c>
      <c r="B3830" t="s">
        <v>185</v>
      </c>
      <c r="C3830" t="s">
        <v>186</v>
      </c>
      <c r="D3830" t="s">
        <v>187</v>
      </c>
      <c r="E3830" t="s">
        <v>188</v>
      </c>
      <c r="F3830" t="s">
        <v>189</v>
      </c>
      <c r="G3830" t="s">
        <v>190</v>
      </c>
      <c r="H3830" t="s">
        <v>191</v>
      </c>
      <c r="I3830" t="s">
        <v>192</v>
      </c>
      <c r="J3830" t="s">
        <v>193</v>
      </c>
    </row>
    <row r="3831" spans="1:10">
      <c r="A3831" t="s">
        <v>194</v>
      </c>
      <c r="B3831" t="s">
        <v>195</v>
      </c>
      <c r="C3831" t="s">
        <v>301</v>
      </c>
      <c r="D3831" t="s">
        <v>961</v>
      </c>
      <c r="E3831">
        <v>24429.761947160699</v>
      </c>
      <c r="F3831">
        <v>18600</v>
      </c>
      <c r="G3831">
        <v>500</v>
      </c>
      <c r="H3831">
        <v>340000</v>
      </c>
      <c r="I3831">
        <v>575</v>
      </c>
      <c r="J3831">
        <v>2368</v>
      </c>
    </row>
    <row r="3832" spans="1:10">
      <c r="A3832" t="s">
        <v>194</v>
      </c>
      <c r="B3832" t="s">
        <v>195</v>
      </c>
      <c r="C3832" t="s">
        <v>302</v>
      </c>
      <c r="D3832" t="s">
        <v>961</v>
      </c>
      <c r="E3832">
        <v>18381.339871943808</v>
      </c>
      <c r="F3832">
        <v>13800</v>
      </c>
      <c r="G3832">
        <v>1500</v>
      </c>
      <c r="H3832">
        <v>100000</v>
      </c>
      <c r="I3832">
        <v>509</v>
      </c>
      <c r="J3832">
        <v>2368</v>
      </c>
    </row>
    <row r="3833" spans="1:10">
      <c r="A3833" t="s">
        <v>194</v>
      </c>
      <c r="B3833" t="s">
        <v>199</v>
      </c>
      <c r="C3833" t="s">
        <v>301</v>
      </c>
      <c r="D3833" t="s">
        <v>961</v>
      </c>
      <c r="E3833">
        <v>36128.47051696678</v>
      </c>
      <c r="F3833">
        <v>30000</v>
      </c>
      <c r="G3833">
        <v>500</v>
      </c>
      <c r="H3833">
        <v>200000</v>
      </c>
      <c r="I3833">
        <v>663</v>
      </c>
      <c r="J3833">
        <v>2368</v>
      </c>
    </row>
    <row r="3834" spans="1:10">
      <c r="A3834" t="s">
        <v>194</v>
      </c>
      <c r="B3834" t="s">
        <v>199</v>
      </c>
      <c r="C3834" t="s">
        <v>302</v>
      </c>
      <c r="D3834" t="s">
        <v>961</v>
      </c>
      <c r="E3834">
        <v>28250.325869894928</v>
      </c>
      <c r="F3834">
        <v>18700</v>
      </c>
      <c r="G3834">
        <v>1000</v>
      </c>
      <c r="H3834">
        <v>500000</v>
      </c>
      <c r="I3834">
        <v>621</v>
      </c>
      <c r="J3834">
        <v>2368</v>
      </c>
    </row>
    <row r="3835" spans="1:10">
      <c r="A3835" t="s">
        <v>200</v>
      </c>
      <c r="B3835" t="s">
        <v>200</v>
      </c>
      <c r="C3835" t="s">
        <v>200</v>
      </c>
      <c r="D3835" t="s">
        <v>200</v>
      </c>
      <c r="E3835">
        <v>27197.1773687161</v>
      </c>
      <c r="F3835">
        <v>20380</v>
      </c>
      <c r="G3835">
        <v>500</v>
      </c>
      <c r="H3835">
        <v>500000</v>
      </c>
      <c r="I3835">
        <v>2368</v>
      </c>
      <c r="J3835">
        <v>2368</v>
      </c>
    </row>
    <row r="3837" spans="1:10" ht="45">
      <c r="A3837" s="22" t="s">
        <v>962</v>
      </c>
    </row>
    <row r="3838" spans="1:10">
      <c r="A3838" t="s">
        <v>184</v>
      </c>
      <c r="B3838" t="s">
        <v>185</v>
      </c>
      <c r="C3838" t="s">
        <v>186</v>
      </c>
      <c r="D3838" t="s">
        <v>187</v>
      </c>
      <c r="E3838" t="s">
        <v>188</v>
      </c>
      <c r="F3838" t="s">
        <v>189</v>
      </c>
      <c r="G3838" t="s">
        <v>190</v>
      </c>
      <c r="H3838" t="s">
        <v>191</v>
      </c>
      <c r="I3838" t="s">
        <v>192</v>
      </c>
      <c r="J3838" t="s">
        <v>193</v>
      </c>
    </row>
    <row r="3839" spans="1:10">
      <c r="A3839" t="s">
        <v>194</v>
      </c>
      <c r="B3839" t="s">
        <v>195</v>
      </c>
      <c r="C3839" t="s">
        <v>217</v>
      </c>
      <c r="D3839" t="s">
        <v>218</v>
      </c>
      <c r="E3839">
        <v>24892.732432949841</v>
      </c>
      <c r="F3839">
        <v>20000</v>
      </c>
      <c r="G3839">
        <v>1500</v>
      </c>
      <c r="H3839">
        <v>100000</v>
      </c>
      <c r="I3839">
        <v>455</v>
      </c>
      <c r="J3839">
        <v>2368</v>
      </c>
    </row>
    <row r="3840" spans="1:10">
      <c r="A3840" t="s">
        <v>194</v>
      </c>
      <c r="B3840" t="s">
        <v>195</v>
      </c>
      <c r="C3840" t="s">
        <v>219</v>
      </c>
      <c r="D3840" t="s">
        <v>218</v>
      </c>
      <c r="E3840">
        <v>16246.763599612599</v>
      </c>
      <c r="F3840">
        <v>11880</v>
      </c>
      <c r="G3840">
        <v>500</v>
      </c>
      <c r="H3840">
        <v>340000</v>
      </c>
      <c r="I3840">
        <v>465</v>
      </c>
      <c r="J3840">
        <v>2368</v>
      </c>
    </row>
    <row r="3841" spans="1:10">
      <c r="A3841" t="s">
        <v>194</v>
      </c>
      <c r="B3841" t="s">
        <v>195</v>
      </c>
      <c r="C3841" t="s">
        <v>220</v>
      </c>
      <c r="D3841" t="s">
        <v>218</v>
      </c>
      <c r="E3841">
        <v>24252.21711893941</v>
      </c>
      <c r="F3841">
        <v>19900</v>
      </c>
      <c r="G3841">
        <v>860</v>
      </c>
      <c r="H3841">
        <v>101000</v>
      </c>
      <c r="I3841">
        <v>163</v>
      </c>
      <c r="J3841">
        <v>2368</v>
      </c>
    </row>
    <row r="3842" spans="1:10">
      <c r="A3842" t="s">
        <v>194</v>
      </c>
      <c r="B3842" t="s">
        <v>199</v>
      </c>
      <c r="C3842" t="s">
        <v>217</v>
      </c>
      <c r="D3842" t="s">
        <v>218</v>
      </c>
      <c r="E3842">
        <v>33483.14291093075</v>
      </c>
      <c r="F3842">
        <v>28800</v>
      </c>
      <c r="G3842">
        <v>860</v>
      </c>
      <c r="H3842">
        <v>200000</v>
      </c>
      <c r="I3842">
        <v>696</v>
      </c>
      <c r="J3842">
        <v>2368</v>
      </c>
    </row>
    <row r="3843" spans="1:10">
      <c r="A3843" t="s">
        <v>194</v>
      </c>
      <c r="B3843" t="s">
        <v>199</v>
      </c>
      <c r="C3843" t="s">
        <v>219</v>
      </c>
      <c r="D3843" t="s">
        <v>218</v>
      </c>
      <c r="E3843">
        <v>21546.766688648309</v>
      </c>
      <c r="F3843">
        <v>18000</v>
      </c>
      <c r="G3843">
        <v>500</v>
      </c>
      <c r="H3843">
        <v>330000</v>
      </c>
      <c r="I3843">
        <v>397</v>
      </c>
      <c r="J3843">
        <v>2368</v>
      </c>
    </row>
    <row r="3844" spans="1:10">
      <c r="A3844" t="s">
        <v>194</v>
      </c>
      <c r="B3844" t="s">
        <v>199</v>
      </c>
      <c r="C3844" t="s">
        <v>220</v>
      </c>
      <c r="D3844" t="s">
        <v>218</v>
      </c>
      <c r="E3844">
        <v>44785.64745522794</v>
      </c>
      <c r="F3844">
        <v>28500</v>
      </c>
      <c r="G3844">
        <v>860</v>
      </c>
      <c r="H3844">
        <v>500000</v>
      </c>
      <c r="I3844">
        <v>191</v>
      </c>
      <c r="J3844">
        <v>2368</v>
      </c>
    </row>
    <row r="3845" spans="1:10">
      <c r="A3845" t="s">
        <v>200</v>
      </c>
      <c r="B3845" t="s">
        <v>200</v>
      </c>
      <c r="C3845" t="s">
        <v>200</v>
      </c>
      <c r="D3845" t="s">
        <v>200</v>
      </c>
      <c r="E3845">
        <v>27197.1773687161</v>
      </c>
      <c r="F3845">
        <v>20380</v>
      </c>
      <c r="G3845">
        <v>500</v>
      </c>
      <c r="H3845">
        <v>500000</v>
      </c>
      <c r="I3845">
        <v>2368</v>
      </c>
      <c r="J3845">
        <v>2368</v>
      </c>
    </row>
    <row r="3847" spans="1:10" ht="45">
      <c r="A3847" s="22" t="s">
        <v>963</v>
      </c>
    </row>
    <row r="3848" spans="1:10">
      <c r="A3848" t="s">
        <v>185</v>
      </c>
      <c r="B3848" t="s">
        <v>186</v>
      </c>
      <c r="C3848" t="s">
        <v>192</v>
      </c>
      <c r="D3848" t="s">
        <v>184</v>
      </c>
      <c r="E3848" t="s">
        <v>193</v>
      </c>
      <c r="F3848" t="s">
        <v>257</v>
      </c>
      <c r="G3848" t="s">
        <v>226</v>
      </c>
      <c r="H3848" t="s">
        <v>247</v>
      </c>
      <c r="I3848" t="s">
        <v>227</v>
      </c>
    </row>
    <row r="3849" spans="1:10">
      <c r="A3849" t="s">
        <v>195</v>
      </c>
      <c r="B3849" t="s">
        <v>196</v>
      </c>
      <c r="C3849">
        <v>413</v>
      </c>
      <c r="D3849" t="s">
        <v>194</v>
      </c>
      <c r="E3849">
        <v>2677</v>
      </c>
      <c r="G3849" s="3">
        <v>0.88419999999999999</v>
      </c>
      <c r="I3849" s="3">
        <v>0.1158</v>
      </c>
    </row>
    <row r="3850" spans="1:10">
      <c r="A3850" t="s">
        <v>195</v>
      </c>
      <c r="B3850" t="s">
        <v>198</v>
      </c>
      <c r="C3850">
        <v>755</v>
      </c>
      <c r="D3850" t="s">
        <v>194</v>
      </c>
      <c r="E3850">
        <v>2677</v>
      </c>
      <c r="F3850" s="3">
        <v>2.5000000000000001E-3</v>
      </c>
      <c r="G3850" s="3">
        <v>0.8357</v>
      </c>
      <c r="I3850" s="3">
        <v>0.1618</v>
      </c>
    </row>
    <row r="3851" spans="1:10">
      <c r="A3851" t="s">
        <v>199</v>
      </c>
      <c r="B3851" t="s">
        <v>196</v>
      </c>
      <c r="C3851">
        <v>525</v>
      </c>
      <c r="D3851" t="s">
        <v>194</v>
      </c>
      <c r="E3851">
        <v>2677</v>
      </c>
      <c r="F3851" s="3">
        <v>2.9999999999999997E-4</v>
      </c>
      <c r="G3851" s="3">
        <v>0.8629</v>
      </c>
      <c r="H3851" s="3">
        <v>1.3899999999999999E-2</v>
      </c>
      <c r="I3851" s="3">
        <v>0.1229</v>
      </c>
    </row>
    <row r="3852" spans="1:10">
      <c r="A3852" t="s">
        <v>199</v>
      </c>
      <c r="B3852" t="s">
        <v>198</v>
      </c>
      <c r="C3852">
        <v>945</v>
      </c>
      <c r="D3852" t="s">
        <v>194</v>
      </c>
      <c r="E3852">
        <v>2677</v>
      </c>
      <c r="F3852" s="3">
        <v>1.0200000000000001E-2</v>
      </c>
      <c r="G3852" s="3">
        <v>0.8841</v>
      </c>
      <c r="H3852" s="3">
        <v>8.0000000000000004E-4</v>
      </c>
      <c r="I3852" s="3">
        <v>0.10489999999999999</v>
      </c>
    </row>
    <row r="3853" spans="1:10">
      <c r="A3853" t="s">
        <v>200</v>
      </c>
      <c r="B3853" t="s">
        <v>200</v>
      </c>
      <c r="C3853">
        <v>2677</v>
      </c>
      <c r="D3853" t="s">
        <v>200</v>
      </c>
      <c r="E3853">
        <v>2677</v>
      </c>
      <c r="F3853" s="3">
        <v>5.4000000000000003E-3</v>
      </c>
      <c r="G3853" s="3">
        <v>0.86639999999999995</v>
      </c>
      <c r="H3853" s="3">
        <v>1.8E-3</v>
      </c>
      <c r="I3853" s="3">
        <v>0.12640000000000001</v>
      </c>
    </row>
    <row r="3855" spans="1:10" ht="45">
      <c r="A3855" s="22" t="s">
        <v>964</v>
      </c>
    </row>
    <row r="3856" spans="1:10">
      <c r="A3856" t="s">
        <v>185</v>
      </c>
      <c r="B3856" t="s">
        <v>186</v>
      </c>
      <c r="C3856" t="s">
        <v>192</v>
      </c>
      <c r="D3856" t="s">
        <v>184</v>
      </c>
      <c r="E3856" t="s">
        <v>193</v>
      </c>
      <c r="F3856" t="s">
        <v>257</v>
      </c>
      <c r="G3856" t="s">
        <v>226</v>
      </c>
      <c r="H3856" t="s">
        <v>247</v>
      </c>
      <c r="I3856" t="s">
        <v>227</v>
      </c>
    </row>
    <row r="3857" spans="1:9">
      <c r="A3857" t="s">
        <v>195</v>
      </c>
      <c r="B3857" t="s">
        <v>202</v>
      </c>
      <c r="C3857">
        <v>533</v>
      </c>
      <c r="D3857" t="s">
        <v>194</v>
      </c>
      <c r="E3857">
        <v>2677</v>
      </c>
      <c r="F3857" s="3">
        <v>1.2999999999999999E-3</v>
      </c>
      <c r="G3857" s="3">
        <v>0.84360000000000002</v>
      </c>
      <c r="I3857" s="3">
        <v>0.15509999999999999</v>
      </c>
    </row>
    <row r="3858" spans="1:9">
      <c r="A3858" t="s">
        <v>195</v>
      </c>
      <c r="B3858" t="s">
        <v>204</v>
      </c>
      <c r="C3858">
        <v>301</v>
      </c>
      <c r="D3858" t="s">
        <v>194</v>
      </c>
      <c r="E3858">
        <v>2677</v>
      </c>
      <c r="F3858" s="3">
        <v>4.4000000000000003E-3</v>
      </c>
      <c r="G3858" s="3">
        <v>0.85680000000000001</v>
      </c>
      <c r="I3858" s="3">
        <v>0.13869999999999999</v>
      </c>
    </row>
    <row r="3859" spans="1:9">
      <c r="A3859" t="s">
        <v>195</v>
      </c>
      <c r="B3859" t="s">
        <v>205</v>
      </c>
      <c r="C3859">
        <v>334</v>
      </c>
      <c r="D3859" t="s">
        <v>194</v>
      </c>
      <c r="E3859">
        <v>2677</v>
      </c>
      <c r="G3859" s="3">
        <v>0.86029999999999995</v>
      </c>
      <c r="I3859" s="3">
        <v>0.13969999999999999</v>
      </c>
    </row>
    <row r="3860" spans="1:9">
      <c r="A3860" t="s">
        <v>199</v>
      </c>
      <c r="B3860" t="s">
        <v>202</v>
      </c>
      <c r="C3860">
        <v>538</v>
      </c>
      <c r="D3860" t="s">
        <v>194</v>
      </c>
      <c r="E3860">
        <v>2677</v>
      </c>
      <c r="F3860" s="3">
        <v>1.1599999999999999E-2</v>
      </c>
      <c r="G3860" s="3">
        <v>0.87749999999999995</v>
      </c>
      <c r="H3860" s="3">
        <v>6.9999999999999999E-4</v>
      </c>
      <c r="I3860" s="3">
        <v>0.11020000000000001</v>
      </c>
    </row>
    <row r="3861" spans="1:9">
      <c r="A3861" t="s">
        <v>199</v>
      </c>
      <c r="B3861" t="s">
        <v>204</v>
      </c>
      <c r="C3861">
        <v>426</v>
      </c>
      <c r="D3861" t="s">
        <v>194</v>
      </c>
      <c r="E3861">
        <v>2677</v>
      </c>
      <c r="F3861" s="3">
        <v>4.0000000000000001E-3</v>
      </c>
      <c r="G3861" s="3">
        <v>0.87370000000000003</v>
      </c>
      <c r="H3861" s="3">
        <v>1.44E-2</v>
      </c>
      <c r="I3861" s="3">
        <v>0.1079</v>
      </c>
    </row>
    <row r="3862" spans="1:9">
      <c r="A3862" t="s">
        <v>199</v>
      </c>
      <c r="B3862" t="s">
        <v>205</v>
      </c>
      <c r="C3862">
        <v>506</v>
      </c>
      <c r="D3862" t="s">
        <v>194</v>
      </c>
      <c r="E3862">
        <v>2677</v>
      </c>
      <c r="F3862" s="3">
        <v>1.1000000000000001E-3</v>
      </c>
      <c r="G3862" s="3">
        <v>0.89749999999999996</v>
      </c>
      <c r="I3862" s="3">
        <v>0.1014</v>
      </c>
    </row>
    <row r="3863" spans="1:9">
      <c r="A3863" t="s">
        <v>200</v>
      </c>
      <c r="B3863" t="s">
        <v>200</v>
      </c>
      <c r="C3863">
        <v>2677</v>
      </c>
      <c r="D3863" t="s">
        <v>200</v>
      </c>
      <c r="E3863">
        <v>2677</v>
      </c>
      <c r="F3863" s="3">
        <v>5.4000000000000003E-3</v>
      </c>
      <c r="G3863" s="3">
        <v>0.86639999999999995</v>
      </c>
      <c r="H3863" s="3">
        <v>1.8E-3</v>
      </c>
      <c r="I3863" s="3">
        <v>0.12640000000000001</v>
      </c>
    </row>
    <row r="3865" spans="1:9" ht="45">
      <c r="A3865" s="22" t="s">
        <v>965</v>
      </c>
    </row>
    <row r="3866" spans="1:9">
      <c r="A3866" t="s">
        <v>185</v>
      </c>
      <c r="B3866" t="s">
        <v>186</v>
      </c>
      <c r="C3866" t="s">
        <v>192</v>
      </c>
      <c r="D3866" t="s">
        <v>184</v>
      </c>
      <c r="E3866" t="s">
        <v>193</v>
      </c>
      <c r="F3866" t="s">
        <v>257</v>
      </c>
      <c r="G3866" t="s">
        <v>226</v>
      </c>
      <c r="H3866" t="s">
        <v>247</v>
      </c>
      <c r="I3866" t="s">
        <v>227</v>
      </c>
    </row>
    <row r="3867" spans="1:9">
      <c r="A3867" t="s">
        <v>195</v>
      </c>
      <c r="B3867" t="s">
        <v>207</v>
      </c>
      <c r="C3867">
        <v>322</v>
      </c>
      <c r="D3867" t="s">
        <v>194</v>
      </c>
      <c r="E3867">
        <v>2677</v>
      </c>
      <c r="G3867" s="3">
        <v>0.76729999999999998</v>
      </c>
      <c r="I3867" s="3">
        <v>0.23269999999999999</v>
      </c>
    </row>
    <row r="3868" spans="1:9">
      <c r="A3868" t="s">
        <v>195</v>
      </c>
      <c r="B3868" t="s">
        <v>209</v>
      </c>
      <c r="C3868">
        <v>867</v>
      </c>
      <c r="D3868" t="s">
        <v>194</v>
      </c>
      <c r="E3868">
        <v>2677</v>
      </c>
      <c r="F3868" s="3">
        <v>2.3999999999999998E-3</v>
      </c>
      <c r="G3868" s="3">
        <v>0.87729999999999997</v>
      </c>
      <c r="I3868" s="3">
        <v>0.1203</v>
      </c>
    </row>
    <row r="3869" spans="1:9">
      <c r="A3869" t="s">
        <v>199</v>
      </c>
      <c r="B3869" t="s">
        <v>207</v>
      </c>
      <c r="C3869">
        <v>283</v>
      </c>
      <c r="D3869" t="s">
        <v>194</v>
      </c>
      <c r="E3869">
        <v>2677</v>
      </c>
      <c r="F3869" s="3">
        <v>5.4000000000000003E-3</v>
      </c>
      <c r="G3869" s="3">
        <v>0.80210000000000004</v>
      </c>
      <c r="H3869" s="3">
        <v>4.3E-3</v>
      </c>
      <c r="I3869" s="3">
        <v>0.1883</v>
      </c>
    </row>
    <row r="3870" spans="1:9">
      <c r="A3870" t="s">
        <v>199</v>
      </c>
      <c r="B3870" t="s">
        <v>209</v>
      </c>
      <c r="C3870">
        <v>1205</v>
      </c>
      <c r="D3870" t="s">
        <v>194</v>
      </c>
      <c r="E3870">
        <v>2677</v>
      </c>
      <c r="F3870" s="3">
        <v>8.8000000000000005E-3</v>
      </c>
      <c r="G3870" s="3">
        <v>0.89119999999999999</v>
      </c>
      <c r="H3870" s="3">
        <v>3.0999999999999999E-3</v>
      </c>
      <c r="I3870" s="3">
        <v>9.7000000000000003E-2</v>
      </c>
    </row>
    <row r="3871" spans="1:9">
      <c r="A3871" t="s">
        <v>200</v>
      </c>
      <c r="B3871" t="s">
        <v>200</v>
      </c>
      <c r="C3871">
        <v>2677</v>
      </c>
      <c r="D3871" t="s">
        <v>200</v>
      </c>
      <c r="E3871">
        <v>2677</v>
      </c>
      <c r="F3871" s="3">
        <v>5.4000000000000003E-3</v>
      </c>
      <c r="G3871" s="3">
        <v>0.86639999999999995</v>
      </c>
      <c r="H3871" s="3">
        <v>1.8E-3</v>
      </c>
      <c r="I3871" s="3">
        <v>0.12640000000000001</v>
      </c>
    </row>
    <row r="3873" spans="1:9" ht="45">
      <c r="A3873" s="22" t="s">
        <v>966</v>
      </c>
    </row>
    <row r="3874" spans="1:9">
      <c r="A3874" t="s">
        <v>185</v>
      </c>
      <c r="B3874" t="s">
        <v>192</v>
      </c>
      <c r="C3874" t="s">
        <v>184</v>
      </c>
      <c r="D3874" t="s">
        <v>193</v>
      </c>
      <c r="E3874" t="s">
        <v>257</v>
      </c>
      <c r="F3874" t="s">
        <v>226</v>
      </c>
      <c r="G3874" t="s">
        <v>247</v>
      </c>
      <c r="H3874" t="s">
        <v>227</v>
      </c>
    </row>
    <row r="3875" spans="1:9">
      <c r="A3875" t="s">
        <v>195</v>
      </c>
      <c r="B3875">
        <v>1189</v>
      </c>
      <c r="C3875" t="s">
        <v>194</v>
      </c>
      <c r="D3875">
        <v>2677</v>
      </c>
      <c r="E3875" s="3">
        <v>1.8E-3</v>
      </c>
      <c r="F3875" s="3">
        <v>0.84899999999999998</v>
      </c>
      <c r="H3875" s="3">
        <v>0.1492</v>
      </c>
    </row>
    <row r="3876" spans="1:9">
      <c r="A3876" t="s">
        <v>199</v>
      </c>
      <c r="B3876">
        <v>1488</v>
      </c>
      <c r="C3876" t="s">
        <v>194</v>
      </c>
      <c r="D3876">
        <v>2677</v>
      </c>
      <c r="E3876" s="3">
        <v>8.3000000000000001E-3</v>
      </c>
      <c r="F3876" s="3">
        <v>0.88029999999999997</v>
      </c>
      <c r="G3876" s="3">
        <v>3.2000000000000002E-3</v>
      </c>
      <c r="H3876" s="3">
        <v>0.1081</v>
      </c>
    </row>
    <row r="3877" spans="1:9">
      <c r="A3877" t="s">
        <v>200</v>
      </c>
      <c r="B3877">
        <v>2677</v>
      </c>
      <c r="C3877" t="s">
        <v>200</v>
      </c>
      <c r="D3877">
        <v>2677</v>
      </c>
      <c r="E3877" s="3">
        <v>5.4000000000000003E-3</v>
      </c>
      <c r="F3877" s="3">
        <v>0.86639999999999995</v>
      </c>
      <c r="G3877" s="3">
        <v>1.8E-3</v>
      </c>
      <c r="H3877" s="3">
        <v>0.12640000000000001</v>
      </c>
    </row>
    <row r="3879" spans="1:9" ht="45">
      <c r="A3879" s="22" t="s">
        <v>967</v>
      </c>
    </row>
    <row r="3880" spans="1:9">
      <c r="A3880" t="s">
        <v>185</v>
      </c>
      <c r="B3880" t="s">
        <v>186</v>
      </c>
      <c r="C3880" t="s">
        <v>192</v>
      </c>
      <c r="D3880" t="s">
        <v>184</v>
      </c>
      <c r="E3880" t="s">
        <v>193</v>
      </c>
      <c r="F3880" t="s">
        <v>257</v>
      </c>
      <c r="G3880" t="s">
        <v>226</v>
      </c>
      <c r="H3880" t="s">
        <v>247</v>
      </c>
      <c r="I3880" t="s">
        <v>227</v>
      </c>
    </row>
    <row r="3881" spans="1:9">
      <c r="A3881" t="s">
        <v>195</v>
      </c>
      <c r="B3881" t="s">
        <v>212</v>
      </c>
      <c r="C3881">
        <v>873</v>
      </c>
      <c r="D3881" t="s">
        <v>194</v>
      </c>
      <c r="E3881">
        <v>2677</v>
      </c>
      <c r="F3881" s="3">
        <v>2.3999999999999998E-3</v>
      </c>
      <c r="G3881" s="3">
        <v>0.85599999999999998</v>
      </c>
      <c r="I3881" s="3">
        <v>0.1416</v>
      </c>
    </row>
    <row r="3882" spans="1:9">
      <c r="A3882" t="s">
        <v>195</v>
      </c>
      <c r="B3882" t="s">
        <v>214</v>
      </c>
      <c r="C3882">
        <v>181</v>
      </c>
      <c r="D3882" t="s">
        <v>194</v>
      </c>
      <c r="E3882">
        <v>2677</v>
      </c>
      <c r="G3882" s="3">
        <v>0.85860000000000003</v>
      </c>
      <c r="I3882" s="3">
        <v>0.1414</v>
      </c>
    </row>
    <row r="3883" spans="1:9">
      <c r="A3883" t="s">
        <v>195</v>
      </c>
      <c r="B3883" t="s">
        <v>215</v>
      </c>
      <c r="C3883">
        <v>135</v>
      </c>
      <c r="D3883" t="s">
        <v>194</v>
      </c>
      <c r="E3883">
        <v>2677</v>
      </c>
      <c r="G3883" s="3">
        <v>0.76690000000000003</v>
      </c>
      <c r="I3883" s="3">
        <v>0.2331</v>
      </c>
    </row>
    <row r="3884" spans="1:9">
      <c r="A3884" t="s">
        <v>199</v>
      </c>
      <c r="B3884" t="s">
        <v>212</v>
      </c>
      <c r="C3884">
        <v>1118</v>
      </c>
      <c r="D3884" t="s">
        <v>194</v>
      </c>
      <c r="E3884">
        <v>2677</v>
      </c>
      <c r="F3884" s="3">
        <v>1.0800000000000001E-2</v>
      </c>
      <c r="G3884" s="3">
        <v>0.88680000000000003</v>
      </c>
      <c r="H3884" s="3">
        <v>3.5000000000000001E-3</v>
      </c>
      <c r="I3884" s="3">
        <v>9.8799999999999999E-2</v>
      </c>
    </row>
    <row r="3885" spans="1:9">
      <c r="A3885" t="s">
        <v>199</v>
      </c>
      <c r="B3885" t="s">
        <v>214</v>
      </c>
      <c r="C3885">
        <v>197</v>
      </c>
      <c r="D3885" t="s">
        <v>194</v>
      </c>
      <c r="E3885">
        <v>2677</v>
      </c>
      <c r="G3885" s="3">
        <v>0.88239999999999996</v>
      </c>
      <c r="I3885" s="3">
        <v>0.1176</v>
      </c>
    </row>
    <row r="3886" spans="1:9">
      <c r="A3886" t="s">
        <v>199</v>
      </c>
      <c r="B3886" t="s">
        <v>215</v>
      </c>
      <c r="C3886">
        <v>173</v>
      </c>
      <c r="D3886" t="s">
        <v>194</v>
      </c>
      <c r="E3886">
        <v>2677</v>
      </c>
      <c r="F3886" s="3">
        <v>6.9999999999999999E-4</v>
      </c>
      <c r="G3886" s="3">
        <v>0.81730000000000003</v>
      </c>
      <c r="H3886" s="3">
        <v>6.7000000000000002E-3</v>
      </c>
      <c r="I3886" s="3">
        <v>0.17530000000000001</v>
      </c>
    </row>
    <row r="3887" spans="1:9">
      <c r="A3887" t="s">
        <v>200</v>
      </c>
      <c r="B3887" t="s">
        <v>200</v>
      </c>
      <c r="C3887">
        <v>2677</v>
      </c>
      <c r="D3887" t="s">
        <v>200</v>
      </c>
      <c r="E3887">
        <v>2677</v>
      </c>
      <c r="F3887" s="3">
        <v>5.4000000000000003E-3</v>
      </c>
      <c r="G3887" s="3">
        <v>0.86639999999999995</v>
      </c>
      <c r="H3887" s="3">
        <v>1.8E-3</v>
      </c>
      <c r="I3887" s="3">
        <v>0.12640000000000001</v>
      </c>
    </row>
    <row r="3889" spans="1:20" ht="45">
      <c r="A3889" s="22" t="s">
        <v>968</v>
      </c>
    </row>
    <row r="3890" spans="1:20">
      <c r="A3890" t="s">
        <v>185</v>
      </c>
      <c r="B3890" t="s">
        <v>186</v>
      </c>
      <c r="C3890" t="s">
        <v>192</v>
      </c>
      <c r="D3890" t="s">
        <v>184</v>
      </c>
      <c r="E3890" t="s">
        <v>193</v>
      </c>
      <c r="F3890" t="s">
        <v>257</v>
      </c>
      <c r="G3890" t="s">
        <v>226</v>
      </c>
      <c r="H3890" t="s">
        <v>247</v>
      </c>
      <c r="I3890" t="s">
        <v>227</v>
      </c>
    </row>
    <row r="3891" spans="1:20">
      <c r="A3891" t="s">
        <v>195</v>
      </c>
      <c r="B3891" t="s">
        <v>217</v>
      </c>
      <c r="C3891">
        <v>499</v>
      </c>
      <c r="D3891" t="s">
        <v>194</v>
      </c>
      <c r="E3891">
        <v>2677</v>
      </c>
      <c r="G3891" s="3">
        <v>0.87339999999999995</v>
      </c>
      <c r="I3891" s="3">
        <v>0.12659999999999999</v>
      </c>
    </row>
    <row r="3892" spans="1:20">
      <c r="A3892" t="s">
        <v>195</v>
      </c>
      <c r="B3892" t="s">
        <v>219</v>
      </c>
      <c r="C3892">
        <v>507</v>
      </c>
      <c r="D3892" t="s">
        <v>194</v>
      </c>
      <c r="E3892">
        <v>2677</v>
      </c>
      <c r="F3892" s="3">
        <v>4.5999999999999999E-3</v>
      </c>
      <c r="G3892" s="3">
        <v>0.81630000000000003</v>
      </c>
      <c r="I3892" s="3">
        <v>0.17910000000000001</v>
      </c>
    </row>
    <row r="3893" spans="1:20">
      <c r="A3893" t="s">
        <v>195</v>
      </c>
      <c r="B3893" t="s">
        <v>220</v>
      </c>
      <c r="C3893">
        <v>182</v>
      </c>
      <c r="D3893" t="s">
        <v>194</v>
      </c>
      <c r="E3893">
        <v>2677</v>
      </c>
      <c r="G3893" s="3">
        <v>0.86219999999999997</v>
      </c>
      <c r="I3893" s="3">
        <v>0.13780000000000001</v>
      </c>
    </row>
    <row r="3894" spans="1:20">
      <c r="A3894" t="s">
        <v>199</v>
      </c>
      <c r="B3894" t="s">
        <v>217</v>
      </c>
      <c r="C3894">
        <v>814</v>
      </c>
      <c r="D3894" t="s">
        <v>194</v>
      </c>
      <c r="E3894">
        <v>2677</v>
      </c>
      <c r="F3894" s="3">
        <v>5.1999999999999998E-3</v>
      </c>
      <c r="G3894" s="3">
        <v>0.90339999999999998</v>
      </c>
      <c r="H3894" s="3">
        <v>4.1999999999999997E-3</v>
      </c>
      <c r="I3894" s="3">
        <v>8.72E-2</v>
      </c>
    </row>
    <row r="3895" spans="1:20">
      <c r="A3895" t="s">
        <v>199</v>
      </c>
      <c r="B3895" t="s">
        <v>219</v>
      </c>
      <c r="C3895">
        <v>451</v>
      </c>
      <c r="D3895" t="s">
        <v>194</v>
      </c>
      <c r="E3895">
        <v>2677</v>
      </c>
      <c r="F3895" s="3">
        <v>2.0000000000000001E-4</v>
      </c>
      <c r="G3895" s="3">
        <v>0.8458</v>
      </c>
      <c r="H3895" s="3">
        <v>2.8999999999999998E-3</v>
      </c>
      <c r="I3895" s="3">
        <v>0.151</v>
      </c>
    </row>
    <row r="3896" spans="1:20">
      <c r="A3896" t="s">
        <v>199</v>
      </c>
      <c r="B3896" t="s">
        <v>220</v>
      </c>
      <c r="C3896">
        <v>223</v>
      </c>
      <c r="D3896" t="s">
        <v>194</v>
      </c>
      <c r="E3896">
        <v>2677</v>
      </c>
      <c r="F3896" s="3">
        <v>3.3099999999999997E-2</v>
      </c>
      <c r="G3896" s="3">
        <v>0.8468</v>
      </c>
      <c r="I3896" s="3">
        <v>0.12</v>
      </c>
    </row>
    <row r="3897" spans="1:20">
      <c r="A3897" t="s">
        <v>200</v>
      </c>
      <c r="B3897" t="s">
        <v>200</v>
      </c>
      <c r="C3897">
        <v>2677</v>
      </c>
      <c r="D3897" t="s">
        <v>200</v>
      </c>
      <c r="E3897">
        <v>2677</v>
      </c>
      <c r="F3897" s="3">
        <v>5.4000000000000003E-3</v>
      </c>
      <c r="G3897" s="3">
        <v>0.86639999999999995</v>
      </c>
      <c r="H3897" s="3">
        <v>1.8E-3</v>
      </c>
      <c r="I3897" s="3">
        <v>0.12640000000000001</v>
      </c>
    </row>
    <row r="3899" spans="1:20" ht="45">
      <c r="A3899" s="22" t="s">
        <v>969</v>
      </c>
    </row>
    <row r="3900" spans="1:20">
      <c r="A3900" t="s">
        <v>185</v>
      </c>
      <c r="B3900" t="s">
        <v>186</v>
      </c>
      <c r="C3900" t="s">
        <v>192</v>
      </c>
      <c r="D3900" t="s">
        <v>184</v>
      </c>
      <c r="E3900" t="s">
        <v>193</v>
      </c>
      <c r="F3900" t="s">
        <v>970</v>
      </c>
      <c r="G3900" t="s">
        <v>971</v>
      </c>
      <c r="H3900" t="s">
        <v>972</v>
      </c>
      <c r="I3900" t="s">
        <v>973</v>
      </c>
      <c r="J3900" t="s">
        <v>974</v>
      </c>
      <c r="K3900" t="s">
        <v>975</v>
      </c>
      <c r="L3900" t="s">
        <v>976</v>
      </c>
      <c r="M3900" t="s">
        <v>977</v>
      </c>
      <c r="N3900" t="s">
        <v>274</v>
      </c>
      <c r="O3900" t="s">
        <v>247</v>
      </c>
      <c r="P3900" t="s">
        <v>978</v>
      </c>
      <c r="Q3900" t="s">
        <v>979</v>
      </c>
      <c r="R3900" t="s">
        <v>980</v>
      </c>
      <c r="S3900" t="s">
        <v>981</v>
      </c>
      <c r="T3900" t="s">
        <v>982</v>
      </c>
    </row>
    <row r="3901" spans="1:20">
      <c r="A3901" t="s">
        <v>195</v>
      </c>
      <c r="B3901" t="s">
        <v>196</v>
      </c>
      <c r="C3901">
        <v>68</v>
      </c>
      <c r="D3901" t="s">
        <v>194</v>
      </c>
      <c r="E3901">
        <v>428</v>
      </c>
      <c r="F3901" s="3">
        <v>0.18240000000000001</v>
      </c>
      <c r="G3901" s="3">
        <v>0.32140000000000002</v>
      </c>
      <c r="H3901" s="3">
        <v>2.8000000000000001E-2</v>
      </c>
      <c r="I3901" s="3">
        <v>0.1056</v>
      </c>
      <c r="J3901" s="3">
        <v>0.1681</v>
      </c>
      <c r="L3901" s="3">
        <v>1.7100000000000001E-2</v>
      </c>
      <c r="P3901" s="3">
        <v>0.1045</v>
      </c>
      <c r="Q3901" s="3">
        <v>1.49E-2</v>
      </c>
      <c r="R3901" s="3">
        <v>1.4500000000000001E-2</v>
      </c>
      <c r="S3901" s="3">
        <v>2.9700000000000001E-2</v>
      </c>
      <c r="T3901" s="3">
        <v>0.21310000000000001</v>
      </c>
    </row>
    <row r="3902" spans="1:20">
      <c r="A3902" t="s">
        <v>195</v>
      </c>
      <c r="B3902" t="s">
        <v>198</v>
      </c>
      <c r="C3902">
        <v>137</v>
      </c>
      <c r="D3902" t="s">
        <v>194</v>
      </c>
      <c r="E3902">
        <v>428</v>
      </c>
      <c r="F3902" s="3">
        <v>0.12570000000000001</v>
      </c>
      <c r="G3902" s="3">
        <v>0.35239999999999999</v>
      </c>
      <c r="H3902" s="3">
        <v>3.0200000000000001E-2</v>
      </c>
      <c r="I3902" s="3">
        <v>7.3400000000000007E-2</v>
      </c>
      <c r="J3902" s="3">
        <v>0.40939999999999999</v>
      </c>
      <c r="L3902" s="3">
        <v>2.92E-2</v>
      </c>
      <c r="M3902" s="3">
        <v>8.0000000000000002E-3</v>
      </c>
      <c r="N3902" s="3">
        <v>2.7199999999999998E-2</v>
      </c>
      <c r="O3902" s="3">
        <v>6.0999999999999999E-2</v>
      </c>
      <c r="P3902" s="3">
        <v>2.0299999999999999E-2</v>
      </c>
      <c r="Q3902" s="3">
        <v>2.8400000000000002E-2</v>
      </c>
      <c r="R3902" s="3">
        <v>8.3000000000000001E-3</v>
      </c>
      <c r="S3902" s="3">
        <v>1.26E-2</v>
      </c>
      <c r="T3902" s="3">
        <v>0.10249999999999999</v>
      </c>
    </row>
    <row r="3903" spans="1:20">
      <c r="A3903" t="s">
        <v>199</v>
      </c>
      <c r="B3903" t="s">
        <v>196</v>
      </c>
      <c r="C3903">
        <v>84</v>
      </c>
      <c r="D3903" t="s">
        <v>194</v>
      </c>
      <c r="E3903">
        <v>428</v>
      </c>
      <c r="F3903" s="3">
        <v>0.1137</v>
      </c>
      <c r="G3903" s="3">
        <v>0.14710000000000001</v>
      </c>
      <c r="H3903" s="3">
        <v>9.2999999999999999E-2</v>
      </c>
      <c r="I3903" s="3">
        <v>6.5600000000000006E-2</v>
      </c>
      <c r="J3903" s="3">
        <v>0.33079999999999998</v>
      </c>
      <c r="L3903" s="3">
        <v>0.1799</v>
      </c>
      <c r="M3903" s="3">
        <v>3.0000000000000001E-3</v>
      </c>
      <c r="N3903" s="3">
        <v>4.7199999999999999E-2</v>
      </c>
      <c r="P3903" s="3">
        <v>5.4999999999999997E-3</v>
      </c>
      <c r="Q3903" s="3">
        <v>2.1299999999999999E-2</v>
      </c>
      <c r="R3903" s="3">
        <v>9.1999999999999998E-3</v>
      </c>
      <c r="S3903" s="3">
        <v>0.1444</v>
      </c>
      <c r="T3903" s="3">
        <v>3.1E-2</v>
      </c>
    </row>
    <row r="3904" spans="1:20">
      <c r="A3904" t="s">
        <v>199</v>
      </c>
      <c r="B3904" t="s">
        <v>198</v>
      </c>
      <c r="C3904">
        <v>138</v>
      </c>
      <c r="D3904" t="s">
        <v>194</v>
      </c>
      <c r="E3904">
        <v>428</v>
      </c>
      <c r="F3904" s="3">
        <v>0.21310000000000001</v>
      </c>
      <c r="G3904" s="3">
        <v>0.22720000000000001</v>
      </c>
      <c r="H3904" s="3">
        <v>2.1899999999999999E-2</v>
      </c>
      <c r="I3904" s="3">
        <v>0.16800000000000001</v>
      </c>
      <c r="J3904" s="3">
        <v>0.33829999999999999</v>
      </c>
      <c r="K3904" s="3">
        <v>1.4200000000000001E-2</v>
      </c>
      <c r="L3904" s="3">
        <v>0.1515</v>
      </c>
      <c r="N3904" s="3">
        <v>3.27E-2</v>
      </c>
      <c r="O3904" s="3">
        <v>2.8999999999999998E-3</v>
      </c>
      <c r="P3904" s="3">
        <v>6.9999999999999999E-4</v>
      </c>
      <c r="Q3904" s="3">
        <v>7.2800000000000004E-2</v>
      </c>
      <c r="S3904" s="3">
        <v>1.3100000000000001E-2</v>
      </c>
      <c r="T3904" s="3">
        <v>0.1103</v>
      </c>
    </row>
    <row r="3905" spans="1:20">
      <c r="A3905" t="s">
        <v>200</v>
      </c>
      <c r="B3905" t="s">
        <v>200</v>
      </c>
      <c r="C3905">
        <v>428</v>
      </c>
      <c r="D3905" t="s">
        <v>200</v>
      </c>
      <c r="E3905">
        <v>428</v>
      </c>
      <c r="F3905" s="3">
        <v>0.16439999999999999</v>
      </c>
      <c r="G3905" s="3">
        <v>0.28139999999999998</v>
      </c>
      <c r="H3905" s="3">
        <v>3.32E-2</v>
      </c>
      <c r="I3905" s="3">
        <v>0.111</v>
      </c>
      <c r="J3905" s="3">
        <v>0.34820000000000001</v>
      </c>
      <c r="K3905" s="3">
        <v>5.1999999999999998E-3</v>
      </c>
      <c r="L3905" s="3">
        <v>8.8200000000000001E-2</v>
      </c>
      <c r="M3905" s="3">
        <v>3.7000000000000002E-3</v>
      </c>
      <c r="N3905" s="3">
        <v>2.8299999999999999E-2</v>
      </c>
      <c r="O3905" s="3">
        <v>2.6599999999999999E-2</v>
      </c>
      <c r="P3905" s="3">
        <v>2.07E-2</v>
      </c>
      <c r="Q3905" s="3">
        <v>4.2599999999999999E-2</v>
      </c>
      <c r="R3905" s="3">
        <v>6.0000000000000001E-3</v>
      </c>
      <c r="S3905" s="3">
        <v>2.8000000000000001E-2</v>
      </c>
      <c r="T3905" s="3">
        <v>0.1101</v>
      </c>
    </row>
    <row r="3907" spans="1:20" ht="45">
      <c r="A3907" s="22" t="s">
        <v>983</v>
      </c>
    </row>
    <row r="3908" spans="1:20">
      <c r="A3908" t="s">
        <v>185</v>
      </c>
      <c r="B3908" t="s">
        <v>186</v>
      </c>
      <c r="C3908" t="s">
        <v>192</v>
      </c>
      <c r="D3908" t="s">
        <v>184</v>
      </c>
      <c r="E3908" t="s">
        <v>193</v>
      </c>
      <c r="F3908" t="s">
        <v>970</v>
      </c>
      <c r="G3908" t="s">
        <v>971</v>
      </c>
      <c r="H3908" t="s">
        <v>972</v>
      </c>
      <c r="I3908" t="s">
        <v>973</v>
      </c>
      <c r="J3908" t="s">
        <v>974</v>
      </c>
      <c r="K3908" t="s">
        <v>975</v>
      </c>
      <c r="L3908" t="s">
        <v>976</v>
      </c>
      <c r="M3908" t="s">
        <v>977</v>
      </c>
      <c r="N3908" t="s">
        <v>274</v>
      </c>
      <c r="O3908" t="s">
        <v>247</v>
      </c>
      <c r="P3908" t="s">
        <v>978</v>
      </c>
      <c r="Q3908" t="s">
        <v>979</v>
      </c>
      <c r="R3908" t="s">
        <v>980</v>
      </c>
      <c r="S3908" t="s">
        <v>981</v>
      </c>
      <c r="T3908" t="s">
        <v>982</v>
      </c>
    </row>
    <row r="3909" spans="1:20">
      <c r="A3909" t="s">
        <v>195</v>
      </c>
      <c r="B3909" t="s">
        <v>202</v>
      </c>
      <c r="C3909">
        <v>81</v>
      </c>
      <c r="D3909" t="s">
        <v>194</v>
      </c>
      <c r="E3909">
        <v>428</v>
      </c>
      <c r="F3909" s="3">
        <v>0.13869999999999999</v>
      </c>
      <c r="G3909" s="3">
        <v>0.32019999999999998</v>
      </c>
      <c r="H3909" s="3">
        <v>1.78E-2</v>
      </c>
      <c r="I3909" s="3">
        <v>9.2499999999999999E-2</v>
      </c>
      <c r="J3909" s="3">
        <v>0.35759999999999997</v>
      </c>
      <c r="L3909" s="3">
        <v>3.3399999999999999E-2</v>
      </c>
      <c r="N3909" s="3">
        <v>1.5699999999999999E-2</v>
      </c>
      <c r="O3909" s="3">
        <v>7.17E-2</v>
      </c>
      <c r="P3909" s="3">
        <v>5.6000000000000001E-2</v>
      </c>
      <c r="Q3909" s="3">
        <v>1.9199999999999998E-2</v>
      </c>
      <c r="R3909" s="3">
        <v>2.8999999999999998E-3</v>
      </c>
      <c r="S3909" s="3">
        <v>1.2500000000000001E-2</v>
      </c>
      <c r="T3909" s="3">
        <v>9.3799999999999994E-2</v>
      </c>
    </row>
    <row r="3910" spans="1:20">
      <c r="A3910" t="s">
        <v>195</v>
      </c>
      <c r="B3910" t="s">
        <v>204</v>
      </c>
      <c r="C3910">
        <v>58</v>
      </c>
      <c r="D3910" t="s">
        <v>194</v>
      </c>
      <c r="E3910">
        <v>428</v>
      </c>
      <c r="F3910" s="3">
        <v>0.17130000000000001</v>
      </c>
      <c r="G3910" s="3">
        <v>0.3901</v>
      </c>
      <c r="H3910" s="3">
        <v>3.2000000000000001E-2</v>
      </c>
      <c r="I3910" s="3">
        <v>5.7099999999999998E-2</v>
      </c>
      <c r="J3910" s="3">
        <v>0.34179999999999999</v>
      </c>
      <c r="L3910" s="3">
        <v>2.0899999999999998E-2</v>
      </c>
      <c r="M3910" s="3">
        <v>3.2000000000000001E-2</v>
      </c>
      <c r="N3910" s="3">
        <v>1.61E-2</v>
      </c>
      <c r="Q3910" s="3">
        <v>5.62E-2</v>
      </c>
      <c r="R3910" s="3">
        <v>1.32E-2</v>
      </c>
      <c r="S3910" s="3">
        <v>1.8E-3</v>
      </c>
      <c r="T3910" s="3">
        <v>0.1971</v>
      </c>
    </row>
    <row r="3911" spans="1:20">
      <c r="A3911" t="s">
        <v>195</v>
      </c>
      <c r="B3911" t="s">
        <v>205</v>
      </c>
      <c r="C3911">
        <v>66</v>
      </c>
      <c r="D3911" t="s">
        <v>194</v>
      </c>
      <c r="E3911">
        <v>428</v>
      </c>
      <c r="F3911" s="3">
        <v>7.7499999999999999E-2</v>
      </c>
      <c r="G3911" s="3">
        <v>0.41339999999999999</v>
      </c>
      <c r="H3911" s="3">
        <v>9.01E-2</v>
      </c>
      <c r="I3911" s="3">
        <v>5.0599999999999999E-2</v>
      </c>
      <c r="J3911" s="3">
        <v>0.39739999999999998</v>
      </c>
      <c r="N3911" s="3">
        <v>6.1699999999999998E-2</v>
      </c>
      <c r="Q3911" s="3">
        <v>1.1599999999999999E-2</v>
      </c>
      <c r="R3911" s="3">
        <v>3.9100000000000003E-2</v>
      </c>
      <c r="S3911" s="3">
        <v>5.8200000000000002E-2</v>
      </c>
      <c r="T3911" s="3">
        <v>0.1804</v>
      </c>
    </row>
    <row r="3912" spans="1:20">
      <c r="A3912" t="s">
        <v>199</v>
      </c>
      <c r="B3912" t="s">
        <v>202</v>
      </c>
      <c r="C3912">
        <v>67</v>
      </c>
      <c r="D3912" t="s">
        <v>194</v>
      </c>
      <c r="E3912">
        <v>428</v>
      </c>
      <c r="F3912" s="3">
        <v>0.1802</v>
      </c>
      <c r="G3912" s="3">
        <v>0.1706</v>
      </c>
      <c r="H3912" s="3">
        <v>4.0599999999999997E-2</v>
      </c>
      <c r="I3912" s="3">
        <v>0.18770000000000001</v>
      </c>
      <c r="J3912" s="3">
        <v>0.31</v>
      </c>
      <c r="K3912" s="3">
        <v>7.7000000000000002E-3</v>
      </c>
      <c r="L3912" s="3">
        <v>0.1724</v>
      </c>
      <c r="M3912" s="3">
        <v>1E-3</v>
      </c>
      <c r="N3912" s="3">
        <v>5.5100000000000003E-2</v>
      </c>
      <c r="Q3912" s="3">
        <v>2.53E-2</v>
      </c>
      <c r="R3912" s="3">
        <v>1E-3</v>
      </c>
      <c r="S3912" s="3">
        <v>3.7699999999999997E-2</v>
      </c>
      <c r="T3912" s="3">
        <v>9.64E-2</v>
      </c>
    </row>
    <row r="3913" spans="1:20">
      <c r="A3913" t="s">
        <v>199</v>
      </c>
      <c r="B3913" t="s">
        <v>204</v>
      </c>
      <c r="C3913">
        <v>76</v>
      </c>
      <c r="D3913" t="s">
        <v>194</v>
      </c>
      <c r="E3913">
        <v>428</v>
      </c>
      <c r="F3913" s="3">
        <v>0.20660000000000001</v>
      </c>
      <c r="G3913" s="3">
        <v>0.27100000000000002</v>
      </c>
      <c r="H3913" s="3">
        <v>0.02</v>
      </c>
      <c r="I3913" s="3">
        <v>3.04E-2</v>
      </c>
      <c r="J3913" s="3">
        <v>0.3377</v>
      </c>
      <c r="K3913" s="3">
        <v>3.1399999999999997E-2</v>
      </c>
      <c r="L3913" s="3">
        <v>0.14430000000000001</v>
      </c>
      <c r="N3913" s="3">
        <v>1.9E-3</v>
      </c>
      <c r="P3913" s="3">
        <v>2.8999999999999998E-3</v>
      </c>
      <c r="Q3913" s="3">
        <v>7.7100000000000002E-2</v>
      </c>
      <c r="R3913" s="3">
        <v>8.9999999999999998E-4</v>
      </c>
      <c r="S3913" s="3">
        <v>6.6699999999999995E-2</v>
      </c>
      <c r="T3913" s="3">
        <v>0.14580000000000001</v>
      </c>
    </row>
    <row r="3914" spans="1:20">
      <c r="A3914" t="s">
        <v>199</v>
      </c>
      <c r="B3914" t="s">
        <v>205</v>
      </c>
      <c r="C3914">
        <v>79</v>
      </c>
      <c r="D3914" t="s">
        <v>194</v>
      </c>
      <c r="E3914">
        <v>428</v>
      </c>
      <c r="F3914" s="3">
        <v>0.21909999999999999</v>
      </c>
      <c r="G3914" s="3">
        <v>0.29139999999999999</v>
      </c>
      <c r="H3914" s="3">
        <v>4.4499999999999998E-2</v>
      </c>
      <c r="I3914" s="3">
        <v>0.1217</v>
      </c>
      <c r="J3914" s="3">
        <v>0.441</v>
      </c>
      <c r="L3914" s="3">
        <v>0.115</v>
      </c>
      <c r="N3914" s="3">
        <v>1.1000000000000001E-3</v>
      </c>
      <c r="O3914" s="3">
        <v>1.41E-2</v>
      </c>
      <c r="P3914" s="3">
        <v>7.3000000000000001E-3</v>
      </c>
      <c r="Q3914" s="3">
        <v>0.1875</v>
      </c>
      <c r="R3914" s="3">
        <v>7.3000000000000001E-3</v>
      </c>
      <c r="S3914" s="3">
        <v>2.47E-2</v>
      </c>
      <c r="T3914" s="3">
        <v>1.67E-2</v>
      </c>
    </row>
    <row r="3915" spans="1:20">
      <c r="A3915" t="s">
        <v>200</v>
      </c>
      <c r="B3915" t="s">
        <v>200</v>
      </c>
      <c r="C3915">
        <v>428</v>
      </c>
      <c r="D3915" t="s">
        <v>200</v>
      </c>
      <c r="E3915">
        <v>428</v>
      </c>
      <c r="F3915" s="3">
        <v>0.16439999999999999</v>
      </c>
      <c r="G3915" s="3">
        <v>0.28139999999999998</v>
      </c>
      <c r="H3915" s="3">
        <v>3.32E-2</v>
      </c>
      <c r="I3915" s="3">
        <v>0.111</v>
      </c>
      <c r="J3915" s="3">
        <v>0.34820000000000001</v>
      </c>
      <c r="K3915" s="3">
        <v>5.1999999999999998E-3</v>
      </c>
      <c r="L3915" s="3">
        <v>8.8200000000000001E-2</v>
      </c>
      <c r="M3915" s="3">
        <v>3.7000000000000002E-3</v>
      </c>
      <c r="N3915" s="3">
        <v>2.8299999999999999E-2</v>
      </c>
      <c r="O3915" s="3">
        <v>2.6599999999999999E-2</v>
      </c>
      <c r="P3915" s="3">
        <v>2.07E-2</v>
      </c>
      <c r="Q3915" s="3">
        <v>4.2599999999999999E-2</v>
      </c>
      <c r="R3915" s="3">
        <v>6.0000000000000001E-3</v>
      </c>
      <c r="S3915" s="3">
        <v>2.8000000000000001E-2</v>
      </c>
      <c r="T3915" s="3">
        <v>0.1101</v>
      </c>
    </row>
    <row r="3917" spans="1:20" ht="45">
      <c r="A3917" s="22" t="s">
        <v>984</v>
      </c>
    </row>
    <row r="3918" spans="1:20">
      <c r="A3918" t="s">
        <v>185</v>
      </c>
      <c r="B3918" t="s">
        <v>186</v>
      </c>
      <c r="C3918" t="s">
        <v>192</v>
      </c>
      <c r="D3918" t="s">
        <v>184</v>
      </c>
      <c r="E3918" t="s">
        <v>193</v>
      </c>
      <c r="F3918" t="s">
        <v>970</v>
      </c>
      <c r="G3918" t="s">
        <v>971</v>
      </c>
      <c r="H3918" t="s">
        <v>972</v>
      </c>
      <c r="I3918" t="s">
        <v>973</v>
      </c>
      <c r="J3918" t="s">
        <v>974</v>
      </c>
      <c r="K3918" t="s">
        <v>975</v>
      </c>
      <c r="L3918" t="s">
        <v>976</v>
      </c>
      <c r="M3918" t="s">
        <v>977</v>
      </c>
      <c r="N3918" t="s">
        <v>274</v>
      </c>
      <c r="O3918" t="s">
        <v>247</v>
      </c>
      <c r="P3918" t="s">
        <v>978</v>
      </c>
      <c r="Q3918" t="s">
        <v>979</v>
      </c>
      <c r="R3918" t="s">
        <v>980</v>
      </c>
      <c r="S3918" t="s">
        <v>981</v>
      </c>
      <c r="T3918" t="s">
        <v>982</v>
      </c>
    </row>
    <row r="3919" spans="1:20">
      <c r="A3919" t="s">
        <v>195</v>
      </c>
      <c r="B3919" t="s">
        <v>207</v>
      </c>
      <c r="C3919">
        <v>74</v>
      </c>
      <c r="D3919" t="s">
        <v>194</v>
      </c>
      <c r="E3919">
        <v>428</v>
      </c>
      <c r="F3919" s="3">
        <v>0.16550000000000001</v>
      </c>
      <c r="G3919" s="3">
        <v>0.23280000000000001</v>
      </c>
      <c r="H3919" s="3">
        <v>1.11E-2</v>
      </c>
      <c r="I3919" s="3">
        <v>2.1100000000000001E-2</v>
      </c>
      <c r="J3919" s="3">
        <v>0.42470000000000002</v>
      </c>
      <c r="L3919" s="3">
        <v>2.63E-2</v>
      </c>
      <c r="N3919" s="3">
        <v>4.5699999999999998E-2</v>
      </c>
      <c r="O3919" s="3">
        <v>8.7499999999999994E-2</v>
      </c>
      <c r="P3919" s="3">
        <v>4.2099999999999999E-2</v>
      </c>
      <c r="Q3919" s="3">
        <v>1.9E-2</v>
      </c>
      <c r="R3919" s="3">
        <v>2E-3</v>
      </c>
      <c r="S3919" s="3">
        <v>2.7699999999999999E-2</v>
      </c>
      <c r="T3919" s="3">
        <v>0.10639999999999999</v>
      </c>
    </row>
    <row r="3920" spans="1:20">
      <c r="A3920" t="s">
        <v>195</v>
      </c>
      <c r="B3920" t="s">
        <v>209</v>
      </c>
      <c r="C3920">
        <v>132</v>
      </c>
      <c r="D3920" t="s">
        <v>194</v>
      </c>
      <c r="E3920">
        <v>428</v>
      </c>
      <c r="F3920" s="3">
        <v>0.1231</v>
      </c>
      <c r="G3920" s="3">
        <v>0.4199</v>
      </c>
      <c r="H3920" s="3">
        <v>4.2099999999999999E-2</v>
      </c>
      <c r="I3920" s="3">
        <v>0.1191</v>
      </c>
      <c r="J3920" s="3">
        <v>0.31409999999999999</v>
      </c>
      <c r="L3920" s="3">
        <v>2.69E-2</v>
      </c>
      <c r="M3920" s="3">
        <v>1.06E-2</v>
      </c>
      <c r="N3920" s="3">
        <v>5.3E-3</v>
      </c>
      <c r="O3920" s="3">
        <v>2.1899999999999999E-2</v>
      </c>
      <c r="P3920" s="3">
        <v>3.4599999999999999E-2</v>
      </c>
      <c r="Q3920" s="3">
        <v>2.9899999999999999E-2</v>
      </c>
      <c r="R3920" s="3">
        <v>1.46E-2</v>
      </c>
      <c r="S3920" s="3">
        <v>8.3999999999999995E-3</v>
      </c>
      <c r="T3920" s="3">
        <v>0.13750000000000001</v>
      </c>
    </row>
    <row r="3921" spans="1:20">
      <c r="A3921" t="s">
        <v>199</v>
      </c>
      <c r="B3921" t="s">
        <v>207</v>
      </c>
      <c r="C3921">
        <v>60</v>
      </c>
      <c r="D3921" t="s">
        <v>194</v>
      </c>
      <c r="E3921">
        <v>428</v>
      </c>
      <c r="F3921" s="3">
        <v>7.8399999999999997E-2</v>
      </c>
      <c r="G3921" s="3">
        <v>0.18079999999999999</v>
      </c>
      <c r="H3921" s="3">
        <v>5.1799999999999999E-2</v>
      </c>
      <c r="I3921" s="3">
        <v>0.25940000000000002</v>
      </c>
      <c r="J3921" s="3">
        <v>0.55859999999999999</v>
      </c>
      <c r="L3921" s="3">
        <v>8.0000000000000004E-4</v>
      </c>
      <c r="M3921" s="3">
        <v>2.8999999999999998E-3</v>
      </c>
      <c r="N3921" s="3">
        <v>1.6999999999999999E-3</v>
      </c>
      <c r="P3921" s="3">
        <v>8.0999999999999996E-3</v>
      </c>
      <c r="Q3921" s="3">
        <v>1.6199999999999999E-2</v>
      </c>
      <c r="R3921" s="3">
        <v>6.1999999999999998E-3</v>
      </c>
      <c r="S3921" s="3">
        <v>6.6699999999999995E-2</v>
      </c>
      <c r="T3921" s="3">
        <v>5.4899999999999997E-2</v>
      </c>
    </row>
    <row r="3922" spans="1:20">
      <c r="A3922" t="s">
        <v>199</v>
      </c>
      <c r="B3922" t="s">
        <v>209</v>
      </c>
      <c r="C3922">
        <v>162</v>
      </c>
      <c r="D3922" t="s">
        <v>194</v>
      </c>
      <c r="E3922">
        <v>428</v>
      </c>
      <c r="F3922" s="3">
        <v>0.223</v>
      </c>
      <c r="G3922" s="3">
        <v>0.218</v>
      </c>
      <c r="H3922" s="3">
        <v>3.3099999999999997E-2</v>
      </c>
      <c r="I3922" s="3">
        <v>0.11459999999999999</v>
      </c>
      <c r="J3922" s="3">
        <v>0.27539999999999998</v>
      </c>
      <c r="K3922" s="3">
        <v>1.4200000000000001E-2</v>
      </c>
      <c r="L3922" s="3">
        <v>0.2009</v>
      </c>
      <c r="N3922" s="3">
        <v>4.53E-2</v>
      </c>
      <c r="O3922" s="3">
        <v>2.8999999999999998E-3</v>
      </c>
      <c r="Q3922" s="3">
        <v>7.4300000000000005E-2</v>
      </c>
      <c r="R3922" s="3">
        <v>8.0000000000000004E-4</v>
      </c>
      <c r="S3922" s="3">
        <v>3.4299999999999997E-2</v>
      </c>
      <c r="T3922" s="3">
        <v>0.10390000000000001</v>
      </c>
    </row>
    <row r="3923" spans="1:20">
      <c r="A3923" t="s">
        <v>200</v>
      </c>
      <c r="B3923" t="s">
        <v>200</v>
      </c>
      <c r="C3923">
        <v>428</v>
      </c>
      <c r="D3923" t="s">
        <v>200</v>
      </c>
      <c r="E3923">
        <v>428</v>
      </c>
      <c r="F3923" s="3">
        <v>0.16439999999999999</v>
      </c>
      <c r="G3923" s="3">
        <v>0.28139999999999998</v>
      </c>
      <c r="H3923" s="3">
        <v>3.32E-2</v>
      </c>
      <c r="I3923" s="3">
        <v>0.111</v>
      </c>
      <c r="J3923" s="3">
        <v>0.34820000000000001</v>
      </c>
      <c r="K3923" s="3">
        <v>5.1999999999999998E-3</v>
      </c>
      <c r="L3923" s="3">
        <v>8.8200000000000001E-2</v>
      </c>
      <c r="M3923" s="3">
        <v>3.7000000000000002E-3</v>
      </c>
      <c r="N3923" s="3">
        <v>2.8299999999999999E-2</v>
      </c>
      <c r="O3923" s="3">
        <v>2.6599999999999999E-2</v>
      </c>
      <c r="P3923" s="3">
        <v>2.07E-2</v>
      </c>
      <c r="Q3923" s="3">
        <v>4.2599999999999999E-2</v>
      </c>
      <c r="R3923" s="3">
        <v>6.0000000000000001E-3</v>
      </c>
      <c r="S3923" s="3">
        <v>2.8000000000000001E-2</v>
      </c>
      <c r="T3923" s="3">
        <v>0.1101</v>
      </c>
    </row>
    <row r="3925" spans="1:20" ht="45">
      <c r="A3925" s="22" t="s">
        <v>985</v>
      </c>
    </row>
    <row r="3926" spans="1:20">
      <c r="A3926" t="s">
        <v>185</v>
      </c>
      <c r="B3926" t="s">
        <v>192</v>
      </c>
      <c r="C3926" t="s">
        <v>184</v>
      </c>
      <c r="D3926" t="s">
        <v>193</v>
      </c>
      <c r="E3926" t="s">
        <v>970</v>
      </c>
      <c r="F3926" t="s">
        <v>971</v>
      </c>
      <c r="G3926" t="s">
        <v>972</v>
      </c>
      <c r="H3926" t="s">
        <v>973</v>
      </c>
      <c r="I3926" t="s">
        <v>974</v>
      </c>
      <c r="J3926" t="s">
        <v>975</v>
      </c>
      <c r="K3926" t="s">
        <v>976</v>
      </c>
      <c r="L3926" t="s">
        <v>977</v>
      </c>
      <c r="M3926" t="s">
        <v>274</v>
      </c>
      <c r="N3926" t="s">
        <v>247</v>
      </c>
      <c r="O3926" t="s">
        <v>978</v>
      </c>
      <c r="P3926" t="s">
        <v>979</v>
      </c>
      <c r="Q3926" t="s">
        <v>980</v>
      </c>
      <c r="R3926" t="s">
        <v>981</v>
      </c>
      <c r="S3926" t="s">
        <v>982</v>
      </c>
    </row>
    <row r="3927" spans="1:20">
      <c r="A3927" t="s">
        <v>195</v>
      </c>
      <c r="B3927">
        <v>206</v>
      </c>
      <c r="C3927" t="s">
        <v>194</v>
      </c>
      <c r="D3927">
        <v>428</v>
      </c>
      <c r="E3927" s="3">
        <v>0.1401</v>
      </c>
      <c r="F3927" s="3">
        <v>0.34489999999999998</v>
      </c>
      <c r="G3927" s="3">
        <v>2.9700000000000001E-2</v>
      </c>
      <c r="H3927" s="3">
        <v>7.9899999999999999E-2</v>
      </c>
      <c r="I3927" s="3">
        <v>0.3584</v>
      </c>
      <c r="K3927" s="3">
        <v>2.6599999999999999E-2</v>
      </c>
      <c r="L3927" s="3">
        <v>6.4000000000000003E-3</v>
      </c>
      <c r="M3927" s="3">
        <v>2.1499999999999998E-2</v>
      </c>
      <c r="N3927" s="3">
        <v>4.82E-2</v>
      </c>
      <c r="O3927" s="3">
        <v>3.7600000000000001E-2</v>
      </c>
      <c r="P3927" s="3">
        <v>2.5600000000000001E-2</v>
      </c>
      <c r="Q3927" s="3">
        <v>9.4999999999999998E-3</v>
      </c>
      <c r="R3927" s="3">
        <v>1.61E-2</v>
      </c>
      <c r="S3927" s="3">
        <v>0.125</v>
      </c>
    </row>
    <row r="3928" spans="1:20">
      <c r="A3928" t="s">
        <v>199</v>
      </c>
      <c r="B3928">
        <v>222</v>
      </c>
      <c r="C3928" t="s">
        <v>194</v>
      </c>
      <c r="D3928">
        <v>428</v>
      </c>
      <c r="E3928" s="3">
        <v>0.19170000000000001</v>
      </c>
      <c r="F3928" s="3">
        <v>0.21</v>
      </c>
      <c r="G3928" s="3">
        <v>3.7199999999999997E-2</v>
      </c>
      <c r="H3928" s="3">
        <v>0.14599999999999999</v>
      </c>
      <c r="I3928" s="3">
        <v>0.3367</v>
      </c>
      <c r="J3928" s="3">
        <v>1.11E-2</v>
      </c>
      <c r="K3928" s="3">
        <v>0.15759999999999999</v>
      </c>
      <c r="L3928" s="3">
        <v>5.9999999999999995E-4</v>
      </c>
      <c r="M3928" s="3">
        <v>3.5799999999999998E-2</v>
      </c>
      <c r="N3928" s="3">
        <v>2.3E-3</v>
      </c>
      <c r="O3928" s="3">
        <v>1.8E-3</v>
      </c>
      <c r="P3928" s="3">
        <v>6.1699999999999998E-2</v>
      </c>
      <c r="Q3928" s="3">
        <v>2E-3</v>
      </c>
      <c r="R3928" s="3">
        <v>4.1300000000000003E-2</v>
      </c>
      <c r="S3928" s="3">
        <v>9.3299999999999994E-2</v>
      </c>
    </row>
    <row r="3929" spans="1:20">
      <c r="A3929" t="s">
        <v>200</v>
      </c>
      <c r="B3929">
        <v>428</v>
      </c>
      <c r="C3929" t="s">
        <v>200</v>
      </c>
      <c r="D3929">
        <v>428</v>
      </c>
      <c r="E3929" s="3">
        <v>0.16439999999999999</v>
      </c>
      <c r="F3929" s="3">
        <v>0.28139999999999998</v>
      </c>
      <c r="G3929" s="3">
        <v>3.32E-2</v>
      </c>
      <c r="H3929" s="3">
        <v>0.111</v>
      </c>
      <c r="I3929" s="3">
        <v>0.34820000000000001</v>
      </c>
      <c r="J3929" s="3">
        <v>5.1999999999999998E-3</v>
      </c>
      <c r="K3929" s="3">
        <v>8.8200000000000001E-2</v>
      </c>
      <c r="L3929" s="3">
        <v>3.7000000000000002E-3</v>
      </c>
      <c r="M3929" s="3">
        <v>2.8299999999999999E-2</v>
      </c>
      <c r="N3929" s="3">
        <v>2.6599999999999999E-2</v>
      </c>
      <c r="O3929" s="3">
        <v>2.07E-2</v>
      </c>
      <c r="P3929" s="3">
        <v>4.2599999999999999E-2</v>
      </c>
      <c r="Q3929" s="3">
        <v>6.0000000000000001E-3</v>
      </c>
      <c r="R3929" s="3">
        <v>2.8000000000000001E-2</v>
      </c>
      <c r="S3929" s="3">
        <v>0.1101</v>
      </c>
    </row>
    <row r="3931" spans="1:20" ht="45">
      <c r="A3931" s="22" t="s">
        <v>986</v>
      </c>
    </row>
    <row r="3932" spans="1:20">
      <c r="A3932" t="s">
        <v>185</v>
      </c>
      <c r="B3932" t="s">
        <v>186</v>
      </c>
      <c r="C3932" t="s">
        <v>192</v>
      </c>
      <c r="D3932" t="s">
        <v>184</v>
      </c>
      <c r="E3932" t="s">
        <v>193</v>
      </c>
      <c r="F3932" t="s">
        <v>970</v>
      </c>
      <c r="G3932" t="s">
        <v>971</v>
      </c>
      <c r="H3932" t="s">
        <v>972</v>
      </c>
      <c r="I3932" t="s">
        <v>973</v>
      </c>
      <c r="J3932" t="s">
        <v>974</v>
      </c>
      <c r="K3932" t="s">
        <v>975</v>
      </c>
      <c r="L3932" t="s">
        <v>976</v>
      </c>
      <c r="M3932" t="s">
        <v>977</v>
      </c>
      <c r="N3932" t="s">
        <v>274</v>
      </c>
      <c r="O3932" t="s">
        <v>247</v>
      </c>
      <c r="P3932" t="s">
        <v>978</v>
      </c>
      <c r="Q3932" t="s">
        <v>979</v>
      </c>
      <c r="R3932" t="s">
        <v>980</v>
      </c>
      <c r="S3932" t="s">
        <v>981</v>
      </c>
      <c r="T3932" t="s">
        <v>982</v>
      </c>
    </row>
    <row r="3933" spans="1:20">
      <c r="A3933" t="s">
        <v>195</v>
      </c>
      <c r="B3933" t="s">
        <v>212</v>
      </c>
      <c r="C3933">
        <v>141</v>
      </c>
      <c r="D3933" t="s">
        <v>194</v>
      </c>
      <c r="E3933">
        <v>428</v>
      </c>
      <c r="F3933" s="3">
        <v>0.14960000000000001</v>
      </c>
      <c r="G3933" s="3">
        <v>0.34329999999999999</v>
      </c>
      <c r="H3933" s="3">
        <v>3.2399999999999998E-2</v>
      </c>
      <c r="I3933" s="3">
        <v>7.1400000000000005E-2</v>
      </c>
      <c r="J3933" s="3">
        <v>0.33229999999999998</v>
      </c>
      <c r="L3933" s="3">
        <v>2.6599999999999999E-2</v>
      </c>
      <c r="M3933" s="3">
        <v>8.8999999999999999E-3</v>
      </c>
      <c r="N3933" s="3">
        <v>1.54E-2</v>
      </c>
      <c r="O3933" s="3">
        <v>6.7599999999999993E-2</v>
      </c>
      <c r="P3933" s="3">
        <v>5.2699999999999997E-2</v>
      </c>
      <c r="Q3933" s="3">
        <v>1.32E-2</v>
      </c>
      <c r="R3933" s="3">
        <v>1.06E-2</v>
      </c>
      <c r="S3933" s="3">
        <v>1.9400000000000001E-2</v>
      </c>
      <c r="T3933" s="3">
        <v>0.1237</v>
      </c>
    </row>
    <row r="3934" spans="1:20">
      <c r="A3934" t="s">
        <v>195</v>
      </c>
      <c r="B3934" t="s">
        <v>214</v>
      </c>
      <c r="C3934">
        <v>30</v>
      </c>
      <c r="D3934" t="s">
        <v>194</v>
      </c>
      <c r="E3934">
        <v>428</v>
      </c>
      <c r="F3934" s="3">
        <v>5.04E-2</v>
      </c>
      <c r="G3934" s="3">
        <v>0.34100000000000003</v>
      </c>
      <c r="I3934" s="3">
        <v>0.16700000000000001</v>
      </c>
      <c r="J3934" s="3">
        <v>0.44400000000000001</v>
      </c>
      <c r="L3934" s="3">
        <v>2.6499999999999999E-2</v>
      </c>
      <c r="N3934" s="3">
        <v>4.3799999999999999E-2</v>
      </c>
      <c r="Q3934" s="3">
        <v>5.4300000000000001E-2</v>
      </c>
      <c r="R3934" s="3">
        <v>1.26E-2</v>
      </c>
      <c r="T3934" s="3">
        <v>0.15290000000000001</v>
      </c>
    </row>
    <row r="3935" spans="1:20">
      <c r="A3935" t="s">
        <v>195</v>
      </c>
      <c r="B3935" t="s">
        <v>215</v>
      </c>
      <c r="C3935">
        <v>35</v>
      </c>
      <c r="D3935" t="s">
        <v>194</v>
      </c>
      <c r="E3935">
        <v>428</v>
      </c>
      <c r="F3935" s="3">
        <v>0.19539999999999999</v>
      </c>
      <c r="G3935" s="3">
        <v>0.3584</v>
      </c>
      <c r="H3935" s="3">
        <v>5.0299999999999997E-2</v>
      </c>
      <c r="I3935" s="3">
        <v>2.18E-2</v>
      </c>
      <c r="J3935" s="3">
        <v>0.39850000000000002</v>
      </c>
      <c r="L3935" s="3">
        <v>2.7E-2</v>
      </c>
      <c r="N3935" s="3">
        <v>2.81E-2</v>
      </c>
      <c r="Q3935" s="3">
        <v>5.8299999999999998E-2</v>
      </c>
      <c r="S3935" s="3">
        <v>1.78E-2</v>
      </c>
      <c r="T3935" s="3">
        <v>9.8900000000000002E-2</v>
      </c>
    </row>
    <row r="3936" spans="1:20">
      <c r="A3936" t="s">
        <v>199</v>
      </c>
      <c r="B3936" t="s">
        <v>212</v>
      </c>
      <c r="C3936">
        <v>165</v>
      </c>
      <c r="D3936" t="s">
        <v>194</v>
      </c>
      <c r="E3936">
        <v>428</v>
      </c>
      <c r="F3936" s="3">
        <v>0.20319999999999999</v>
      </c>
      <c r="G3936" s="3">
        <v>0.21929999999999999</v>
      </c>
      <c r="H3936" s="3">
        <v>5.28E-2</v>
      </c>
      <c r="I3936" s="3">
        <v>0.1391</v>
      </c>
      <c r="J3936" s="3">
        <v>0.35659999999999997</v>
      </c>
      <c r="K3936" s="3">
        <v>1.6E-2</v>
      </c>
      <c r="L3936" s="3">
        <v>0.1077</v>
      </c>
      <c r="N3936" s="3">
        <v>5.1700000000000003E-2</v>
      </c>
      <c r="O3936" s="3">
        <v>3.3E-3</v>
      </c>
      <c r="P3936" s="3">
        <v>8.0000000000000004E-4</v>
      </c>
      <c r="Q3936" s="3">
        <v>7.8E-2</v>
      </c>
      <c r="R3936" s="3">
        <v>2.8999999999999998E-3</v>
      </c>
      <c r="S3936" s="3">
        <v>2.07E-2</v>
      </c>
      <c r="T3936" s="3">
        <v>6.4000000000000001E-2</v>
      </c>
    </row>
    <row r="3937" spans="1:21" s="25" customFormat="1">
      <c r="A3937" s="25" t="s">
        <v>199</v>
      </c>
      <c r="B3937" s="25" t="s">
        <v>214</v>
      </c>
      <c r="C3937" s="25">
        <v>21</v>
      </c>
      <c r="D3937" s="25" t="s">
        <v>194</v>
      </c>
      <c r="E3937" s="25">
        <v>428</v>
      </c>
      <c r="F3937" s="26">
        <v>6.7500000000000004E-2</v>
      </c>
      <c r="G3937" s="26">
        <v>0.1636</v>
      </c>
      <c r="H3937" s="26">
        <v>3.3999999999999998E-3</v>
      </c>
      <c r="I3937" s="26">
        <v>0.113</v>
      </c>
      <c r="J3937" s="26">
        <v>0.10009999999999999</v>
      </c>
      <c r="L3937" s="26">
        <v>0.27660000000000001</v>
      </c>
      <c r="Q3937" s="26">
        <v>4.5699999999999998E-2</v>
      </c>
      <c r="S3937" s="26">
        <v>2.2100000000000002E-2</v>
      </c>
      <c r="T3937" s="26">
        <v>0.28110000000000002</v>
      </c>
    </row>
    <row r="3938" spans="1:21">
      <c r="A3938" t="s">
        <v>199</v>
      </c>
      <c r="B3938" t="s">
        <v>215</v>
      </c>
      <c r="C3938">
        <v>36</v>
      </c>
      <c r="D3938" t="s">
        <v>194</v>
      </c>
      <c r="E3938">
        <v>428</v>
      </c>
      <c r="F3938" s="3">
        <v>0.28470000000000001</v>
      </c>
      <c r="G3938" s="3">
        <v>0.2195</v>
      </c>
      <c r="I3938" s="3">
        <v>0.21990000000000001</v>
      </c>
      <c r="J3938" s="3">
        <v>0.52390000000000003</v>
      </c>
      <c r="L3938" s="3">
        <v>0.26229999999999998</v>
      </c>
      <c r="M3938" s="3">
        <v>4.5999999999999999E-3</v>
      </c>
      <c r="P3938" s="3">
        <v>8.5000000000000006E-3</v>
      </c>
      <c r="S3938" s="3">
        <v>0.16719999999999999</v>
      </c>
      <c r="T3938" s="3">
        <v>1.2E-2</v>
      </c>
    </row>
    <row r="3939" spans="1:21">
      <c r="A3939" t="s">
        <v>200</v>
      </c>
      <c r="B3939" t="s">
        <v>200</v>
      </c>
      <c r="C3939">
        <v>428</v>
      </c>
      <c r="D3939" t="s">
        <v>200</v>
      </c>
      <c r="E3939">
        <v>428</v>
      </c>
      <c r="F3939" s="3">
        <v>0.16439999999999999</v>
      </c>
      <c r="G3939" s="3">
        <v>0.28139999999999998</v>
      </c>
      <c r="H3939" s="3">
        <v>3.32E-2</v>
      </c>
      <c r="I3939" s="3">
        <v>0.111</v>
      </c>
      <c r="J3939" s="3">
        <v>0.34820000000000001</v>
      </c>
      <c r="K3939" s="3">
        <v>5.1999999999999998E-3</v>
      </c>
      <c r="L3939" s="3">
        <v>8.8200000000000001E-2</v>
      </c>
      <c r="M3939" s="3">
        <v>3.7000000000000002E-3</v>
      </c>
      <c r="N3939" s="3">
        <v>2.8299999999999999E-2</v>
      </c>
      <c r="O3939" s="3">
        <v>2.6599999999999999E-2</v>
      </c>
      <c r="P3939" s="3">
        <v>2.07E-2</v>
      </c>
      <c r="Q3939" s="3">
        <v>4.2599999999999999E-2</v>
      </c>
      <c r="R3939" s="3">
        <v>6.0000000000000001E-3</v>
      </c>
      <c r="S3939" s="3">
        <v>2.8000000000000001E-2</v>
      </c>
      <c r="T3939" s="3">
        <v>0.1101</v>
      </c>
    </row>
    <row r="3941" spans="1:21" ht="45">
      <c r="A3941" s="22" t="s">
        <v>987</v>
      </c>
    </row>
    <row r="3942" spans="1:21">
      <c r="A3942" t="s">
        <v>185</v>
      </c>
      <c r="B3942" t="s">
        <v>186</v>
      </c>
      <c r="C3942" t="s">
        <v>192</v>
      </c>
      <c r="D3942" t="s">
        <v>184</v>
      </c>
      <c r="E3942" t="s">
        <v>193</v>
      </c>
      <c r="F3942" t="s">
        <v>970</v>
      </c>
      <c r="G3942" t="s">
        <v>971</v>
      </c>
      <c r="H3942" t="s">
        <v>972</v>
      </c>
      <c r="I3942" t="s">
        <v>973</v>
      </c>
      <c r="J3942" t="s">
        <v>974</v>
      </c>
      <c r="K3942" t="s">
        <v>975</v>
      </c>
      <c r="L3942" t="s">
        <v>976</v>
      </c>
      <c r="M3942" t="s">
        <v>977</v>
      </c>
      <c r="N3942" t="s">
        <v>274</v>
      </c>
      <c r="O3942" t="s">
        <v>247</v>
      </c>
      <c r="P3942" t="s">
        <v>978</v>
      </c>
      <c r="Q3942" t="s">
        <v>979</v>
      </c>
      <c r="R3942" t="s">
        <v>980</v>
      </c>
      <c r="S3942" t="s">
        <v>981</v>
      </c>
      <c r="T3942" t="s">
        <v>982</v>
      </c>
    </row>
    <row r="3943" spans="1:21">
      <c r="A3943" t="s">
        <v>195</v>
      </c>
      <c r="B3943" t="s">
        <v>217</v>
      </c>
      <c r="C3943">
        <v>80</v>
      </c>
      <c r="D3943" t="s">
        <v>194</v>
      </c>
      <c r="E3943">
        <v>428</v>
      </c>
      <c r="F3943" s="3">
        <v>9.7900000000000001E-2</v>
      </c>
      <c r="G3943" s="3">
        <v>0.32129999999999997</v>
      </c>
      <c r="H3943" s="3">
        <v>2.2499999999999999E-2</v>
      </c>
      <c r="I3943" s="3">
        <v>9.9599999999999994E-2</v>
      </c>
      <c r="J3943" s="3">
        <v>0.3453</v>
      </c>
      <c r="L3943" s="3">
        <v>6.2899999999999998E-2</v>
      </c>
      <c r="M3943" s="3">
        <v>1.78E-2</v>
      </c>
      <c r="N3943" s="3">
        <v>3.0800000000000001E-2</v>
      </c>
      <c r="O3943" s="3">
        <v>3.6799999999999999E-2</v>
      </c>
      <c r="P3943" s="3">
        <v>8.1799999999999998E-2</v>
      </c>
      <c r="Q3943" s="3">
        <v>3.9100000000000003E-2</v>
      </c>
      <c r="R3943" s="3">
        <v>1.3899999999999999E-2</v>
      </c>
      <c r="S3943" s="3">
        <v>3.2399999999999998E-2</v>
      </c>
      <c r="T3943" s="3">
        <v>9.6100000000000005E-2</v>
      </c>
    </row>
    <row r="3944" spans="1:21">
      <c r="A3944" t="s">
        <v>195</v>
      </c>
      <c r="B3944" t="s">
        <v>219</v>
      </c>
      <c r="C3944">
        <v>90</v>
      </c>
      <c r="D3944" t="s">
        <v>194</v>
      </c>
      <c r="E3944">
        <v>428</v>
      </c>
      <c r="F3944" s="3">
        <v>0.1527</v>
      </c>
      <c r="G3944" s="3">
        <v>0.36020000000000002</v>
      </c>
      <c r="H3944" s="3">
        <v>7.1000000000000004E-3</v>
      </c>
      <c r="I3944" s="3">
        <v>7.6499999999999999E-2</v>
      </c>
      <c r="J3944" s="3">
        <v>0.3695</v>
      </c>
      <c r="L3944" s="3">
        <v>8.8999999999999999E-3</v>
      </c>
      <c r="N3944" s="3">
        <v>2.2499999999999999E-2</v>
      </c>
      <c r="P3944" s="3">
        <v>1.7899999999999999E-2</v>
      </c>
      <c r="Q3944" s="3">
        <v>2.47E-2</v>
      </c>
      <c r="R3944" s="3">
        <v>4.1999999999999997E-3</v>
      </c>
      <c r="S3944" s="3">
        <v>8.5000000000000006E-3</v>
      </c>
      <c r="T3944" s="3">
        <v>0.14699999999999999</v>
      </c>
    </row>
    <row r="3945" spans="1:21">
      <c r="A3945" t="s">
        <v>195</v>
      </c>
      <c r="B3945" t="s">
        <v>220</v>
      </c>
      <c r="C3945">
        <v>36</v>
      </c>
      <c r="D3945" t="s">
        <v>194</v>
      </c>
      <c r="E3945">
        <v>428</v>
      </c>
      <c r="F3945" s="3">
        <v>0.19259999999999999</v>
      </c>
      <c r="G3945" s="3">
        <v>0.35239999999999999</v>
      </c>
      <c r="H3945" s="3">
        <v>0.1051</v>
      </c>
      <c r="I3945" s="3">
        <v>4.8300000000000003E-2</v>
      </c>
      <c r="J3945" s="3">
        <v>0.35549999999999998</v>
      </c>
      <c r="O3945" s="3">
        <v>0.2016</v>
      </c>
      <c r="R3945" s="3">
        <v>1.5100000000000001E-2</v>
      </c>
      <c r="S3945" s="3">
        <v>3.3999999999999998E-3</v>
      </c>
      <c r="T3945" s="3">
        <v>0.125</v>
      </c>
    </row>
    <row r="3946" spans="1:21">
      <c r="A3946" t="s">
        <v>199</v>
      </c>
      <c r="B3946" t="s">
        <v>217</v>
      </c>
      <c r="C3946">
        <v>112</v>
      </c>
      <c r="D3946" t="s">
        <v>194</v>
      </c>
      <c r="E3946">
        <v>428</v>
      </c>
      <c r="F3946" s="3">
        <v>0.23730000000000001</v>
      </c>
      <c r="G3946" s="3">
        <v>0.25490000000000002</v>
      </c>
      <c r="H3946" s="3">
        <v>6.3200000000000006E-2</v>
      </c>
      <c r="I3946" s="3">
        <v>8.2900000000000001E-2</v>
      </c>
      <c r="J3946" s="3">
        <v>0.31390000000000001</v>
      </c>
      <c r="K3946" s="3">
        <v>1.26E-2</v>
      </c>
      <c r="L3946" s="3">
        <v>0.20930000000000001</v>
      </c>
      <c r="M3946" s="3">
        <v>1.2999999999999999E-3</v>
      </c>
      <c r="N3946" s="3">
        <v>4.1300000000000003E-2</v>
      </c>
      <c r="P3946" s="3">
        <v>2.3999999999999998E-3</v>
      </c>
      <c r="Q3946" s="3">
        <v>8.4400000000000003E-2</v>
      </c>
      <c r="R3946" s="3">
        <v>1.2999999999999999E-3</v>
      </c>
      <c r="S3946" s="3">
        <v>6.6100000000000006E-2</v>
      </c>
      <c r="T3946" s="3">
        <v>6.6699999999999995E-2</v>
      </c>
    </row>
    <row r="3947" spans="1:21">
      <c r="A3947" t="s">
        <v>199</v>
      </c>
      <c r="B3947" t="s">
        <v>219</v>
      </c>
      <c r="C3947">
        <v>75</v>
      </c>
      <c r="D3947" t="s">
        <v>194</v>
      </c>
      <c r="E3947">
        <v>428</v>
      </c>
      <c r="F3947" s="3">
        <v>0.1033</v>
      </c>
      <c r="G3947" s="3">
        <v>0.11</v>
      </c>
      <c r="H3947" s="3">
        <v>9.9000000000000008E-3</v>
      </c>
      <c r="I3947" s="3">
        <v>7.8700000000000006E-2</v>
      </c>
      <c r="J3947" s="3">
        <v>0.47289999999999999</v>
      </c>
      <c r="K3947" s="3">
        <v>1.4E-2</v>
      </c>
      <c r="L3947" s="3">
        <v>0.15409999999999999</v>
      </c>
      <c r="N3947" s="3">
        <v>4.4200000000000003E-2</v>
      </c>
      <c r="O3947" s="3">
        <v>6.4999999999999997E-3</v>
      </c>
      <c r="P3947" s="3">
        <v>1.6000000000000001E-3</v>
      </c>
      <c r="Q3947" s="3">
        <v>3.0700000000000002E-2</v>
      </c>
      <c r="S3947" s="3">
        <v>0.02</v>
      </c>
      <c r="T3947" s="3">
        <v>0.14960000000000001</v>
      </c>
    </row>
    <row r="3948" spans="1:21">
      <c r="A3948" t="s">
        <v>199</v>
      </c>
      <c r="B3948" t="s">
        <v>220</v>
      </c>
      <c r="C3948">
        <v>35</v>
      </c>
      <c r="D3948" t="s">
        <v>194</v>
      </c>
      <c r="E3948">
        <v>428</v>
      </c>
      <c r="F3948" s="3">
        <v>0.24729999999999999</v>
      </c>
      <c r="G3948" s="3">
        <v>0.29339999999999999</v>
      </c>
      <c r="H3948" s="3">
        <v>1.66E-2</v>
      </c>
      <c r="I3948" s="3">
        <v>0.49399999999999999</v>
      </c>
      <c r="J3948" s="3">
        <v>0.10290000000000001</v>
      </c>
      <c r="L3948" s="3">
        <v>3.3E-3</v>
      </c>
      <c r="Q3948" s="3">
        <v>6.0100000000000001E-2</v>
      </c>
      <c r="R3948" s="3">
        <v>8.6E-3</v>
      </c>
      <c r="S3948" s="3">
        <v>1.12E-2</v>
      </c>
      <c r="T3948" s="3">
        <v>5.0099999999999999E-2</v>
      </c>
    </row>
    <row r="3949" spans="1:21">
      <c r="A3949" t="s">
        <v>200</v>
      </c>
      <c r="B3949" t="s">
        <v>200</v>
      </c>
      <c r="C3949">
        <v>428</v>
      </c>
      <c r="D3949" t="s">
        <v>200</v>
      </c>
      <c r="E3949">
        <v>428</v>
      </c>
      <c r="F3949" s="3">
        <v>0.16439999999999999</v>
      </c>
      <c r="G3949" s="3">
        <v>0.28139999999999998</v>
      </c>
      <c r="H3949" s="3">
        <v>3.32E-2</v>
      </c>
      <c r="I3949" s="3">
        <v>0.111</v>
      </c>
      <c r="J3949" s="3">
        <v>0.34820000000000001</v>
      </c>
      <c r="K3949" s="3">
        <v>5.1999999999999998E-3</v>
      </c>
      <c r="L3949" s="3">
        <v>8.8200000000000001E-2</v>
      </c>
      <c r="M3949" s="3">
        <v>3.7000000000000002E-3</v>
      </c>
      <c r="N3949" s="3">
        <v>2.8299999999999999E-2</v>
      </c>
      <c r="O3949" s="3">
        <v>2.6599999999999999E-2</v>
      </c>
      <c r="P3949" s="3">
        <v>2.07E-2</v>
      </c>
      <c r="Q3949" s="3">
        <v>4.2599999999999999E-2</v>
      </c>
      <c r="R3949" s="3">
        <v>6.0000000000000001E-3</v>
      </c>
      <c r="S3949" s="3">
        <v>2.8000000000000001E-2</v>
      </c>
      <c r="T3949" s="3">
        <v>0.1101</v>
      </c>
    </row>
    <row r="3951" spans="1:21" ht="30">
      <c r="A3951" s="22" t="s">
        <v>988</v>
      </c>
    </row>
    <row r="3952" spans="1:21">
      <c r="A3952" t="s">
        <v>185</v>
      </c>
      <c r="B3952" t="s">
        <v>186</v>
      </c>
      <c r="C3952" t="s">
        <v>192</v>
      </c>
      <c r="D3952" t="s">
        <v>184</v>
      </c>
      <c r="E3952" t="s">
        <v>193</v>
      </c>
      <c r="F3952" t="s">
        <v>989</v>
      </c>
      <c r="G3952" t="s">
        <v>990</v>
      </c>
      <c r="H3952" t="s">
        <v>991</v>
      </c>
      <c r="I3952" t="s">
        <v>257</v>
      </c>
      <c r="J3952" t="s">
        <v>992</v>
      </c>
      <c r="K3952" t="s">
        <v>993</v>
      </c>
      <c r="L3952" t="s">
        <v>994</v>
      </c>
      <c r="M3952" t="s">
        <v>995</v>
      </c>
      <c r="N3952" t="s">
        <v>996</v>
      </c>
      <c r="O3952" t="s">
        <v>997</v>
      </c>
      <c r="P3952" t="s">
        <v>998</v>
      </c>
      <c r="Q3952" t="s">
        <v>329</v>
      </c>
      <c r="R3952" t="s">
        <v>274</v>
      </c>
      <c r="S3952" t="s">
        <v>999</v>
      </c>
      <c r="T3952" t="s">
        <v>247</v>
      </c>
      <c r="U3952" t="s">
        <v>1000</v>
      </c>
    </row>
    <row r="3953" spans="1:21">
      <c r="A3953" t="s">
        <v>195</v>
      </c>
      <c r="B3953" t="s">
        <v>196</v>
      </c>
      <c r="C3953">
        <v>408</v>
      </c>
      <c r="D3953" t="s">
        <v>194</v>
      </c>
      <c r="E3953">
        <v>2650</v>
      </c>
      <c r="F3953" s="3">
        <v>8.3000000000000001E-3</v>
      </c>
      <c r="G3953" s="3">
        <v>2.58E-2</v>
      </c>
      <c r="H3953" s="3">
        <v>1.72E-2</v>
      </c>
      <c r="I3953" s="3">
        <v>2.5000000000000001E-3</v>
      </c>
      <c r="J3953" s="3">
        <v>1.34E-2</v>
      </c>
      <c r="K3953" s="3">
        <v>7.2499999999999995E-2</v>
      </c>
      <c r="L3953" s="3">
        <v>5.9700000000000003E-2</v>
      </c>
      <c r="N3953" s="3">
        <v>5.0000000000000001E-4</v>
      </c>
      <c r="O3953" s="3">
        <v>0.14449999999999999</v>
      </c>
      <c r="P3953" s="3">
        <v>6.7999999999999996E-3</v>
      </c>
      <c r="Q3953" s="3">
        <v>0.73329999999999995</v>
      </c>
      <c r="R3953" s="3">
        <v>2.0299999999999999E-2</v>
      </c>
      <c r="T3953" s="3">
        <v>1.9800000000000002E-2</v>
      </c>
      <c r="U3953" s="3">
        <v>4.9200000000000001E-2</v>
      </c>
    </row>
    <row r="3954" spans="1:21">
      <c r="A3954" t="s">
        <v>195</v>
      </c>
      <c r="B3954" t="s">
        <v>198</v>
      </c>
      <c r="C3954">
        <v>744</v>
      </c>
      <c r="D3954" t="s">
        <v>194</v>
      </c>
      <c r="E3954">
        <v>2650</v>
      </c>
      <c r="F3954" s="3">
        <v>7.4000000000000003E-3</v>
      </c>
      <c r="G3954" s="3">
        <v>4.5999999999999999E-3</v>
      </c>
      <c r="H3954" s="3">
        <v>3.8300000000000001E-2</v>
      </c>
      <c r="I3954" s="3">
        <v>2.5999999999999999E-3</v>
      </c>
      <c r="J3954" s="3">
        <v>1.67E-2</v>
      </c>
      <c r="K3954" s="3">
        <v>2.9600000000000001E-2</v>
      </c>
      <c r="L3954" s="3">
        <v>3.3799999999999997E-2</v>
      </c>
      <c r="M3954" s="3">
        <v>1.2999999999999999E-3</v>
      </c>
      <c r="N3954" s="3">
        <v>5.9999999999999995E-4</v>
      </c>
      <c r="O3954" s="3">
        <v>1.7399999999999999E-2</v>
      </c>
      <c r="P3954" s="3">
        <v>7.7000000000000002E-3</v>
      </c>
      <c r="Q3954" s="3">
        <v>0.87739999999999996</v>
      </c>
      <c r="R3954" s="3">
        <v>5.1999999999999998E-3</v>
      </c>
      <c r="U3954" s="3">
        <v>3.3999999999999998E-3</v>
      </c>
    </row>
    <row r="3955" spans="1:21">
      <c r="A3955" t="s">
        <v>199</v>
      </c>
      <c r="B3955" t="s">
        <v>196</v>
      </c>
      <c r="C3955">
        <v>522</v>
      </c>
      <c r="D3955" t="s">
        <v>194</v>
      </c>
      <c r="E3955">
        <v>2650</v>
      </c>
      <c r="F3955" s="3">
        <v>1.3100000000000001E-2</v>
      </c>
      <c r="G3955" s="3">
        <v>1.8800000000000001E-2</v>
      </c>
      <c r="H3955" s="3">
        <v>2.1999999999999999E-2</v>
      </c>
      <c r="J3955" s="3">
        <v>6.4000000000000003E-3</v>
      </c>
      <c r="K3955" s="3">
        <v>1.4E-2</v>
      </c>
      <c r="L3955" s="3">
        <v>2.5399999999999999E-2</v>
      </c>
      <c r="N3955" s="3">
        <v>2.7000000000000001E-3</v>
      </c>
      <c r="O3955" s="3">
        <v>0.1077</v>
      </c>
      <c r="P3955" s="3">
        <v>8.9999999999999993E-3</v>
      </c>
      <c r="Q3955" s="3">
        <v>0.81889999999999996</v>
      </c>
      <c r="R3955" s="3">
        <v>2.18E-2</v>
      </c>
      <c r="U3955" s="3">
        <v>2.9700000000000001E-2</v>
      </c>
    </row>
    <row r="3956" spans="1:21">
      <c r="A3956" t="s">
        <v>199</v>
      </c>
      <c r="B3956" t="s">
        <v>198</v>
      </c>
      <c r="C3956">
        <v>937</v>
      </c>
      <c r="D3956" t="s">
        <v>194</v>
      </c>
      <c r="E3956">
        <v>2650</v>
      </c>
      <c r="F3956" s="3">
        <v>5.8999999999999999E-3</v>
      </c>
      <c r="G3956" s="3">
        <v>8.6999999999999994E-3</v>
      </c>
      <c r="H3956" s="3">
        <v>1.6899999999999998E-2</v>
      </c>
      <c r="I3956" s="3">
        <v>1E-4</v>
      </c>
      <c r="J3956" s="3">
        <v>2.8999999999999998E-3</v>
      </c>
      <c r="K3956" s="3">
        <v>3.6200000000000003E-2</v>
      </c>
      <c r="L3956" s="3">
        <v>3.5400000000000001E-2</v>
      </c>
      <c r="M3956" s="3">
        <v>1.4E-3</v>
      </c>
      <c r="N3956" s="3">
        <v>1.3899999999999999E-2</v>
      </c>
      <c r="O3956" s="3">
        <v>1.61E-2</v>
      </c>
      <c r="P3956" s="3">
        <v>8.6999999999999994E-3</v>
      </c>
      <c r="Q3956" s="3">
        <v>0.89249999999999996</v>
      </c>
      <c r="R3956" s="3">
        <v>1.0200000000000001E-2</v>
      </c>
      <c r="S3956" s="3">
        <v>1E-4</v>
      </c>
      <c r="U3956" s="3">
        <v>5.9999999999999995E-4</v>
      </c>
    </row>
    <row r="3957" spans="1:21">
      <c r="A3957" t="s">
        <v>200</v>
      </c>
      <c r="B3957" t="s">
        <v>200</v>
      </c>
      <c r="C3957">
        <v>2650</v>
      </c>
      <c r="D3957" t="s">
        <v>200</v>
      </c>
      <c r="E3957">
        <v>2650</v>
      </c>
      <c r="F3957" s="3">
        <v>7.4000000000000003E-3</v>
      </c>
      <c r="G3957" s="3">
        <v>1.04E-2</v>
      </c>
      <c r="H3957" s="3">
        <v>2.4400000000000002E-2</v>
      </c>
      <c r="I3957" s="3">
        <v>1.1999999999999999E-3</v>
      </c>
      <c r="J3957" s="3">
        <v>8.9999999999999993E-3</v>
      </c>
      <c r="K3957" s="3">
        <v>3.5999999999999997E-2</v>
      </c>
      <c r="L3957" s="3">
        <v>3.6600000000000001E-2</v>
      </c>
      <c r="M3957" s="3">
        <v>1E-3</v>
      </c>
      <c r="N3957" s="3">
        <v>6.7999999999999996E-3</v>
      </c>
      <c r="O3957" s="3">
        <v>4.1099999999999998E-2</v>
      </c>
      <c r="P3957" s="3">
        <v>8.2000000000000007E-3</v>
      </c>
      <c r="Q3957" s="3">
        <v>0.86140000000000005</v>
      </c>
      <c r="R3957" s="3">
        <v>1.11E-2</v>
      </c>
      <c r="S3957" s="3">
        <v>1E-4</v>
      </c>
      <c r="T3957" s="3">
        <v>2.3E-3</v>
      </c>
      <c r="U3957" s="3">
        <v>1.03E-2</v>
      </c>
    </row>
    <row r="3959" spans="1:21" ht="45">
      <c r="A3959" s="22" t="s">
        <v>1001</v>
      </c>
    </row>
    <row r="3960" spans="1:21">
      <c r="A3960" t="s">
        <v>185</v>
      </c>
      <c r="B3960" t="s">
        <v>186</v>
      </c>
      <c r="C3960" t="s">
        <v>192</v>
      </c>
      <c r="D3960" t="s">
        <v>184</v>
      </c>
      <c r="E3960" t="s">
        <v>193</v>
      </c>
      <c r="F3960" t="s">
        <v>989</v>
      </c>
      <c r="G3960" t="s">
        <v>990</v>
      </c>
      <c r="H3960" t="s">
        <v>991</v>
      </c>
      <c r="I3960" t="s">
        <v>257</v>
      </c>
      <c r="J3960" t="s">
        <v>992</v>
      </c>
      <c r="K3960" t="s">
        <v>993</v>
      </c>
      <c r="L3960" t="s">
        <v>994</v>
      </c>
      <c r="M3960" t="s">
        <v>995</v>
      </c>
      <c r="N3960" t="s">
        <v>996</v>
      </c>
      <c r="O3960" t="s">
        <v>997</v>
      </c>
      <c r="P3960" t="s">
        <v>998</v>
      </c>
      <c r="Q3960" t="s">
        <v>329</v>
      </c>
      <c r="R3960" t="s">
        <v>274</v>
      </c>
      <c r="S3960" t="s">
        <v>999</v>
      </c>
      <c r="T3960" t="s">
        <v>247</v>
      </c>
      <c r="U3960" t="s">
        <v>1000</v>
      </c>
    </row>
    <row r="3961" spans="1:21">
      <c r="A3961" t="s">
        <v>195</v>
      </c>
      <c r="B3961" t="s">
        <v>202</v>
      </c>
      <c r="C3961">
        <v>526</v>
      </c>
      <c r="D3961" t="s">
        <v>194</v>
      </c>
      <c r="E3961">
        <v>2650</v>
      </c>
      <c r="F3961" s="3">
        <v>3.0999999999999999E-3</v>
      </c>
      <c r="G3961" s="3">
        <v>7.4999999999999997E-3</v>
      </c>
      <c r="H3961" s="3">
        <v>2.69E-2</v>
      </c>
      <c r="I3961" s="3">
        <v>1.1999999999999999E-3</v>
      </c>
      <c r="J3961" s="3">
        <v>2.41E-2</v>
      </c>
      <c r="K3961" s="3">
        <v>2.5700000000000001E-2</v>
      </c>
      <c r="L3961" s="3">
        <v>2.5000000000000001E-2</v>
      </c>
      <c r="O3961" s="3">
        <v>5.1700000000000003E-2</v>
      </c>
      <c r="P3961" s="3">
        <v>9.7999999999999997E-3</v>
      </c>
      <c r="Q3961" s="3">
        <v>0.84909999999999997</v>
      </c>
      <c r="R3961" s="3">
        <v>7.1999999999999998E-3</v>
      </c>
      <c r="T3961" s="3">
        <v>8.2000000000000007E-3</v>
      </c>
      <c r="U3961" s="3">
        <v>1.7500000000000002E-2</v>
      </c>
    </row>
    <row r="3962" spans="1:21">
      <c r="A3962" t="s">
        <v>195</v>
      </c>
      <c r="B3962" t="s">
        <v>204</v>
      </c>
      <c r="C3962">
        <v>295</v>
      </c>
      <c r="D3962" t="s">
        <v>194</v>
      </c>
      <c r="E3962">
        <v>2650</v>
      </c>
      <c r="G3962" s="3">
        <v>2.23E-2</v>
      </c>
      <c r="H3962" s="3">
        <v>4.6399999999999997E-2</v>
      </c>
      <c r="J3962" s="3">
        <v>8.9999999999999998E-4</v>
      </c>
      <c r="K3962" s="3">
        <v>6.3799999999999996E-2</v>
      </c>
      <c r="L3962" s="3">
        <v>5.1900000000000002E-2</v>
      </c>
      <c r="M3962" s="3">
        <v>4.4999999999999997E-3</v>
      </c>
      <c r="N3962" s="3">
        <v>1.6999999999999999E-3</v>
      </c>
      <c r="O3962" s="3">
        <v>4.9599999999999998E-2</v>
      </c>
      <c r="P3962" s="3">
        <v>2.5999999999999999E-3</v>
      </c>
      <c r="Q3962" s="3">
        <v>0.83889999999999998</v>
      </c>
      <c r="R3962" s="3">
        <v>2.1000000000000001E-2</v>
      </c>
      <c r="U3962" s="3">
        <v>1.78E-2</v>
      </c>
    </row>
    <row r="3963" spans="1:21">
      <c r="A3963" t="s">
        <v>195</v>
      </c>
      <c r="B3963" t="s">
        <v>205</v>
      </c>
      <c r="C3963">
        <v>331</v>
      </c>
      <c r="D3963" t="s">
        <v>194</v>
      </c>
      <c r="E3963">
        <v>2650</v>
      </c>
      <c r="F3963" s="3">
        <v>4.1500000000000002E-2</v>
      </c>
      <c r="G3963" s="3">
        <v>4.5999999999999999E-3</v>
      </c>
      <c r="H3963" s="3">
        <v>3.85E-2</v>
      </c>
      <c r="I3963" s="3">
        <v>1.3100000000000001E-2</v>
      </c>
      <c r="K3963" s="3">
        <v>7.8799999999999995E-2</v>
      </c>
      <c r="L3963" s="3">
        <v>9.8299999999999998E-2</v>
      </c>
      <c r="N3963" s="3">
        <v>1.6000000000000001E-3</v>
      </c>
      <c r="O3963" s="3">
        <v>5.3600000000000002E-2</v>
      </c>
      <c r="P3963" s="3">
        <v>4.1000000000000003E-3</v>
      </c>
      <c r="Q3963" s="3">
        <v>0.78949999999999998</v>
      </c>
      <c r="R3963" s="3">
        <v>1.1999999999999999E-3</v>
      </c>
      <c r="U3963" s="3">
        <v>4.1000000000000003E-3</v>
      </c>
    </row>
    <row r="3964" spans="1:21">
      <c r="A3964" t="s">
        <v>199</v>
      </c>
      <c r="B3964" t="s">
        <v>202</v>
      </c>
      <c r="C3964">
        <v>535</v>
      </c>
      <c r="D3964" t="s">
        <v>194</v>
      </c>
      <c r="E3964">
        <v>2650</v>
      </c>
      <c r="F3964" s="3">
        <v>3.2000000000000002E-3</v>
      </c>
      <c r="G3964" s="3">
        <v>9.2999999999999992E-3</v>
      </c>
      <c r="H3964" s="3">
        <v>2.5600000000000001E-2</v>
      </c>
      <c r="J3964" s="3">
        <v>2.3999999999999998E-3</v>
      </c>
      <c r="K3964" s="3">
        <v>3.3E-3</v>
      </c>
      <c r="L3964" s="3">
        <v>4.8999999999999998E-3</v>
      </c>
      <c r="N3964" s="3">
        <v>2.0999999999999999E-3</v>
      </c>
      <c r="O3964" s="3">
        <v>3.5299999999999998E-2</v>
      </c>
      <c r="P3964" s="3">
        <v>5.8999999999999999E-3</v>
      </c>
      <c r="Q3964" s="3">
        <v>0.9123</v>
      </c>
      <c r="R3964" s="3">
        <v>1.38E-2</v>
      </c>
      <c r="U3964" s="3">
        <v>5.7000000000000002E-3</v>
      </c>
    </row>
    <row r="3965" spans="1:21">
      <c r="A3965" t="s">
        <v>199</v>
      </c>
      <c r="B3965" t="s">
        <v>204</v>
      </c>
      <c r="C3965">
        <v>423</v>
      </c>
      <c r="D3965" t="s">
        <v>194</v>
      </c>
      <c r="E3965">
        <v>2650</v>
      </c>
      <c r="F3965" s="3">
        <v>8.8999999999999999E-3</v>
      </c>
      <c r="G3965" s="3">
        <v>8.3999999999999995E-3</v>
      </c>
      <c r="H3965" s="3">
        <v>5.0000000000000001E-3</v>
      </c>
      <c r="K3965" s="3">
        <v>9.9000000000000008E-3</v>
      </c>
      <c r="L3965" s="3">
        <v>3.0200000000000001E-2</v>
      </c>
      <c r="N3965" s="3">
        <v>1.38E-2</v>
      </c>
      <c r="O3965" s="3">
        <v>2.7E-2</v>
      </c>
      <c r="P3965" s="3">
        <v>1.21E-2</v>
      </c>
      <c r="Q3965" s="3">
        <v>0.9083</v>
      </c>
      <c r="R3965" s="3">
        <v>5.9999999999999995E-4</v>
      </c>
      <c r="U3965" s="3">
        <v>7.7000000000000002E-3</v>
      </c>
    </row>
    <row r="3966" spans="1:21">
      <c r="A3966" t="s">
        <v>199</v>
      </c>
      <c r="B3966" t="s">
        <v>205</v>
      </c>
      <c r="C3966">
        <v>501</v>
      </c>
      <c r="D3966" t="s">
        <v>194</v>
      </c>
      <c r="E3966">
        <v>2650</v>
      </c>
      <c r="F3966" s="3">
        <v>2.06E-2</v>
      </c>
      <c r="G3966" s="3">
        <v>1.7899999999999999E-2</v>
      </c>
      <c r="H3966" s="3">
        <v>3.3999999999999998E-3</v>
      </c>
      <c r="I3966" s="3">
        <v>6.9999999999999999E-4</v>
      </c>
      <c r="J3966" s="3">
        <v>1.23E-2</v>
      </c>
      <c r="K3966" s="3">
        <v>0.1671</v>
      </c>
      <c r="L3966" s="3">
        <v>0.14599999999999999</v>
      </c>
      <c r="M3966" s="3">
        <v>6.6E-3</v>
      </c>
      <c r="N3966" s="3">
        <v>4.6699999999999998E-2</v>
      </c>
      <c r="O3966" s="3">
        <v>3.1300000000000001E-2</v>
      </c>
      <c r="P3966" s="3">
        <v>1.5800000000000002E-2</v>
      </c>
      <c r="Q3966" s="3">
        <v>0.71779999999999999</v>
      </c>
      <c r="R3966" s="3">
        <v>2.0400000000000001E-2</v>
      </c>
      <c r="S3966" s="3">
        <v>6.9999999999999999E-4</v>
      </c>
      <c r="U3966" s="3">
        <v>5.1000000000000004E-3</v>
      </c>
    </row>
    <row r="3967" spans="1:21">
      <c r="A3967" t="s">
        <v>200</v>
      </c>
      <c r="B3967" t="s">
        <v>200</v>
      </c>
      <c r="C3967">
        <v>2650</v>
      </c>
      <c r="D3967" t="s">
        <v>200</v>
      </c>
      <c r="E3967">
        <v>2650</v>
      </c>
      <c r="F3967" s="3">
        <v>7.4000000000000003E-3</v>
      </c>
      <c r="G3967" s="3">
        <v>1.04E-2</v>
      </c>
      <c r="H3967" s="3">
        <v>2.4400000000000002E-2</v>
      </c>
      <c r="I3967" s="3">
        <v>1.1999999999999999E-3</v>
      </c>
      <c r="J3967" s="3">
        <v>8.9999999999999993E-3</v>
      </c>
      <c r="K3967" s="3">
        <v>3.5999999999999997E-2</v>
      </c>
      <c r="L3967" s="3">
        <v>3.6600000000000001E-2</v>
      </c>
      <c r="M3967" s="3">
        <v>1E-3</v>
      </c>
      <c r="N3967" s="3">
        <v>6.7999999999999996E-3</v>
      </c>
      <c r="O3967" s="3">
        <v>4.1099999999999998E-2</v>
      </c>
      <c r="P3967" s="3">
        <v>8.2000000000000007E-3</v>
      </c>
      <c r="Q3967" s="3">
        <v>0.86140000000000005</v>
      </c>
      <c r="R3967" s="3">
        <v>1.11E-2</v>
      </c>
      <c r="S3967" s="3">
        <v>1E-4</v>
      </c>
      <c r="T3967" s="3">
        <v>2.3E-3</v>
      </c>
      <c r="U3967" s="3">
        <v>1.03E-2</v>
      </c>
    </row>
    <row r="3969" spans="1:21" ht="45">
      <c r="A3969" s="22" t="s">
        <v>1002</v>
      </c>
    </row>
    <row r="3970" spans="1:21">
      <c r="A3970" t="s">
        <v>185</v>
      </c>
      <c r="B3970" t="s">
        <v>186</v>
      </c>
      <c r="C3970" t="s">
        <v>192</v>
      </c>
      <c r="D3970" t="s">
        <v>184</v>
      </c>
      <c r="E3970" t="s">
        <v>193</v>
      </c>
      <c r="F3970" t="s">
        <v>989</v>
      </c>
      <c r="G3970" t="s">
        <v>990</v>
      </c>
      <c r="H3970" t="s">
        <v>991</v>
      </c>
      <c r="I3970" t="s">
        <v>257</v>
      </c>
      <c r="J3970" t="s">
        <v>992</v>
      </c>
      <c r="K3970" t="s">
        <v>993</v>
      </c>
      <c r="L3970" t="s">
        <v>994</v>
      </c>
      <c r="M3970" t="s">
        <v>995</v>
      </c>
      <c r="N3970" t="s">
        <v>996</v>
      </c>
      <c r="O3970" t="s">
        <v>997</v>
      </c>
      <c r="P3970" t="s">
        <v>998</v>
      </c>
      <c r="Q3970" t="s">
        <v>329</v>
      </c>
      <c r="R3970" t="s">
        <v>274</v>
      </c>
      <c r="S3970" t="s">
        <v>999</v>
      </c>
      <c r="T3970" t="s">
        <v>247</v>
      </c>
      <c r="U3970" t="s">
        <v>1000</v>
      </c>
    </row>
    <row r="3971" spans="1:21">
      <c r="A3971" t="s">
        <v>195</v>
      </c>
      <c r="B3971" t="s">
        <v>207</v>
      </c>
      <c r="C3971">
        <v>319</v>
      </c>
      <c r="D3971" t="s">
        <v>194</v>
      </c>
      <c r="E3971">
        <v>2650</v>
      </c>
      <c r="F3971" s="3">
        <v>1.7299999999999999E-2</v>
      </c>
      <c r="G3971" s="3">
        <v>1.2E-2</v>
      </c>
      <c r="H3971" s="3">
        <v>0.11020000000000001</v>
      </c>
      <c r="I3971" s="3">
        <v>3.0999999999999999E-3</v>
      </c>
      <c r="J3971" s="3">
        <v>1.3899999999999999E-2</v>
      </c>
      <c r="K3971" s="3">
        <v>5.2200000000000003E-2</v>
      </c>
      <c r="L3971" s="3">
        <v>5.7000000000000002E-2</v>
      </c>
      <c r="M3971" s="3">
        <v>3.7000000000000002E-3</v>
      </c>
      <c r="O3971" s="3">
        <v>6.08E-2</v>
      </c>
      <c r="P3971" s="3">
        <v>6.4999999999999997E-3</v>
      </c>
      <c r="Q3971" s="3">
        <v>0.74029999999999996</v>
      </c>
      <c r="R3971" s="3">
        <v>7.4999999999999997E-3</v>
      </c>
      <c r="U3971" s="3">
        <v>3.73E-2</v>
      </c>
    </row>
    <row r="3972" spans="1:21">
      <c r="A3972" t="s">
        <v>195</v>
      </c>
      <c r="B3972" t="s">
        <v>209</v>
      </c>
      <c r="C3972">
        <v>854</v>
      </c>
      <c r="D3972" t="s">
        <v>194</v>
      </c>
      <c r="E3972">
        <v>2650</v>
      </c>
      <c r="F3972" s="3">
        <v>4.3E-3</v>
      </c>
      <c r="G3972" s="3">
        <v>9.7000000000000003E-3</v>
      </c>
      <c r="H3972" s="3">
        <v>5.7999999999999996E-3</v>
      </c>
      <c r="I3972" s="3">
        <v>2.3999999999999998E-3</v>
      </c>
      <c r="J3972" s="3">
        <v>1.6400000000000001E-2</v>
      </c>
      <c r="K3972" s="3">
        <v>3.6999999999999998E-2</v>
      </c>
      <c r="L3972" s="3">
        <v>3.49E-2</v>
      </c>
      <c r="N3972" s="3">
        <v>8.0000000000000004E-4</v>
      </c>
      <c r="O3972" s="3">
        <v>4.8099999999999997E-2</v>
      </c>
      <c r="P3972" s="3">
        <v>7.9000000000000008E-3</v>
      </c>
      <c r="Q3972" s="3">
        <v>0.87339999999999995</v>
      </c>
      <c r="R3972" s="3">
        <v>1.0200000000000001E-2</v>
      </c>
      <c r="T3972" s="3">
        <v>7.1000000000000004E-3</v>
      </c>
      <c r="U3972" s="3">
        <v>8.3000000000000001E-3</v>
      </c>
    </row>
    <row r="3973" spans="1:21">
      <c r="A3973" t="s">
        <v>199</v>
      </c>
      <c r="B3973" t="s">
        <v>207</v>
      </c>
      <c r="C3973">
        <v>283</v>
      </c>
      <c r="D3973" t="s">
        <v>194</v>
      </c>
      <c r="E3973">
        <v>2650</v>
      </c>
      <c r="F3973" s="3">
        <v>4.1999999999999997E-3</v>
      </c>
      <c r="G3973" s="3">
        <v>1.2800000000000001E-2</v>
      </c>
      <c r="H3973" s="3">
        <v>0.1154</v>
      </c>
      <c r="J3973" s="3">
        <v>1E-3</v>
      </c>
      <c r="K3973" s="3">
        <v>5.7700000000000001E-2</v>
      </c>
      <c r="L3973" s="3">
        <v>7.5200000000000003E-2</v>
      </c>
      <c r="M3973" s="3">
        <v>9.1000000000000004E-3</v>
      </c>
      <c r="N3973" s="3">
        <v>3.7999999999999999E-2</v>
      </c>
      <c r="O3973" s="3">
        <v>8.6900000000000005E-2</v>
      </c>
      <c r="P3973" s="3">
        <v>2.93E-2</v>
      </c>
      <c r="Q3973" s="3">
        <v>0.68300000000000005</v>
      </c>
      <c r="R3973" s="3">
        <v>1.1900000000000001E-2</v>
      </c>
      <c r="S3973" s="3">
        <v>1E-3</v>
      </c>
      <c r="U3973" s="3">
        <v>2.5499999999999998E-2</v>
      </c>
    </row>
    <row r="3974" spans="1:21">
      <c r="A3974" t="s">
        <v>199</v>
      </c>
      <c r="B3974" t="s">
        <v>209</v>
      </c>
      <c r="C3974">
        <v>1194</v>
      </c>
      <c r="D3974" t="s">
        <v>194</v>
      </c>
      <c r="E3974">
        <v>2650</v>
      </c>
      <c r="F3974" s="3">
        <v>7.6E-3</v>
      </c>
      <c r="G3974" s="3">
        <v>1.0200000000000001E-2</v>
      </c>
      <c r="H3974" s="3">
        <v>4.1999999999999997E-3</v>
      </c>
      <c r="I3974" s="3">
        <v>1E-4</v>
      </c>
      <c r="J3974" s="3">
        <v>3.8999999999999998E-3</v>
      </c>
      <c r="K3974" s="3">
        <v>2.8400000000000002E-2</v>
      </c>
      <c r="L3974" s="3">
        <v>2.7699999999999999E-2</v>
      </c>
      <c r="N3974" s="3">
        <v>8.2000000000000007E-3</v>
      </c>
      <c r="O3974" s="3">
        <v>2.5399999999999999E-2</v>
      </c>
      <c r="P3974" s="3">
        <v>5.8999999999999999E-3</v>
      </c>
      <c r="Q3974" s="3">
        <v>0.90639999999999998</v>
      </c>
      <c r="R3974" s="3">
        <v>1.24E-2</v>
      </c>
      <c r="U3974" s="3">
        <v>3.3E-3</v>
      </c>
    </row>
    <row r="3975" spans="1:21">
      <c r="A3975" t="s">
        <v>200</v>
      </c>
      <c r="B3975" t="s">
        <v>200</v>
      </c>
      <c r="C3975">
        <v>2650</v>
      </c>
      <c r="D3975" t="s">
        <v>200</v>
      </c>
      <c r="E3975">
        <v>2650</v>
      </c>
      <c r="F3975" s="3">
        <v>7.4000000000000003E-3</v>
      </c>
      <c r="G3975" s="3">
        <v>1.04E-2</v>
      </c>
      <c r="H3975" s="3">
        <v>2.4400000000000002E-2</v>
      </c>
      <c r="I3975" s="3">
        <v>1.1999999999999999E-3</v>
      </c>
      <c r="J3975" s="3">
        <v>8.9999999999999993E-3</v>
      </c>
      <c r="K3975" s="3">
        <v>3.5999999999999997E-2</v>
      </c>
      <c r="L3975" s="3">
        <v>3.6600000000000001E-2</v>
      </c>
      <c r="M3975" s="3">
        <v>1E-3</v>
      </c>
      <c r="N3975" s="3">
        <v>6.7999999999999996E-3</v>
      </c>
      <c r="O3975" s="3">
        <v>4.1099999999999998E-2</v>
      </c>
      <c r="P3975" s="3">
        <v>8.2000000000000007E-3</v>
      </c>
      <c r="Q3975" s="3">
        <v>0.86140000000000005</v>
      </c>
      <c r="R3975" s="3">
        <v>1.11E-2</v>
      </c>
      <c r="S3975" s="3">
        <v>1E-4</v>
      </c>
      <c r="T3975" s="3">
        <v>2.3E-3</v>
      </c>
      <c r="U3975" s="3">
        <v>1.03E-2</v>
      </c>
    </row>
    <row r="3977" spans="1:21" ht="45">
      <c r="A3977" s="22" t="s">
        <v>1003</v>
      </c>
    </row>
    <row r="3978" spans="1:21">
      <c r="A3978" t="s">
        <v>185</v>
      </c>
      <c r="B3978" t="s">
        <v>192</v>
      </c>
      <c r="C3978" t="s">
        <v>184</v>
      </c>
      <c r="D3978" t="s">
        <v>193</v>
      </c>
      <c r="E3978" t="s">
        <v>989</v>
      </c>
      <c r="F3978" t="s">
        <v>990</v>
      </c>
      <c r="G3978" t="s">
        <v>991</v>
      </c>
      <c r="H3978" t="s">
        <v>257</v>
      </c>
      <c r="I3978" t="s">
        <v>992</v>
      </c>
      <c r="J3978" t="s">
        <v>993</v>
      </c>
      <c r="K3978" t="s">
        <v>994</v>
      </c>
      <c r="L3978" t="s">
        <v>995</v>
      </c>
      <c r="M3978" t="s">
        <v>996</v>
      </c>
      <c r="N3978" t="s">
        <v>997</v>
      </c>
      <c r="O3978" t="s">
        <v>998</v>
      </c>
      <c r="P3978" t="s">
        <v>329</v>
      </c>
      <c r="Q3978" t="s">
        <v>274</v>
      </c>
      <c r="R3978" t="s">
        <v>999</v>
      </c>
      <c r="S3978" t="s">
        <v>247</v>
      </c>
      <c r="T3978" t="s">
        <v>1000</v>
      </c>
    </row>
    <row r="3979" spans="1:21">
      <c r="A3979" t="s">
        <v>195</v>
      </c>
      <c r="B3979">
        <v>1173</v>
      </c>
      <c r="C3979" t="s">
        <v>194</v>
      </c>
      <c r="D3979">
        <v>2650</v>
      </c>
      <c r="E3979" s="3">
        <v>7.6E-3</v>
      </c>
      <c r="F3979" s="3">
        <v>1.03E-2</v>
      </c>
      <c r="G3979" s="3">
        <v>3.27E-2</v>
      </c>
      <c r="H3979" s="3">
        <v>2.5999999999999999E-3</v>
      </c>
      <c r="I3979" s="3">
        <v>1.5699999999999999E-2</v>
      </c>
      <c r="J3979" s="3">
        <v>4.0899999999999999E-2</v>
      </c>
      <c r="K3979" s="3">
        <v>4.0599999999999997E-2</v>
      </c>
      <c r="L3979" s="3">
        <v>1E-3</v>
      </c>
      <c r="M3979" s="3">
        <v>5.9999999999999995E-4</v>
      </c>
      <c r="N3979" s="3">
        <v>5.1400000000000001E-2</v>
      </c>
      <c r="O3979" s="3">
        <v>7.4999999999999997E-3</v>
      </c>
      <c r="P3979" s="3">
        <v>0.83919999999999995</v>
      </c>
      <c r="Q3979" s="3">
        <v>9.4999999999999998E-3</v>
      </c>
      <c r="S3979" s="3">
        <v>5.3E-3</v>
      </c>
      <c r="T3979" s="3">
        <v>1.5699999999999999E-2</v>
      </c>
    </row>
    <row r="3980" spans="1:21">
      <c r="A3980" t="s">
        <v>199</v>
      </c>
      <c r="B3980">
        <v>1477</v>
      </c>
      <c r="C3980" t="s">
        <v>194</v>
      </c>
      <c r="D3980">
        <v>2650</v>
      </c>
      <c r="E3980" s="3">
        <v>7.1999999999999998E-3</v>
      </c>
      <c r="F3980" s="3">
        <v>1.0500000000000001E-2</v>
      </c>
      <c r="G3980" s="3">
        <v>1.78E-2</v>
      </c>
      <c r="H3980" s="3">
        <v>1E-4</v>
      </c>
      <c r="I3980" s="3">
        <v>3.5999999999999999E-3</v>
      </c>
      <c r="J3980" s="3">
        <v>3.2000000000000001E-2</v>
      </c>
      <c r="K3980" s="3">
        <v>3.3500000000000002E-2</v>
      </c>
      <c r="L3980" s="3">
        <v>1.1000000000000001E-3</v>
      </c>
      <c r="M3980" s="3">
        <v>1.18E-2</v>
      </c>
      <c r="N3980" s="3">
        <v>3.2899999999999999E-2</v>
      </c>
      <c r="O3980" s="3">
        <v>8.6999999999999994E-3</v>
      </c>
      <c r="P3980" s="3">
        <v>0.879</v>
      </c>
      <c r="Q3980" s="3">
        <v>1.23E-2</v>
      </c>
      <c r="R3980" s="3">
        <v>1E-4</v>
      </c>
      <c r="T3980" s="3">
        <v>6.0000000000000001E-3</v>
      </c>
    </row>
    <row r="3981" spans="1:21">
      <c r="A3981" t="s">
        <v>200</v>
      </c>
      <c r="B3981">
        <v>2650</v>
      </c>
      <c r="C3981" t="s">
        <v>200</v>
      </c>
      <c r="D3981">
        <v>2650</v>
      </c>
      <c r="E3981" s="3">
        <v>7.4000000000000003E-3</v>
      </c>
      <c r="F3981" s="3">
        <v>1.04E-2</v>
      </c>
      <c r="G3981" s="3">
        <v>2.4400000000000002E-2</v>
      </c>
      <c r="H3981" s="3">
        <v>1.1999999999999999E-3</v>
      </c>
      <c r="I3981" s="3">
        <v>8.9999999999999993E-3</v>
      </c>
      <c r="J3981" s="3">
        <v>3.5999999999999997E-2</v>
      </c>
      <c r="K3981" s="3">
        <v>3.6600000000000001E-2</v>
      </c>
      <c r="L3981" s="3">
        <v>1E-3</v>
      </c>
      <c r="M3981" s="3">
        <v>6.7999999999999996E-3</v>
      </c>
      <c r="N3981" s="3">
        <v>4.1099999999999998E-2</v>
      </c>
      <c r="O3981" s="3">
        <v>8.2000000000000007E-3</v>
      </c>
      <c r="P3981" s="3">
        <v>0.86140000000000005</v>
      </c>
      <c r="Q3981" s="3">
        <v>1.11E-2</v>
      </c>
      <c r="R3981" s="3">
        <v>1E-4</v>
      </c>
      <c r="S3981" s="3">
        <v>2.3E-3</v>
      </c>
      <c r="T3981" s="3">
        <v>1.03E-2</v>
      </c>
    </row>
    <row r="3983" spans="1:21" ht="30">
      <c r="A3983" s="22" t="s">
        <v>1004</v>
      </c>
    </row>
    <row r="3984" spans="1:21">
      <c r="A3984" t="s">
        <v>185</v>
      </c>
      <c r="B3984" t="s">
        <v>186</v>
      </c>
      <c r="C3984" t="s">
        <v>192</v>
      </c>
      <c r="D3984" t="s">
        <v>184</v>
      </c>
      <c r="E3984" t="s">
        <v>193</v>
      </c>
      <c r="F3984" t="s">
        <v>989</v>
      </c>
      <c r="G3984" t="s">
        <v>990</v>
      </c>
      <c r="H3984" t="s">
        <v>991</v>
      </c>
      <c r="I3984" t="s">
        <v>257</v>
      </c>
      <c r="J3984" t="s">
        <v>992</v>
      </c>
      <c r="K3984" t="s">
        <v>993</v>
      </c>
      <c r="L3984" t="s">
        <v>994</v>
      </c>
      <c r="M3984" t="s">
        <v>995</v>
      </c>
      <c r="N3984" t="s">
        <v>996</v>
      </c>
      <c r="O3984" t="s">
        <v>997</v>
      </c>
      <c r="P3984" t="s">
        <v>998</v>
      </c>
      <c r="Q3984" t="s">
        <v>329</v>
      </c>
      <c r="R3984" t="s">
        <v>274</v>
      </c>
      <c r="S3984" t="s">
        <v>999</v>
      </c>
      <c r="T3984" t="s">
        <v>247</v>
      </c>
      <c r="U3984" t="s">
        <v>1000</v>
      </c>
    </row>
    <row r="3985" spans="1:21">
      <c r="A3985" t="s">
        <v>195</v>
      </c>
      <c r="B3985" t="s">
        <v>212</v>
      </c>
      <c r="C3985">
        <v>858</v>
      </c>
      <c r="D3985" t="s">
        <v>194</v>
      </c>
      <c r="E3985">
        <v>2650</v>
      </c>
      <c r="F3985" s="3">
        <v>9.9000000000000008E-3</v>
      </c>
      <c r="G3985" s="3">
        <v>8.8999999999999999E-3</v>
      </c>
      <c r="H3985" s="3">
        <v>3.8100000000000002E-2</v>
      </c>
      <c r="I3985" s="3">
        <v>2.3E-3</v>
      </c>
      <c r="J3985" s="3">
        <v>2.0799999999999999E-2</v>
      </c>
      <c r="K3985" s="3">
        <v>3.2300000000000002E-2</v>
      </c>
      <c r="L3985" s="3">
        <v>2.7300000000000001E-2</v>
      </c>
      <c r="N3985" s="3">
        <v>8.0000000000000004E-4</v>
      </c>
      <c r="O3985" s="3">
        <v>4.8599999999999997E-2</v>
      </c>
      <c r="P3985" s="3">
        <v>7.1999999999999998E-3</v>
      </c>
      <c r="Q3985" s="3">
        <v>0.83730000000000004</v>
      </c>
      <c r="R3985" s="3">
        <v>6.4000000000000003E-3</v>
      </c>
      <c r="T3985" s="3">
        <v>7.0000000000000001E-3</v>
      </c>
      <c r="U3985" s="3">
        <v>2.0199999999999999E-2</v>
      </c>
    </row>
    <row r="3986" spans="1:21">
      <c r="A3986" t="s">
        <v>195</v>
      </c>
      <c r="B3986" t="s">
        <v>214</v>
      </c>
      <c r="C3986">
        <v>180</v>
      </c>
      <c r="D3986" t="s">
        <v>194</v>
      </c>
      <c r="E3986">
        <v>2650</v>
      </c>
      <c r="F3986" s="3">
        <v>1.2999999999999999E-3</v>
      </c>
      <c r="G3986" s="3">
        <v>2.12E-2</v>
      </c>
      <c r="H3986" s="3">
        <v>1.5900000000000001E-2</v>
      </c>
      <c r="I3986" s="3">
        <v>3.3E-3</v>
      </c>
      <c r="K3986" s="3">
        <v>8.2900000000000001E-2</v>
      </c>
      <c r="L3986" s="3">
        <v>9.9199999999999997E-2</v>
      </c>
      <c r="O3986" s="3">
        <v>5.8000000000000003E-2</v>
      </c>
      <c r="Q3986" s="3">
        <v>0.8448</v>
      </c>
      <c r="R3986" s="3">
        <v>2.6700000000000002E-2</v>
      </c>
      <c r="U3986" s="3">
        <v>1.1999999999999999E-3</v>
      </c>
    </row>
    <row r="3987" spans="1:21">
      <c r="A3987" t="s">
        <v>195</v>
      </c>
      <c r="B3987" t="s">
        <v>215</v>
      </c>
      <c r="C3987">
        <v>135</v>
      </c>
      <c r="D3987" t="s">
        <v>194</v>
      </c>
      <c r="E3987">
        <v>2650</v>
      </c>
      <c r="G3987" s="3">
        <v>1E-3</v>
      </c>
      <c r="H3987" s="3">
        <v>1.7000000000000001E-2</v>
      </c>
      <c r="I3987" s="3">
        <v>3.8E-3</v>
      </c>
      <c r="J3987" s="3">
        <v>2.3E-3</v>
      </c>
      <c r="K3987" s="3">
        <v>3.4599999999999999E-2</v>
      </c>
      <c r="L3987" s="3">
        <v>4.2700000000000002E-2</v>
      </c>
      <c r="M3987" s="3">
        <v>1.1299999999999999E-2</v>
      </c>
      <c r="O3987" s="3">
        <v>6.25E-2</v>
      </c>
      <c r="P3987" s="3">
        <v>2.53E-2</v>
      </c>
      <c r="Q3987" s="3">
        <v>0.8448</v>
      </c>
      <c r="R3987" s="3">
        <v>2.8999999999999998E-3</v>
      </c>
      <c r="U3987" s="3">
        <v>4.7000000000000002E-3</v>
      </c>
    </row>
    <row r="3988" spans="1:21">
      <c r="A3988" t="s">
        <v>199</v>
      </c>
      <c r="B3988" t="s">
        <v>212</v>
      </c>
      <c r="C3988">
        <v>1109</v>
      </c>
      <c r="D3988" t="s">
        <v>194</v>
      </c>
      <c r="E3988">
        <v>2650</v>
      </c>
      <c r="F3988" s="3">
        <v>8.0000000000000002E-3</v>
      </c>
      <c r="G3988" s="3">
        <v>1.2999999999999999E-2</v>
      </c>
      <c r="H3988" s="3">
        <v>1.6E-2</v>
      </c>
      <c r="J3988" s="3">
        <v>2.0000000000000001E-4</v>
      </c>
      <c r="K3988" s="3">
        <v>3.8699999999999998E-2</v>
      </c>
      <c r="L3988" s="3">
        <v>3.9699999999999999E-2</v>
      </c>
      <c r="M3988" s="3">
        <v>1.5E-3</v>
      </c>
      <c r="N3988" s="3">
        <v>1.41E-2</v>
      </c>
      <c r="O3988" s="3">
        <v>3.0300000000000001E-2</v>
      </c>
      <c r="P3988" s="3">
        <v>9.1999999999999998E-3</v>
      </c>
      <c r="Q3988" s="3">
        <v>0.87490000000000001</v>
      </c>
      <c r="R3988" s="3">
        <v>1.3899999999999999E-2</v>
      </c>
      <c r="U3988" s="3">
        <v>4.7999999999999996E-3</v>
      </c>
    </row>
    <row r="3989" spans="1:21">
      <c r="A3989" t="s">
        <v>199</v>
      </c>
      <c r="B3989" t="s">
        <v>214</v>
      </c>
      <c r="C3989">
        <v>195</v>
      </c>
      <c r="D3989" t="s">
        <v>194</v>
      </c>
      <c r="E3989">
        <v>2650</v>
      </c>
      <c r="F3989" s="3">
        <v>5.1000000000000004E-3</v>
      </c>
      <c r="G3989" s="3">
        <v>8.9999999999999998E-4</v>
      </c>
      <c r="H3989" s="3">
        <v>3.5799999999999998E-2</v>
      </c>
      <c r="I3989" s="3">
        <v>6.9999999999999999E-4</v>
      </c>
      <c r="J3989" s="3">
        <v>1.29E-2</v>
      </c>
      <c r="K3989" s="3">
        <v>6.7999999999999996E-3</v>
      </c>
      <c r="L3989" s="3">
        <v>1.0500000000000001E-2</v>
      </c>
      <c r="N3989" s="3">
        <v>3.0999999999999999E-3</v>
      </c>
      <c r="O3989" s="3">
        <v>0.01</v>
      </c>
      <c r="Q3989" s="3">
        <v>0.91649999999999998</v>
      </c>
      <c r="R3989" s="3">
        <v>1.03E-2</v>
      </c>
      <c r="U3989" s="3">
        <v>1.4E-3</v>
      </c>
    </row>
    <row r="3990" spans="1:21">
      <c r="A3990" t="s">
        <v>199</v>
      </c>
      <c r="B3990" t="s">
        <v>215</v>
      </c>
      <c r="C3990">
        <v>173</v>
      </c>
      <c r="D3990" t="s">
        <v>194</v>
      </c>
      <c r="E3990">
        <v>2650</v>
      </c>
      <c r="F3990" s="3">
        <v>3.5999999999999999E-3</v>
      </c>
      <c r="G3990" s="3">
        <v>5.4999999999999997E-3</v>
      </c>
      <c r="H3990" s="3">
        <v>1.9E-3</v>
      </c>
      <c r="J3990" s="3">
        <v>1.78E-2</v>
      </c>
      <c r="K3990" s="3">
        <v>1.7100000000000001E-2</v>
      </c>
      <c r="L3990" s="3">
        <v>1.83E-2</v>
      </c>
      <c r="N3990" s="3">
        <v>6.7999999999999996E-3</v>
      </c>
      <c r="O3990" s="3">
        <v>9.8299999999999998E-2</v>
      </c>
      <c r="P3990" s="3">
        <v>2.06E-2</v>
      </c>
      <c r="Q3990" s="3">
        <v>0.84909999999999997</v>
      </c>
      <c r="R3990" s="3">
        <v>1.5E-3</v>
      </c>
      <c r="S3990" s="3">
        <v>1.4E-3</v>
      </c>
      <c r="U3990" s="3">
        <v>2.5399999999999999E-2</v>
      </c>
    </row>
    <row r="3991" spans="1:21">
      <c r="A3991" t="s">
        <v>200</v>
      </c>
      <c r="B3991" t="s">
        <v>200</v>
      </c>
      <c r="C3991">
        <v>2650</v>
      </c>
      <c r="D3991" t="s">
        <v>200</v>
      </c>
      <c r="E3991">
        <v>2650</v>
      </c>
      <c r="F3991" s="3">
        <v>7.4000000000000003E-3</v>
      </c>
      <c r="G3991" s="3">
        <v>1.04E-2</v>
      </c>
      <c r="H3991" s="3">
        <v>2.4400000000000002E-2</v>
      </c>
      <c r="I3991" s="3">
        <v>1.1999999999999999E-3</v>
      </c>
      <c r="J3991" s="3">
        <v>8.9999999999999993E-3</v>
      </c>
      <c r="K3991" s="3">
        <v>3.5999999999999997E-2</v>
      </c>
      <c r="L3991" s="3">
        <v>3.6600000000000001E-2</v>
      </c>
      <c r="M3991" s="3">
        <v>1E-3</v>
      </c>
      <c r="N3991" s="3">
        <v>6.7999999999999996E-3</v>
      </c>
      <c r="O3991" s="3">
        <v>4.1099999999999998E-2</v>
      </c>
      <c r="P3991" s="3">
        <v>8.2000000000000007E-3</v>
      </c>
      <c r="Q3991" s="3">
        <v>0.86140000000000005</v>
      </c>
      <c r="R3991" s="3">
        <v>1.11E-2</v>
      </c>
      <c r="S3991" s="3">
        <v>1E-4</v>
      </c>
      <c r="T3991" s="3">
        <v>2.3E-3</v>
      </c>
      <c r="U3991" s="3">
        <v>1.03E-2</v>
      </c>
    </row>
    <row r="3993" spans="1:21" ht="45">
      <c r="A3993" s="22" t="s">
        <v>1005</v>
      </c>
    </row>
    <row r="3994" spans="1:21">
      <c r="A3994" t="s">
        <v>185</v>
      </c>
      <c r="B3994" t="s">
        <v>186</v>
      </c>
      <c r="C3994" t="s">
        <v>192</v>
      </c>
      <c r="D3994" t="s">
        <v>184</v>
      </c>
      <c r="E3994" t="s">
        <v>193</v>
      </c>
      <c r="F3994" t="s">
        <v>989</v>
      </c>
      <c r="G3994" t="s">
        <v>990</v>
      </c>
      <c r="H3994" t="s">
        <v>991</v>
      </c>
      <c r="I3994" t="s">
        <v>257</v>
      </c>
      <c r="J3994" t="s">
        <v>992</v>
      </c>
      <c r="K3994" t="s">
        <v>993</v>
      </c>
      <c r="L3994" t="s">
        <v>994</v>
      </c>
      <c r="M3994" t="s">
        <v>995</v>
      </c>
      <c r="N3994" t="s">
        <v>996</v>
      </c>
      <c r="O3994" t="s">
        <v>997</v>
      </c>
      <c r="P3994" t="s">
        <v>998</v>
      </c>
      <c r="Q3994" t="s">
        <v>329</v>
      </c>
      <c r="R3994" t="s">
        <v>274</v>
      </c>
      <c r="S3994" t="s">
        <v>999</v>
      </c>
      <c r="T3994" t="s">
        <v>247</v>
      </c>
      <c r="U3994" t="s">
        <v>1000</v>
      </c>
    </row>
    <row r="3995" spans="1:21">
      <c r="A3995" t="s">
        <v>195</v>
      </c>
      <c r="B3995" t="s">
        <v>217</v>
      </c>
      <c r="C3995">
        <v>493</v>
      </c>
      <c r="D3995" t="s">
        <v>194</v>
      </c>
      <c r="E3995">
        <v>2650</v>
      </c>
      <c r="F3995" s="3">
        <v>1.6E-2</v>
      </c>
      <c r="G3995" s="3">
        <v>7.9000000000000008E-3</v>
      </c>
      <c r="H3995" s="3">
        <v>2.23E-2</v>
      </c>
      <c r="I3995" s="3">
        <v>3.5000000000000001E-3</v>
      </c>
      <c r="J3995" s="3">
        <v>2.8799999999999999E-2</v>
      </c>
      <c r="K3995" s="3">
        <v>3.1600000000000003E-2</v>
      </c>
      <c r="L3995" s="3">
        <v>2.46E-2</v>
      </c>
      <c r="N3995" s="3">
        <v>1.1999999999999999E-3</v>
      </c>
      <c r="O3995" s="3">
        <v>2.9899999999999999E-2</v>
      </c>
      <c r="P3995" s="3">
        <v>7.7000000000000002E-3</v>
      </c>
      <c r="Q3995" s="3">
        <v>0.85419999999999996</v>
      </c>
      <c r="R3995" s="3">
        <v>6.4999999999999997E-3</v>
      </c>
      <c r="U3995" s="3">
        <v>1.5299999999999999E-2</v>
      </c>
    </row>
    <row r="3996" spans="1:21">
      <c r="A3996" t="s">
        <v>195</v>
      </c>
      <c r="B3996" t="s">
        <v>219</v>
      </c>
      <c r="C3996">
        <v>500</v>
      </c>
      <c r="D3996" t="s">
        <v>194</v>
      </c>
      <c r="E3996">
        <v>2650</v>
      </c>
      <c r="F3996" s="3">
        <v>1.6999999999999999E-3</v>
      </c>
      <c r="G3996" s="3">
        <v>1.52E-2</v>
      </c>
      <c r="H3996" s="3">
        <v>0.03</v>
      </c>
      <c r="I3996" s="3">
        <v>1.4E-3</v>
      </c>
      <c r="J3996" s="3">
        <v>1.1000000000000001E-3</v>
      </c>
      <c r="K3996" s="3">
        <v>4.6100000000000002E-2</v>
      </c>
      <c r="L3996" s="3">
        <v>5.3999999999999999E-2</v>
      </c>
      <c r="M3996" s="3">
        <v>2.5000000000000001E-3</v>
      </c>
      <c r="N3996" s="3">
        <v>2.0000000000000001E-4</v>
      </c>
      <c r="O3996" s="3">
        <v>6.1199999999999997E-2</v>
      </c>
      <c r="P3996" s="3">
        <v>1.0999999999999999E-2</v>
      </c>
      <c r="Q3996" s="3">
        <v>0.84950000000000003</v>
      </c>
      <c r="R3996" s="3">
        <v>2.3999999999999998E-3</v>
      </c>
      <c r="U3996" s="3">
        <v>1.6199999999999999E-2</v>
      </c>
    </row>
    <row r="3997" spans="1:21">
      <c r="A3997" t="s">
        <v>195</v>
      </c>
      <c r="B3997" t="s">
        <v>220</v>
      </c>
      <c r="C3997">
        <v>179</v>
      </c>
      <c r="D3997" t="s">
        <v>194</v>
      </c>
      <c r="E3997">
        <v>2650</v>
      </c>
      <c r="F3997" s="3">
        <v>1.1999999999999999E-3</v>
      </c>
      <c r="G3997" s="3">
        <v>5.4000000000000003E-3</v>
      </c>
      <c r="H3997" s="3">
        <v>6.1199999999999997E-2</v>
      </c>
      <c r="I3997" s="3">
        <v>2.8999999999999998E-3</v>
      </c>
      <c r="J3997" s="3">
        <v>1.6899999999999998E-2</v>
      </c>
      <c r="K3997" s="3">
        <v>5.0700000000000002E-2</v>
      </c>
      <c r="L3997" s="3">
        <v>4.8300000000000003E-2</v>
      </c>
      <c r="O3997" s="3">
        <v>7.8700000000000006E-2</v>
      </c>
      <c r="Q3997" s="3">
        <v>0.78469999999999995</v>
      </c>
      <c r="R3997" s="3">
        <v>3.0599999999999999E-2</v>
      </c>
      <c r="T3997" s="3">
        <v>2.7900000000000001E-2</v>
      </c>
      <c r="U3997" s="3">
        <v>1.5800000000000002E-2</v>
      </c>
    </row>
    <row r="3998" spans="1:21">
      <c r="A3998" t="s">
        <v>199</v>
      </c>
      <c r="B3998" t="s">
        <v>217</v>
      </c>
      <c r="C3998">
        <v>808</v>
      </c>
      <c r="D3998" t="s">
        <v>194</v>
      </c>
      <c r="E3998">
        <v>2650</v>
      </c>
      <c r="F3998" s="3">
        <v>5.4000000000000003E-3</v>
      </c>
      <c r="G3998" s="3">
        <v>6.6E-3</v>
      </c>
      <c r="H3998" s="3">
        <v>1.24E-2</v>
      </c>
      <c r="J3998" s="3">
        <v>2.5000000000000001E-3</v>
      </c>
      <c r="K3998" s="3">
        <v>3.6299999999999999E-2</v>
      </c>
      <c r="L3998" s="3">
        <v>3.4099999999999998E-2</v>
      </c>
      <c r="M3998" s="3">
        <v>2.0000000000000001E-4</v>
      </c>
      <c r="N3998" s="3">
        <v>1.77E-2</v>
      </c>
      <c r="O3998" s="3">
        <v>3.4599999999999999E-2</v>
      </c>
      <c r="P3998" s="3">
        <v>8.6E-3</v>
      </c>
      <c r="Q3998" s="3">
        <v>0.87770000000000004</v>
      </c>
      <c r="R3998" s="3">
        <v>1.4E-2</v>
      </c>
      <c r="S3998" s="3">
        <v>2.0000000000000001E-4</v>
      </c>
      <c r="U3998" s="3">
        <v>6.3E-3</v>
      </c>
    </row>
    <row r="3999" spans="1:21">
      <c r="A3999" t="s">
        <v>199</v>
      </c>
      <c r="B3999" t="s">
        <v>219</v>
      </c>
      <c r="C3999">
        <v>448</v>
      </c>
      <c r="D3999" t="s">
        <v>194</v>
      </c>
      <c r="E3999">
        <v>2650</v>
      </c>
      <c r="F3999" s="3">
        <v>4.4999999999999997E-3</v>
      </c>
      <c r="G3999" s="3">
        <v>1.4200000000000001E-2</v>
      </c>
      <c r="H3999" s="3">
        <v>1.95E-2</v>
      </c>
      <c r="J3999" s="3">
        <v>8.3999999999999995E-3</v>
      </c>
      <c r="K3999" s="3">
        <v>1.89E-2</v>
      </c>
      <c r="L3999" s="3">
        <v>3.7499999999999999E-2</v>
      </c>
      <c r="M3999" s="3">
        <v>3.8999999999999998E-3</v>
      </c>
      <c r="N3999" s="3">
        <v>4.0000000000000001E-3</v>
      </c>
      <c r="O3999" s="3">
        <v>3.4700000000000002E-2</v>
      </c>
      <c r="P3999" s="3">
        <v>1.47E-2</v>
      </c>
      <c r="Q3999" s="3">
        <v>0.86990000000000001</v>
      </c>
      <c r="R3999" s="3">
        <v>1.0800000000000001E-2</v>
      </c>
      <c r="U3999" s="3">
        <v>8.0000000000000002E-3</v>
      </c>
    </row>
    <row r="4000" spans="1:21">
      <c r="A4000" t="s">
        <v>199</v>
      </c>
      <c r="B4000" t="s">
        <v>220</v>
      </c>
      <c r="C4000">
        <v>221</v>
      </c>
      <c r="D4000" t="s">
        <v>194</v>
      </c>
      <c r="E4000">
        <v>2650</v>
      </c>
      <c r="F4000" s="3">
        <v>1.83E-2</v>
      </c>
      <c r="G4000" s="3">
        <v>1.9699999999999999E-2</v>
      </c>
      <c r="H4000" s="3">
        <v>3.5700000000000003E-2</v>
      </c>
      <c r="I4000" s="3">
        <v>6.9999999999999999E-4</v>
      </c>
      <c r="K4000" s="3">
        <v>3.6600000000000001E-2</v>
      </c>
      <c r="L4000" s="3">
        <v>2.4899999999999999E-2</v>
      </c>
      <c r="N4000" s="3">
        <v>1.9E-3</v>
      </c>
      <c r="O4000" s="3">
        <v>2.3900000000000001E-2</v>
      </c>
      <c r="Q4000" s="3">
        <v>0.89839999999999998</v>
      </c>
      <c r="R4000" s="3">
        <v>8.5000000000000006E-3</v>
      </c>
      <c r="U4000" s="3">
        <v>1.6999999999999999E-3</v>
      </c>
    </row>
    <row r="4001" spans="1:21">
      <c r="A4001" t="s">
        <v>200</v>
      </c>
      <c r="B4001" t="s">
        <v>200</v>
      </c>
      <c r="C4001">
        <v>2650</v>
      </c>
      <c r="D4001" t="s">
        <v>200</v>
      </c>
      <c r="E4001">
        <v>2650</v>
      </c>
      <c r="F4001" s="3">
        <v>7.4000000000000003E-3</v>
      </c>
      <c r="G4001" s="3">
        <v>1.04E-2</v>
      </c>
      <c r="H4001" s="3">
        <v>2.4400000000000002E-2</v>
      </c>
      <c r="I4001" s="3">
        <v>1.1999999999999999E-3</v>
      </c>
      <c r="J4001" s="3">
        <v>8.9999999999999993E-3</v>
      </c>
      <c r="K4001" s="3">
        <v>3.5999999999999997E-2</v>
      </c>
      <c r="L4001" s="3">
        <v>3.6600000000000001E-2</v>
      </c>
      <c r="M4001" s="3">
        <v>1E-3</v>
      </c>
      <c r="N4001" s="3">
        <v>6.7999999999999996E-3</v>
      </c>
      <c r="O4001" s="3">
        <v>4.1099999999999998E-2</v>
      </c>
      <c r="P4001" s="3">
        <v>8.2000000000000007E-3</v>
      </c>
      <c r="Q4001" s="3">
        <v>0.86140000000000005</v>
      </c>
      <c r="R4001" s="3">
        <v>1.11E-2</v>
      </c>
      <c r="S4001" s="3">
        <v>1E-4</v>
      </c>
      <c r="T4001" s="3">
        <v>2.3E-3</v>
      </c>
      <c r="U4001" s="3">
        <v>1.03E-2</v>
      </c>
    </row>
    <row r="4003" spans="1:21" ht="45">
      <c r="A4003" s="22" t="s">
        <v>1006</v>
      </c>
    </row>
    <row r="4004" spans="1:21">
      <c r="A4004" t="s">
        <v>184</v>
      </c>
      <c r="B4004" t="s">
        <v>185</v>
      </c>
      <c r="C4004" t="s">
        <v>186</v>
      </c>
      <c r="D4004" t="s">
        <v>1007</v>
      </c>
      <c r="E4004" t="s">
        <v>1008</v>
      </c>
      <c r="F4004" t="s">
        <v>1009</v>
      </c>
      <c r="G4004" t="s">
        <v>1010</v>
      </c>
      <c r="H4004" t="s">
        <v>1011</v>
      </c>
      <c r="I4004" t="s">
        <v>1012</v>
      </c>
      <c r="J4004" t="s">
        <v>1013</v>
      </c>
      <c r="K4004" t="s">
        <v>1014</v>
      </c>
      <c r="L4004" t="s">
        <v>1015</v>
      </c>
      <c r="M4004" t="s">
        <v>1016</v>
      </c>
      <c r="N4004" t="s">
        <v>1017</v>
      </c>
      <c r="O4004" t="s">
        <v>1018</v>
      </c>
      <c r="P4004" t="s">
        <v>192</v>
      </c>
      <c r="Q4004" t="s">
        <v>193</v>
      </c>
    </row>
    <row r="4005" spans="1:21">
      <c r="A4005" t="s">
        <v>194</v>
      </c>
      <c r="B4005" t="s">
        <v>195</v>
      </c>
      <c r="C4005" t="s">
        <v>196</v>
      </c>
      <c r="D4005" t="s">
        <v>1019</v>
      </c>
      <c r="E4005" s="3">
        <v>1.6899999999999998E-2</v>
      </c>
      <c r="F4005" s="3">
        <v>0.1019</v>
      </c>
      <c r="G4005" s="3">
        <v>1.06E-2</v>
      </c>
      <c r="H4005" s="3">
        <v>7.9000000000000008E-3</v>
      </c>
      <c r="I4005" s="3">
        <v>1.6500000000000001E-2</v>
      </c>
      <c r="J4005" s="3">
        <v>5.0000000000000001E-3</v>
      </c>
      <c r="L4005" s="3">
        <v>1.4200000000000001E-2</v>
      </c>
      <c r="O4005">
        <v>316</v>
      </c>
      <c r="P4005">
        <v>413</v>
      </c>
      <c r="Q4005">
        <v>2677</v>
      </c>
    </row>
    <row r="4006" spans="1:21">
      <c r="A4006" t="s">
        <v>194</v>
      </c>
      <c r="B4006" t="s">
        <v>195</v>
      </c>
      <c r="C4006" t="s">
        <v>196</v>
      </c>
      <c r="D4006" t="s">
        <v>1020</v>
      </c>
      <c r="E4006" s="3">
        <v>0.79169999999999996</v>
      </c>
      <c r="F4006" s="3">
        <v>0.3372</v>
      </c>
      <c r="G4006" s="3">
        <v>0.79079999999999995</v>
      </c>
      <c r="H4006" s="3">
        <v>0.63039999999999996</v>
      </c>
      <c r="I4006" s="3">
        <v>0.73109999999999997</v>
      </c>
      <c r="J4006" s="3">
        <v>0.63</v>
      </c>
      <c r="K4006" s="3">
        <v>0.7147</v>
      </c>
      <c r="L4006" s="3">
        <v>0.72330000000000005</v>
      </c>
      <c r="M4006" s="3">
        <v>0.86739999999999995</v>
      </c>
      <c r="N4006" s="3">
        <v>0.96220000000000006</v>
      </c>
      <c r="O4006">
        <v>316</v>
      </c>
      <c r="P4006">
        <v>413</v>
      </c>
      <c r="Q4006">
        <v>2677</v>
      </c>
    </row>
    <row r="4007" spans="1:21">
      <c r="A4007" t="s">
        <v>194</v>
      </c>
      <c r="B4007" t="s">
        <v>195</v>
      </c>
      <c r="C4007" t="s">
        <v>196</v>
      </c>
      <c r="D4007" t="s">
        <v>1021</v>
      </c>
      <c r="E4007" s="3">
        <v>0.13569999999999999</v>
      </c>
      <c r="F4007" s="3">
        <v>0.16789999999999999</v>
      </c>
      <c r="G4007" s="3">
        <v>6.4000000000000003E-3</v>
      </c>
      <c r="H4007" s="3">
        <v>0.13830000000000001</v>
      </c>
      <c r="I4007" s="3">
        <v>0.24759999999999999</v>
      </c>
      <c r="J4007" s="3">
        <v>1.52E-2</v>
      </c>
      <c r="K4007" s="3">
        <v>0.1988</v>
      </c>
      <c r="L4007" s="3">
        <v>0.25700000000000001</v>
      </c>
      <c r="M4007" s="3">
        <v>7.4999999999999997E-2</v>
      </c>
      <c r="N4007" s="3">
        <v>2.1000000000000001E-2</v>
      </c>
      <c r="O4007">
        <v>316</v>
      </c>
      <c r="P4007">
        <v>413</v>
      </c>
      <c r="Q4007">
        <v>2677</v>
      </c>
    </row>
    <row r="4008" spans="1:21">
      <c r="A4008" t="s">
        <v>194</v>
      </c>
      <c r="B4008" t="s">
        <v>195</v>
      </c>
      <c r="C4008" t="s">
        <v>196</v>
      </c>
      <c r="D4008" t="s">
        <v>227</v>
      </c>
      <c r="E4008" s="3">
        <v>5.57E-2</v>
      </c>
      <c r="F4008" s="3">
        <v>0.39300000000000002</v>
      </c>
      <c r="G4008" s="3">
        <v>0.19220000000000001</v>
      </c>
      <c r="H4008" s="3">
        <v>0.22339999999999999</v>
      </c>
      <c r="I4008" s="3">
        <v>4.7999999999999996E-3</v>
      </c>
      <c r="J4008" s="3">
        <v>0.34970000000000001</v>
      </c>
      <c r="K4008" s="3">
        <v>8.6499999999999994E-2</v>
      </c>
      <c r="L4008" s="3">
        <v>5.4999999999999997E-3</v>
      </c>
      <c r="M4008" s="3">
        <v>5.7599999999999998E-2</v>
      </c>
      <c r="N4008" s="3">
        <v>1.6799999999999999E-2</v>
      </c>
      <c r="O4008">
        <v>316</v>
      </c>
      <c r="P4008">
        <v>413</v>
      </c>
      <c r="Q4008">
        <v>2677</v>
      </c>
    </row>
    <row r="4009" spans="1:21">
      <c r="A4009" t="s">
        <v>194</v>
      </c>
      <c r="B4009" t="s">
        <v>195</v>
      </c>
      <c r="C4009" t="s">
        <v>198</v>
      </c>
      <c r="D4009" t="s">
        <v>1019</v>
      </c>
      <c r="E4009" s="3">
        <v>1.6400000000000001E-2</v>
      </c>
      <c r="F4009" s="3">
        <v>0.1216</v>
      </c>
      <c r="G4009" s="3">
        <v>7.4000000000000003E-3</v>
      </c>
      <c r="H4009" s="3">
        <v>6.8999999999999999E-3</v>
      </c>
      <c r="I4009" s="3">
        <v>1.2200000000000001E-2</v>
      </c>
      <c r="J4009" s="3">
        <v>1.4E-3</v>
      </c>
      <c r="K4009" s="3">
        <v>2E-3</v>
      </c>
      <c r="L4009" s="3">
        <v>8.5000000000000006E-3</v>
      </c>
      <c r="M4009" s="3">
        <v>2E-3</v>
      </c>
      <c r="O4009">
        <v>867</v>
      </c>
      <c r="P4009">
        <v>755</v>
      </c>
      <c r="Q4009">
        <v>2677</v>
      </c>
    </row>
    <row r="4010" spans="1:21">
      <c r="A4010" t="s">
        <v>194</v>
      </c>
      <c r="B4010" t="s">
        <v>195</v>
      </c>
      <c r="C4010" t="s">
        <v>198</v>
      </c>
      <c r="D4010" t="s">
        <v>1020</v>
      </c>
      <c r="E4010" s="3">
        <v>0.72909999999999997</v>
      </c>
      <c r="F4010" s="3">
        <v>0.32719999999999999</v>
      </c>
      <c r="G4010" s="3">
        <v>0.87960000000000005</v>
      </c>
      <c r="H4010" s="3">
        <v>0.66720000000000002</v>
      </c>
      <c r="I4010" s="3">
        <v>0.68669999999999998</v>
      </c>
      <c r="J4010" s="3">
        <v>0.63970000000000005</v>
      </c>
      <c r="K4010" s="3">
        <v>0.78810000000000002</v>
      </c>
      <c r="L4010" s="3">
        <v>0.65290000000000004</v>
      </c>
      <c r="M4010" s="3">
        <v>0.88419999999999999</v>
      </c>
      <c r="N4010" s="3">
        <v>0.9657</v>
      </c>
      <c r="O4010">
        <v>867</v>
      </c>
      <c r="P4010">
        <v>755</v>
      </c>
      <c r="Q4010">
        <v>2677</v>
      </c>
    </row>
    <row r="4011" spans="1:21">
      <c r="A4011" t="s">
        <v>194</v>
      </c>
      <c r="B4011" t="s">
        <v>195</v>
      </c>
      <c r="C4011" t="s">
        <v>198</v>
      </c>
      <c r="D4011" t="s">
        <v>1021</v>
      </c>
      <c r="E4011" s="3">
        <v>0.20499999999999999</v>
      </c>
      <c r="F4011" s="3">
        <v>0.13600000000000001</v>
      </c>
      <c r="G4011" s="3">
        <v>1.83E-2</v>
      </c>
      <c r="H4011" s="3">
        <v>8.1199999999999994E-2</v>
      </c>
      <c r="I4011" s="3">
        <v>0.2722</v>
      </c>
      <c r="J4011" s="3">
        <v>1.83E-2</v>
      </c>
      <c r="K4011" s="3">
        <v>0.15670000000000001</v>
      </c>
      <c r="L4011" s="3">
        <v>0.33689999999999998</v>
      </c>
      <c r="M4011" s="3">
        <v>6.9400000000000003E-2</v>
      </c>
      <c r="N4011" s="3">
        <v>2.2499999999999999E-2</v>
      </c>
      <c r="O4011">
        <v>867</v>
      </c>
      <c r="P4011">
        <v>755</v>
      </c>
      <c r="Q4011">
        <v>2677</v>
      </c>
    </row>
    <row r="4012" spans="1:21">
      <c r="A4012" t="s">
        <v>194</v>
      </c>
      <c r="B4012" t="s">
        <v>195</v>
      </c>
      <c r="C4012" t="s">
        <v>198</v>
      </c>
      <c r="D4012" t="s">
        <v>227</v>
      </c>
      <c r="E4012" s="3">
        <v>4.9500000000000002E-2</v>
      </c>
      <c r="F4012" s="3">
        <v>0.41520000000000001</v>
      </c>
      <c r="G4012" s="3">
        <v>9.4700000000000006E-2</v>
      </c>
      <c r="H4012" s="3">
        <v>0.2447</v>
      </c>
      <c r="I4012" s="3">
        <v>2.8899999999999999E-2</v>
      </c>
      <c r="J4012" s="3">
        <v>0.34060000000000001</v>
      </c>
      <c r="K4012" s="3">
        <v>5.3199999999999997E-2</v>
      </c>
      <c r="L4012" s="3">
        <v>1.6999999999999999E-3</v>
      </c>
      <c r="M4012" s="3">
        <v>4.4400000000000002E-2</v>
      </c>
      <c r="N4012" s="3">
        <v>1.18E-2</v>
      </c>
      <c r="O4012">
        <v>867</v>
      </c>
      <c r="P4012">
        <v>755</v>
      </c>
      <c r="Q4012">
        <v>2677</v>
      </c>
    </row>
    <row r="4013" spans="1:21">
      <c r="A4013" t="s">
        <v>194</v>
      </c>
      <c r="B4013" t="s">
        <v>199</v>
      </c>
      <c r="C4013" t="s">
        <v>196</v>
      </c>
      <c r="D4013" t="s">
        <v>1019</v>
      </c>
      <c r="E4013" s="3">
        <v>2.3800000000000002E-2</v>
      </c>
      <c r="F4013" s="3">
        <v>2.07E-2</v>
      </c>
      <c r="G4013" s="3">
        <v>6.9999999999999999E-4</v>
      </c>
      <c r="H4013" s="3">
        <v>7.9000000000000008E-3</v>
      </c>
      <c r="I4013" s="3">
        <v>1.61E-2</v>
      </c>
      <c r="J4013" s="3">
        <v>2.0000000000000001E-4</v>
      </c>
      <c r="K4013" s="3">
        <v>1.5E-3</v>
      </c>
      <c r="L4013" s="3">
        <v>5.1999999999999998E-3</v>
      </c>
      <c r="N4013" s="3">
        <v>1.8E-3</v>
      </c>
      <c r="O4013">
        <v>276</v>
      </c>
      <c r="P4013">
        <v>525</v>
      </c>
      <c r="Q4013">
        <v>2677</v>
      </c>
    </row>
    <row r="4014" spans="1:21">
      <c r="A4014" t="s">
        <v>194</v>
      </c>
      <c r="B4014" t="s">
        <v>199</v>
      </c>
      <c r="C4014" t="s">
        <v>196</v>
      </c>
      <c r="D4014" t="s">
        <v>1020</v>
      </c>
      <c r="E4014" s="3">
        <v>0.89690000000000003</v>
      </c>
      <c r="F4014" s="3">
        <v>0.5847</v>
      </c>
      <c r="G4014" s="3">
        <v>0.91039999999999999</v>
      </c>
      <c r="H4014" s="3">
        <v>0.73280000000000001</v>
      </c>
      <c r="I4014" s="3">
        <v>0.85699999999999998</v>
      </c>
      <c r="J4014" s="3">
        <v>0.81</v>
      </c>
      <c r="K4014" s="3">
        <v>0.83489999999999998</v>
      </c>
      <c r="L4014" s="3">
        <v>0.90239999999999998</v>
      </c>
      <c r="M4014" s="3">
        <v>0.94510000000000005</v>
      </c>
      <c r="N4014" s="3">
        <v>0.98060000000000003</v>
      </c>
      <c r="O4014">
        <v>276</v>
      </c>
      <c r="P4014">
        <v>525</v>
      </c>
      <c r="Q4014">
        <v>2677</v>
      </c>
    </row>
    <row r="4015" spans="1:21">
      <c r="A4015" t="s">
        <v>194</v>
      </c>
      <c r="B4015" t="s">
        <v>199</v>
      </c>
      <c r="C4015" t="s">
        <v>196</v>
      </c>
      <c r="D4015" t="s">
        <v>1021</v>
      </c>
      <c r="E4015" s="3">
        <v>3.6400000000000002E-2</v>
      </c>
      <c r="F4015" s="3">
        <v>0.12529999999999999</v>
      </c>
      <c r="G4015" s="3">
        <v>7.9000000000000008E-3</v>
      </c>
      <c r="H4015" s="3">
        <v>7.0300000000000001E-2</v>
      </c>
      <c r="I4015" s="3">
        <v>8.3799999999999999E-2</v>
      </c>
      <c r="J4015" s="3">
        <v>8.9999999999999993E-3</v>
      </c>
      <c r="K4015" s="3">
        <v>0.14630000000000001</v>
      </c>
      <c r="L4015" s="3">
        <v>8.6699999999999999E-2</v>
      </c>
      <c r="M4015" s="3">
        <v>2.4E-2</v>
      </c>
      <c r="N4015" s="3">
        <v>1.7000000000000001E-2</v>
      </c>
      <c r="O4015">
        <v>276</v>
      </c>
      <c r="P4015">
        <v>525</v>
      </c>
      <c r="Q4015">
        <v>2677</v>
      </c>
    </row>
    <row r="4016" spans="1:21">
      <c r="A4016" t="s">
        <v>194</v>
      </c>
      <c r="B4016" t="s">
        <v>199</v>
      </c>
      <c r="C4016" t="s">
        <v>196</v>
      </c>
      <c r="D4016" t="s">
        <v>227</v>
      </c>
      <c r="E4016" s="3">
        <v>4.2900000000000001E-2</v>
      </c>
      <c r="F4016" s="3">
        <v>0.26929999999999998</v>
      </c>
      <c r="G4016" s="3">
        <v>8.1000000000000003E-2</v>
      </c>
      <c r="H4016" s="3">
        <v>0.189</v>
      </c>
      <c r="I4016" s="3">
        <v>4.3099999999999999E-2</v>
      </c>
      <c r="J4016" s="3">
        <v>0.18079999999999999</v>
      </c>
      <c r="K4016" s="3">
        <v>1.7299999999999999E-2</v>
      </c>
      <c r="L4016" s="3">
        <v>5.7000000000000002E-3</v>
      </c>
      <c r="M4016" s="3">
        <v>3.09E-2</v>
      </c>
      <c r="N4016" s="3">
        <v>5.9999999999999995E-4</v>
      </c>
      <c r="O4016">
        <v>276</v>
      </c>
      <c r="P4016">
        <v>525</v>
      </c>
      <c r="Q4016">
        <v>2677</v>
      </c>
    </row>
    <row r="4017" spans="1:17">
      <c r="A4017" t="s">
        <v>194</v>
      </c>
      <c r="B4017" t="s">
        <v>199</v>
      </c>
      <c r="C4017" t="s">
        <v>198</v>
      </c>
      <c r="D4017" t="s">
        <v>1019</v>
      </c>
      <c r="E4017" s="3">
        <v>2.0999999999999999E-3</v>
      </c>
      <c r="F4017" s="3">
        <v>3.3799999999999997E-2</v>
      </c>
      <c r="G4017" s="3">
        <v>1.6000000000000001E-3</v>
      </c>
      <c r="H4017" s="3">
        <v>8.2000000000000007E-3</v>
      </c>
      <c r="I4017" s="3">
        <v>4.3E-3</v>
      </c>
      <c r="J4017" s="3">
        <v>1.35E-2</v>
      </c>
      <c r="K4017" s="3">
        <v>1.1000000000000001E-3</v>
      </c>
      <c r="L4017" s="3">
        <v>2.5000000000000001E-3</v>
      </c>
      <c r="M4017" s="3">
        <v>8.0000000000000004E-4</v>
      </c>
      <c r="N4017" s="3">
        <v>2.9999999999999997E-4</v>
      </c>
      <c r="O4017">
        <v>1211</v>
      </c>
      <c r="P4017">
        <v>945</v>
      </c>
      <c r="Q4017">
        <v>2677</v>
      </c>
    </row>
    <row r="4018" spans="1:17">
      <c r="A4018" t="s">
        <v>194</v>
      </c>
      <c r="B4018" t="s">
        <v>199</v>
      </c>
      <c r="C4018" t="s">
        <v>198</v>
      </c>
      <c r="D4018" t="s">
        <v>1020</v>
      </c>
      <c r="E4018" s="3">
        <v>0.94110000000000005</v>
      </c>
      <c r="F4018" s="3">
        <v>0.62649999999999995</v>
      </c>
      <c r="G4018" s="3">
        <v>0.94420000000000004</v>
      </c>
      <c r="H4018" s="3">
        <v>0.75890000000000002</v>
      </c>
      <c r="I4018" s="3">
        <v>0.85119999999999996</v>
      </c>
      <c r="J4018" s="3">
        <v>0.82169999999999999</v>
      </c>
      <c r="K4018" s="3">
        <v>0.78490000000000004</v>
      </c>
      <c r="L4018" s="3">
        <v>0.88360000000000005</v>
      </c>
      <c r="M4018" s="3">
        <v>0.94569999999999999</v>
      </c>
      <c r="N4018" s="3">
        <v>0.96179999999999999</v>
      </c>
      <c r="O4018">
        <v>1211</v>
      </c>
      <c r="P4018">
        <v>945</v>
      </c>
      <c r="Q4018">
        <v>2677</v>
      </c>
    </row>
    <row r="4019" spans="1:17">
      <c r="A4019" t="s">
        <v>194</v>
      </c>
      <c r="B4019" t="s">
        <v>199</v>
      </c>
      <c r="C4019" t="s">
        <v>198</v>
      </c>
      <c r="D4019" t="s">
        <v>1021</v>
      </c>
      <c r="E4019" s="3">
        <v>3.32E-2</v>
      </c>
      <c r="F4019" s="3">
        <v>7.8600000000000003E-2</v>
      </c>
      <c r="G4019" s="3">
        <v>1.4200000000000001E-2</v>
      </c>
      <c r="H4019" s="3">
        <v>7.0800000000000002E-2</v>
      </c>
      <c r="I4019" s="3">
        <v>0.12609999999999999</v>
      </c>
      <c r="J4019" s="3">
        <v>2.35E-2</v>
      </c>
      <c r="K4019" s="3">
        <v>0.19159999999999999</v>
      </c>
      <c r="L4019" s="3">
        <v>0.1008</v>
      </c>
      <c r="M4019" s="3">
        <v>3.4500000000000003E-2</v>
      </c>
      <c r="N4019" s="3">
        <v>3.0800000000000001E-2</v>
      </c>
      <c r="O4019">
        <v>1211</v>
      </c>
      <c r="P4019">
        <v>945</v>
      </c>
      <c r="Q4019">
        <v>2677</v>
      </c>
    </row>
    <row r="4020" spans="1:17">
      <c r="A4020" t="s">
        <v>194</v>
      </c>
      <c r="B4020" t="s">
        <v>199</v>
      </c>
      <c r="C4020" t="s">
        <v>198</v>
      </c>
      <c r="D4020" t="s">
        <v>227</v>
      </c>
      <c r="E4020" s="3">
        <v>2.35E-2</v>
      </c>
      <c r="F4020" s="3">
        <v>0.2611</v>
      </c>
      <c r="G4020" s="3">
        <v>3.9899999999999998E-2</v>
      </c>
      <c r="H4020" s="3">
        <v>0.16209999999999999</v>
      </c>
      <c r="I4020" s="3">
        <v>1.8499999999999999E-2</v>
      </c>
      <c r="J4020" s="3">
        <v>0.14119999999999999</v>
      </c>
      <c r="K4020" s="3">
        <v>2.24E-2</v>
      </c>
      <c r="L4020" s="3">
        <v>1.32E-2</v>
      </c>
      <c r="M4020" s="3">
        <v>1.9099999999999999E-2</v>
      </c>
      <c r="N4020" s="3">
        <v>7.1999999999999998E-3</v>
      </c>
      <c r="O4020">
        <v>1211</v>
      </c>
      <c r="P4020">
        <v>945</v>
      </c>
      <c r="Q4020">
        <v>2677</v>
      </c>
    </row>
    <row r="4021" spans="1:17">
      <c r="A4021" t="s">
        <v>200</v>
      </c>
      <c r="B4021" t="s">
        <v>200</v>
      </c>
      <c r="C4021" t="s">
        <v>200</v>
      </c>
      <c r="D4021" t="s">
        <v>1019</v>
      </c>
      <c r="E4021" s="3">
        <v>1.0699999999999999E-2</v>
      </c>
      <c r="F4021" s="3">
        <v>6.9000000000000006E-2</v>
      </c>
      <c r="G4021" s="3">
        <v>4.4999999999999997E-3</v>
      </c>
      <c r="H4021" s="3">
        <v>7.7000000000000002E-3</v>
      </c>
      <c r="I4021" s="3">
        <v>9.4999999999999998E-3</v>
      </c>
      <c r="J4021" s="3">
        <v>7.1999999999999998E-3</v>
      </c>
      <c r="K4021" s="3">
        <v>1.2999999999999999E-3</v>
      </c>
      <c r="L4021" s="3">
        <v>6.1000000000000004E-3</v>
      </c>
      <c r="M4021" s="3">
        <v>1E-3</v>
      </c>
      <c r="N4021" s="3">
        <v>2.9999999999999997E-4</v>
      </c>
      <c r="O4021">
        <v>2677</v>
      </c>
      <c r="P4021">
        <v>2677</v>
      </c>
      <c r="Q4021">
        <v>2677</v>
      </c>
    </row>
    <row r="4022" spans="1:17">
      <c r="A4022" t="s">
        <v>200</v>
      </c>
      <c r="B4022" t="s">
        <v>200</v>
      </c>
      <c r="C4022" t="s">
        <v>200</v>
      </c>
      <c r="D4022" t="s">
        <v>1020</v>
      </c>
      <c r="E4022" s="3">
        <v>0.84989999999999999</v>
      </c>
      <c r="F4022" s="3">
        <v>0.48959999999999998</v>
      </c>
      <c r="G4022" s="3">
        <v>0.90149999999999997</v>
      </c>
      <c r="H4022" s="3">
        <v>0.71079999999999999</v>
      </c>
      <c r="I4022" s="3">
        <v>0.7843</v>
      </c>
      <c r="J4022" s="3">
        <v>0.73729999999999996</v>
      </c>
      <c r="K4022" s="3">
        <v>0.78320000000000001</v>
      </c>
      <c r="L4022" s="3">
        <v>0.79190000000000005</v>
      </c>
      <c r="M4022" s="3">
        <v>0.91600000000000004</v>
      </c>
      <c r="N4022" s="3">
        <v>0.96519999999999995</v>
      </c>
      <c r="O4022">
        <v>2677</v>
      </c>
      <c r="P4022">
        <v>2677</v>
      </c>
      <c r="Q4022">
        <v>2677</v>
      </c>
    </row>
    <row r="4023" spans="1:17">
      <c r="A4023" t="s">
        <v>200</v>
      </c>
      <c r="B4023" t="s">
        <v>200</v>
      </c>
      <c r="C4023" t="s">
        <v>200</v>
      </c>
      <c r="D4023" t="s">
        <v>1021</v>
      </c>
      <c r="E4023" s="3">
        <v>0.1017</v>
      </c>
      <c r="F4023" s="3">
        <v>0.1125</v>
      </c>
      <c r="G4023" s="3">
        <v>1.41E-2</v>
      </c>
      <c r="H4023" s="3">
        <v>8.1900000000000001E-2</v>
      </c>
      <c r="I4023" s="3">
        <v>0.1835</v>
      </c>
      <c r="J4023" s="3">
        <v>1.95E-2</v>
      </c>
      <c r="K4023" s="3">
        <v>0.17599999999999999</v>
      </c>
      <c r="L4023" s="3">
        <v>0.1943</v>
      </c>
      <c r="M4023" s="3">
        <v>4.9500000000000002E-2</v>
      </c>
      <c r="N4023" s="3">
        <v>2.5399999999999999E-2</v>
      </c>
      <c r="O4023">
        <v>2677</v>
      </c>
      <c r="P4023">
        <v>2677</v>
      </c>
      <c r="Q4023">
        <v>2677</v>
      </c>
    </row>
    <row r="4024" spans="1:17">
      <c r="A4024" t="s">
        <v>200</v>
      </c>
      <c r="B4024" t="s">
        <v>200</v>
      </c>
      <c r="C4024" t="s">
        <v>200</v>
      </c>
      <c r="D4024" t="s">
        <v>227</v>
      </c>
      <c r="E4024" s="3">
        <v>3.7699999999999997E-2</v>
      </c>
      <c r="F4024" s="3">
        <v>0.32890000000000003</v>
      </c>
      <c r="G4024" s="3">
        <v>7.9899999999999999E-2</v>
      </c>
      <c r="H4024" s="3">
        <v>0.19950000000000001</v>
      </c>
      <c r="I4024" s="3">
        <v>2.2700000000000001E-2</v>
      </c>
      <c r="J4024" s="3">
        <v>0.23599999999999999</v>
      </c>
      <c r="K4024" s="3">
        <v>3.9399999999999998E-2</v>
      </c>
      <c r="L4024" s="3">
        <v>7.7000000000000002E-3</v>
      </c>
      <c r="M4024" s="3">
        <v>3.3599999999999998E-2</v>
      </c>
      <c r="N4024" s="3">
        <v>9.1000000000000004E-3</v>
      </c>
      <c r="O4024">
        <v>2677</v>
      </c>
      <c r="P4024">
        <v>2677</v>
      </c>
      <c r="Q4024">
        <v>2677</v>
      </c>
    </row>
    <row r="4026" spans="1:17" ht="45">
      <c r="A4026" s="22" t="s">
        <v>1022</v>
      </c>
    </row>
    <row r="4027" spans="1:17">
      <c r="A4027" t="s">
        <v>184</v>
      </c>
      <c r="B4027" t="s">
        <v>185</v>
      </c>
      <c r="C4027" t="s">
        <v>186</v>
      </c>
      <c r="D4027" t="s">
        <v>1007</v>
      </c>
      <c r="E4027" t="s">
        <v>1008</v>
      </c>
      <c r="F4027" t="s">
        <v>1009</v>
      </c>
      <c r="G4027" t="s">
        <v>1010</v>
      </c>
      <c r="H4027" t="s">
        <v>1011</v>
      </c>
      <c r="I4027" t="s">
        <v>1012</v>
      </c>
      <c r="J4027" t="s">
        <v>1013</v>
      </c>
      <c r="K4027" t="s">
        <v>1014</v>
      </c>
      <c r="L4027" t="s">
        <v>1015</v>
      </c>
      <c r="M4027" t="s">
        <v>1016</v>
      </c>
      <c r="N4027" t="s">
        <v>1017</v>
      </c>
      <c r="O4027" t="s">
        <v>1018</v>
      </c>
      <c r="P4027" t="s">
        <v>192</v>
      </c>
      <c r="Q4027" t="s">
        <v>193</v>
      </c>
    </row>
    <row r="4028" spans="1:17">
      <c r="A4028" t="s">
        <v>194</v>
      </c>
      <c r="B4028" t="s">
        <v>195</v>
      </c>
      <c r="C4028" t="s">
        <v>202</v>
      </c>
      <c r="D4028" t="s">
        <v>1019</v>
      </c>
      <c r="E4028" s="3">
        <v>1.7600000000000001E-2</v>
      </c>
      <c r="F4028" s="3">
        <v>0.11990000000000001</v>
      </c>
      <c r="G4028" s="3">
        <v>1.0200000000000001E-2</v>
      </c>
      <c r="H4028" s="3">
        <v>6.3E-3</v>
      </c>
      <c r="I4028" s="3">
        <v>8.8999999999999999E-3</v>
      </c>
      <c r="J4028" s="3">
        <v>5.9999999999999995E-4</v>
      </c>
      <c r="K4028" s="3">
        <v>1.4E-3</v>
      </c>
      <c r="L4028" s="3">
        <v>1.38E-2</v>
      </c>
      <c r="M4028" s="3">
        <v>2.3E-3</v>
      </c>
      <c r="O4028">
        <v>768</v>
      </c>
      <c r="P4028">
        <v>533</v>
      </c>
      <c r="Q4028">
        <v>2677</v>
      </c>
    </row>
    <row r="4029" spans="1:17">
      <c r="A4029" t="s">
        <v>194</v>
      </c>
      <c r="B4029" t="s">
        <v>195</v>
      </c>
      <c r="C4029" t="s">
        <v>202</v>
      </c>
      <c r="D4029" t="s">
        <v>1020</v>
      </c>
      <c r="E4029" s="3">
        <v>0.72989999999999999</v>
      </c>
      <c r="F4029" s="3">
        <v>0.32879999999999998</v>
      </c>
      <c r="G4029" s="3">
        <v>0.86070000000000002</v>
      </c>
      <c r="H4029" s="3">
        <v>0.66259999999999997</v>
      </c>
      <c r="I4029" s="3">
        <v>0.70979999999999999</v>
      </c>
      <c r="J4029" s="3">
        <v>0.63119999999999998</v>
      </c>
      <c r="K4029" s="3">
        <v>0.79920000000000002</v>
      </c>
      <c r="L4029" s="3">
        <v>0.69610000000000005</v>
      </c>
      <c r="M4029" s="3">
        <v>0.88090000000000002</v>
      </c>
      <c r="N4029" s="3">
        <v>0.95920000000000005</v>
      </c>
      <c r="O4029">
        <v>768</v>
      </c>
      <c r="P4029">
        <v>533</v>
      </c>
      <c r="Q4029">
        <v>2677</v>
      </c>
    </row>
    <row r="4030" spans="1:17">
      <c r="A4030" t="s">
        <v>194</v>
      </c>
      <c r="B4030" t="s">
        <v>195</v>
      </c>
      <c r="C4030" t="s">
        <v>202</v>
      </c>
      <c r="D4030" t="s">
        <v>1021</v>
      </c>
      <c r="E4030" s="3">
        <v>0.20419999999999999</v>
      </c>
      <c r="F4030" s="3">
        <v>0.13730000000000001</v>
      </c>
      <c r="G4030" s="3">
        <v>2.0500000000000001E-2</v>
      </c>
      <c r="H4030" s="3">
        <v>0.1021</v>
      </c>
      <c r="I4030" s="3">
        <v>0.25590000000000002</v>
      </c>
      <c r="J4030" s="3">
        <v>2.3699999999999999E-2</v>
      </c>
      <c r="K4030" s="3">
        <v>0.13900000000000001</v>
      </c>
      <c r="L4030" s="3">
        <v>0.28620000000000001</v>
      </c>
      <c r="M4030" s="3">
        <v>7.5999999999999998E-2</v>
      </c>
      <c r="N4030" s="3">
        <v>2.64E-2</v>
      </c>
      <c r="O4030">
        <v>768</v>
      </c>
      <c r="P4030">
        <v>533</v>
      </c>
      <c r="Q4030">
        <v>2677</v>
      </c>
    </row>
    <row r="4031" spans="1:17">
      <c r="A4031" t="s">
        <v>194</v>
      </c>
      <c r="B4031" t="s">
        <v>195</v>
      </c>
      <c r="C4031" t="s">
        <v>202</v>
      </c>
      <c r="D4031" t="s">
        <v>227</v>
      </c>
      <c r="E4031" s="3">
        <v>4.8300000000000003E-2</v>
      </c>
      <c r="F4031" s="3">
        <v>0.41399999999999998</v>
      </c>
      <c r="G4031" s="3">
        <v>0.1085</v>
      </c>
      <c r="H4031" s="3">
        <v>0.22889999999999999</v>
      </c>
      <c r="I4031" s="3">
        <v>2.53E-2</v>
      </c>
      <c r="J4031" s="3">
        <v>0.34439999999999998</v>
      </c>
      <c r="K4031" s="3">
        <v>6.0400000000000002E-2</v>
      </c>
      <c r="L4031" s="3">
        <v>3.8999999999999998E-3</v>
      </c>
      <c r="M4031" s="3">
        <v>4.0800000000000003E-2</v>
      </c>
      <c r="N4031" s="3">
        <v>1.44E-2</v>
      </c>
      <c r="O4031">
        <v>768</v>
      </c>
      <c r="P4031">
        <v>533</v>
      </c>
      <c r="Q4031">
        <v>2677</v>
      </c>
    </row>
    <row r="4032" spans="1:17">
      <c r="A4032" t="s">
        <v>194</v>
      </c>
      <c r="B4032" t="s">
        <v>195</v>
      </c>
      <c r="C4032" t="s">
        <v>204</v>
      </c>
      <c r="D4032" t="s">
        <v>1019</v>
      </c>
      <c r="E4032" s="3">
        <v>0.02</v>
      </c>
      <c r="F4032" s="3">
        <v>0.13300000000000001</v>
      </c>
      <c r="G4032" s="3">
        <v>6.7999999999999996E-3</v>
      </c>
      <c r="H4032" s="3">
        <v>7.6E-3</v>
      </c>
      <c r="I4032" s="3">
        <v>2.2599999999999999E-2</v>
      </c>
      <c r="J4032" s="3">
        <v>5.5999999999999999E-3</v>
      </c>
      <c r="L4032" s="3">
        <v>4.4000000000000003E-3</v>
      </c>
      <c r="O4032">
        <v>254</v>
      </c>
      <c r="P4032">
        <v>301</v>
      </c>
      <c r="Q4032">
        <v>2677</v>
      </c>
    </row>
    <row r="4033" spans="1:17">
      <c r="A4033" t="s">
        <v>194</v>
      </c>
      <c r="B4033" t="s">
        <v>195</v>
      </c>
      <c r="C4033" t="s">
        <v>204</v>
      </c>
      <c r="D4033" t="s">
        <v>1020</v>
      </c>
      <c r="E4033" s="3">
        <v>0.77569999999999995</v>
      </c>
      <c r="F4033" s="3">
        <v>0.37519999999999998</v>
      </c>
      <c r="G4033" s="3">
        <v>0.86470000000000002</v>
      </c>
      <c r="H4033" s="3">
        <v>0.65620000000000001</v>
      </c>
      <c r="I4033" s="3">
        <v>0.73599999999999999</v>
      </c>
      <c r="J4033" s="3">
        <v>0.66149999999999998</v>
      </c>
      <c r="K4033" s="3">
        <v>0.71279999999999999</v>
      </c>
      <c r="L4033" s="3">
        <v>0.61939999999999995</v>
      </c>
      <c r="M4033" s="3">
        <v>0.86350000000000005</v>
      </c>
      <c r="N4033" s="3">
        <v>0.9788</v>
      </c>
      <c r="O4033">
        <v>254</v>
      </c>
      <c r="P4033">
        <v>301</v>
      </c>
      <c r="Q4033">
        <v>2677</v>
      </c>
    </row>
    <row r="4034" spans="1:17">
      <c r="A4034" t="s">
        <v>194</v>
      </c>
      <c r="B4034" t="s">
        <v>195</v>
      </c>
      <c r="C4034" t="s">
        <v>204</v>
      </c>
      <c r="D4034" t="s">
        <v>1021</v>
      </c>
      <c r="E4034" s="3">
        <v>0.14680000000000001</v>
      </c>
      <c r="F4034" s="3">
        <v>0.1711</v>
      </c>
      <c r="G4034" s="3">
        <v>5.5999999999999999E-3</v>
      </c>
      <c r="H4034" s="3">
        <v>7.3899999999999993E-2</v>
      </c>
      <c r="I4034" s="3">
        <v>0.22720000000000001</v>
      </c>
      <c r="J4034" s="3">
        <v>5.7000000000000002E-3</v>
      </c>
      <c r="K4034" s="3">
        <v>0.23499999999999999</v>
      </c>
      <c r="L4034" s="3">
        <v>0.37619999999999998</v>
      </c>
      <c r="M4034" s="3">
        <v>6.3700000000000007E-2</v>
      </c>
      <c r="N4034" s="3">
        <v>1.0800000000000001E-2</v>
      </c>
      <c r="O4034">
        <v>254</v>
      </c>
      <c r="P4034">
        <v>301</v>
      </c>
      <c r="Q4034">
        <v>2677</v>
      </c>
    </row>
    <row r="4035" spans="1:17">
      <c r="A4035" t="s">
        <v>194</v>
      </c>
      <c r="B4035" t="s">
        <v>195</v>
      </c>
      <c r="C4035" t="s">
        <v>204</v>
      </c>
      <c r="D4035" t="s">
        <v>227</v>
      </c>
      <c r="E4035" s="3">
        <v>5.7500000000000002E-2</v>
      </c>
      <c r="F4035" s="3">
        <v>0.32069999999999999</v>
      </c>
      <c r="G4035" s="3">
        <v>0.1229</v>
      </c>
      <c r="H4035" s="3">
        <v>0.26219999999999999</v>
      </c>
      <c r="I4035" s="3">
        <v>1.4200000000000001E-2</v>
      </c>
      <c r="J4035" s="3">
        <v>0.32719999999999999</v>
      </c>
      <c r="K4035" s="3">
        <v>5.2200000000000003E-2</v>
      </c>
      <c r="M4035" s="3">
        <v>7.2700000000000001E-2</v>
      </c>
      <c r="N4035" s="3">
        <v>1.04E-2</v>
      </c>
      <c r="O4035">
        <v>254</v>
      </c>
      <c r="P4035">
        <v>301</v>
      </c>
      <c r="Q4035">
        <v>2677</v>
      </c>
    </row>
    <row r="4036" spans="1:17">
      <c r="A4036" t="s">
        <v>194</v>
      </c>
      <c r="B4036" t="s">
        <v>195</v>
      </c>
      <c r="C4036" t="s">
        <v>205</v>
      </c>
      <c r="D4036" t="s">
        <v>1019</v>
      </c>
      <c r="E4036" s="3">
        <v>5.5999999999999999E-3</v>
      </c>
      <c r="F4036" s="3">
        <v>7.2900000000000006E-2</v>
      </c>
      <c r="G4036" s="3">
        <v>8.9999999999999998E-4</v>
      </c>
      <c r="H4036" s="3">
        <v>1.0500000000000001E-2</v>
      </c>
      <c r="I4036" s="3">
        <v>2.01E-2</v>
      </c>
      <c r="J4036" s="3">
        <v>5.4999999999999997E-3</v>
      </c>
      <c r="K4036" s="3">
        <v>4.1000000000000003E-3</v>
      </c>
      <c r="L4036" s="3">
        <v>6.9999999999999999E-4</v>
      </c>
      <c r="O4036">
        <v>160</v>
      </c>
      <c r="P4036">
        <v>334</v>
      </c>
      <c r="Q4036">
        <v>2677</v>
      </c>
    </row>
    <row r="4037" spans="1:17">
      <c r="A4037" t="s">
        <v>194</v>
      </c>
      <c r="B4037" t="s">
        <v>195</v>
      </c>
      <c r="C4037" t="s">
        <v>205</v>
      </c>
      <c r="D4037" t="s">
        <v>1020</v>
      </c>
      <c r="E4037" s="3">
        <v>0.77539999999999998</v>
      </c>
      <c r="F4037" s="3">
        <v>0.2631</v>
      </c>
      <c r="G4037" s="3">
        <v>0.81850000000000001</v>
      </c>
      <c r="H4037" s="3">
        <v>0.63600000000000001</v>
      </c>
      <c r="I4037" s="3">
        <v>0.58530000000000004</v>
      </c>
      <c r="J4037" s="3">
        <v>0.62660000000000005</v>
      </c>
      <c r="K4037" s="3">
        <v>0.70960000000000001</v>
      </c>
      <c r="L4037" s="3">
        <v>0.63790000000000002</v>
      </c>
      <c r="M4037" s="3">
        <v>0.89929999999999999</v>
      </c>
      <c r="N4037" s="3">
        <v>0.96960000000000002</v>
      </c>
      <c r="O4037">
        <v>160</v>
      </c>
      <c r="P4037">
        <v>334</v>
      </c>
      <c r="Q4037">
        <v>2677</v>
      </c>
    </row>
    <row r="4038" spans="1:17">
      <c r="A4038" t="s">
        <v>194</v>
      </c>
      <c r="B4038" t="s">
        <v>195</v>
      </c>
      <c r="C4038" t="s">
        <v>205</v>
      </c>
      <c r="D4038" t="s">
        <v>1021</v>
      </c>
      <c r="E4038" s="3">
        <v>0.1643</v>
      </c>
      <c r="F4038" s="3">
        <v>0.13730000000000001</v>
      </c>
      <c r="G4038" s="3">
        <v>4.8999999999999998E-3</v>
      </c>
      <c r="H4038" s="3">
        <v>0.1023</v>
      </c>
      <c r="I4038" s="3">
        <v>0.37269999999999998</v>
      </c>
      <c r="J4038" s="3">
        <v>6.6E-3</v>
      </c>
      <c r="K4038" s="3">
        <v>0.20030000000000001</v>
      </c>
      <c r="L4038" s="3">
        <v>0.35980000000000001</v>
      </c>
      <c r="M4038" s="3">
        <v>5.79E-2</v>
      </c>
      <c r="N4038" s="3">
        <v>1.9300000000000001E-2</v>
      </c>
      <c r="O4038">
        <v>160</v>
      </c>
      <c r="P4038">
        <v>334</v>
      </c>
      <c r="Q4038">
        <v>2677</v>
      </c>
    </row>
    <row r="4039" spans="1:17">
      <c r="A4039" t="s">
        <v>194</v>
      </c>
      <c r="B4039" t="s">
        <v>195</v>
      </c>
      <c r="C4039" t="s">
        <v>205</v>
      </c>
      <c r="D4039" t="s">
        <v>227</v>
      </c>
      <c r="E4039" s="3">
        <v>5.4699999999999999E-2</v>
      </c>
      <c r="F4039" s="3">
        <v>0.52680000000000005</v>
      </c>
      <c r="G4039" s="3">
        <v>0.1757</v>
      </c>
      <c r="H4039" s="3">
        <v>0.25119999999999998</v>
      </c>
      <c r="I4039" s="3">
        <v>2.1899999999999999E-2</v>
      </c>
      <c r="J4039" s="3">
        <v>0.36130000000000001</v>
      </c>
      <c r="K4039" s="3">
        <v>8.5999999999999993E-2</v>
      </c>
      <c r="L4039" s="3">
        <v>1.6000000000000001E-3</v>
      </c>
      <c r="M4039" s="3">
        <v>4.2799999999999998E-2</v>
      </c>
      <c r="N4039" s="3">
        <v>1.12E-2</v>
      </c>
      <c r="O4039">
        <v>160</v>
      </c>
      <c r="P4039">
        <v>334</v>
      </c>
      <c r="Q4039">
        <v>2677</v>
      </c>
    </row>
    <row r="4040" spans="1:17">
      <c r="A4040" t="s">
        <v>194</v>
      </c>
      <c r="B4040" t="s">
        <v>199</v>
      </c>
      <c r="C4040" t="s">
        <v>202</v>
      </c>
      <c r="D4040" t="s">
        <v>1019</v>
      </c>
      <c r="E4040" s="3">
        <v>6.7000000000000002E-3</v>
      </c>
      <c r="F4040" s="3">
        <v>3.27E-2</v>
      </c>
      <c r="G4040" s="3">
        <v>1.9E-3</v>
      </c>
      <c r="H4040" s="3">
        <v>3.2000000000000002E-3</v>
      </c>
      <c r="I4040" s="3">
        <v>5.3E-3</v>
      </c>
      <c r="J4040" s="3">
        <v>1.17E-2</v>
      </c>
      <c r="K4040" s="3">
        <v>1.1999999999999999E-3</v>
      </c>
      <c r="L4040" s="3">
        <v>5.9999999999999995E-4</v>
      </c>
      <c r="M4040" s="3">
        <v>8.0000000000000004E-4</v>
      </c>
      <c r="N4040" s="3">
        <v>8.9999999999999998E-4</v>
      </c>
      <c r="O4040">
        <v>946</v>
      </c>
      <c r="P4040">
        <v>538</v>
      </c>
      <c r="Q4040">
        <v>2677</v>
      </c>
    </row>
    <row r="4041" spans="1:17">
      <c r="A4041" t="s">
        <v>194</v>
      </c>
      <c r="B4041" t="s">
        <v>199</v>
      </c>
      <c r="C4041" t="s">
        <v>202</v>
      </c>
      <c r="D4041" t="s">
        <v>1020</v>
      </c>
      <c r="E4041" s="3">
        <v>0.93469999999999998</v>
      </c>
      <c r="F4041" s="3">
        <v>0.67700000000000005</v>
      </c>
      <c r="G4041" s="3">
        <v>0.94720000000000004</v>
      </c>
      <c r="H4041" s="3">
        <v>0.77949999999999997</v>
      </c>
      <c r="I4041" s="3">
        <v>0.83260000000000001</v>
      </c>
      <c r="J4041" s="3">
        <v>0.84099999999999997</v>
      </c>
      <c r="K4041" s="3">
        <v>0.81799999999999995</v>
      </c>
      <c r="L4041" s="3">
        <v>0.85060000000000002</v>
      </c>
      <c r="M4041" s="3">
        <v>0.94189999999999996</v>
      </c>
      <c r="N4041" s="3">
        <v>0.95589999999999997</v>
      </c>
      <c r="O4041">
        <v>946</v>
      </c>
      <c r="P4041">
        <v>538</v>
      </c>
      <c r="Q4041">
        <v>2677</v>
      </c>
    </row>
    <row r="4042" spans="1:17">
      <c r="A4042" t="s">
        <v>194</v>
      </c>
      <c r="B4042" t="s">
        <v>199</v>
      </c>
      <c r="C4042" t="s">
        <v>202</v>
      </c>
      <c r="D4042" t="s">
        <v>1021</v>
      </c>
      <c r="E4042" s="3">
        <v>3.7100000000000001E-2</v>
      </c>
      <c r="F4042" s="3">
        <v>9.8500000000000004E-2</v>
      </c>
      <c r="G4042" s="3">
        <v>1.7000000000000001E-2</v>
      </c>
      <c r="H4042" s="3">
        <v>7.5200000000000003E-2</v>
      </c>
      <c r="I4042" s="3">
        <v>0.14299999999999999</v>
      </c>
      <c r="J4042" s="3">
        <v>2.86E-2</v>
      </c>
      <c r="K4042" s="3">
        <v>0.1678</v>
      </c>
      <c r="L4042" s="3">
        <v>0.1313</v>
      </c>
      <c r="M4042" s="3">
        <v>3.6200000000000003E-2</v>
      </c>
      <c r="N4042" s="3">
        <v>3.5799999999999998E-2</v>
      </c>
      <c r="O4042">
        <v>946</v>
      </c>
      <c r="P4042">
        <v>538</v>
      </c>
      <c r="Q4042">
        <v>2677</v>
      </c>
    </row>
    <row r="4043" spans="1:17">
      <c r="A4043" t="s">
        <v>194</v>
      </c>
      <c r="B4043" t="s">
        <v>199</v>
      </c>
      <c r="C4043" t="s">
        <v>202</v>
      </c>
      <c r="D4043" t="s">
        <v>227</v>
      </c>
      <c r="E4043" s="3">
        <v>2.1499999999999998E-2</v>
      </c>
      <c r="F4043" s="3">
        <v>0.1918</v>
      </c>
      <c r="G4043" s="3">
        <v>3.39E-2</v>
      </c>
      <c r="H4043" s="3">
        <v>0.1421</v>
      </c>
      <c r="I4043" s="3">
        <v>1.9099999999999999E-2</v>
      </c>
      <c r="J4043" s="3">
        <v>0.1188</v>
      </c>
      <c r="K4043" s="3">
        <v>1.2999999999999999E-2</v>
      </c>
      <c r="L4043" s="3">
        <v>1.7500000000000002E-2</v>
      </c>
      <c r="M4043" s="3">
        <v>2.1100000000000001E-2</v>
      </c>
      <c r="N4043" s="3">
        <v>7.4999999999999997E-3</v>
      </c>
      <c r="O4043">
        <v>946</v>
      </c>
      <c r="P4043">
        <v>538</v>
      </c>
      <c r="Q4043">
        <v>2677</v>
      </c>
    </row>
    <row r="4044" spans="1:17">
      <c r="A4044" t="s">
        <v>194</v>
      </c>
      <c r="B4044" t="s">
        <v>199</v>
      </c>
      <c r="C4044" t="s">
        <v>204</v>
      </c>
      <c r="D4044" t="s">
        <v>1019</v>
      </c>
      <c r="E4044" s="3">
        <v>4.5999999999999999E-3</v>
      </c>
      <c r="F4044" s="3">
        <v>3.56E-2</v>
      </c>
      <c r="H4044" s="3">
        <v>2.8000000000000001E-2</v>
      </c>
      <c r="I4044" s="3">
        <v>1.1599999999999999E-2</v>
      </c>
      <c r="J4044" s="3">
        <v>1.2E-2</v>
      </c>
      <c r="K4044" s="3">
        <v>1E-4</v>
      </c>
      <c r="L4044" s="3">
        <v>1.18E-2</v>
      </c>
      <c r="O4044">
        <v>288</v>
      </c>
      <c r="P4044">
        <v>426</v>
      </c>
      <c r="Q4044">
        <v>2677</v>
      </c>
    </row>
    <row r="4045" spans="1:17">
      <c r="A4045" t="s">
        <v>194</v>
      </c>
      <c r="B4045" t="s">
        <v>199</v>
      </c>
      <c r="C4045" t="s">
        <v>204</v>
      </c>
      <c r="D4045" t="s">
        <v>1020</v>
      </c>
      <c r="E4045" s="3">
        <v>0.94450000000000001</v>
      </c>
      <c r="F4045" s="3">
        <v>0.58750000000000002</v>
      </c>
      <c r="G4045" s="3">
        <v>0.9355</v>
      </c>
      <c r="H4045" s="3">
        <v>0.7823</v>
      </c>
      <c r="I4045" s="3">
        <v>0.89100000000000001</v>
      </c>
      <c r="J4045" s="3">
        <v>0.83109999999999995</v>
      </c>
      <c r="K4045" s="3">
        <v>0.69220000000000004</v>
      </c>
      <c r="L4045" s="3">
        <v>0.9546</v>
      </c>
      <c r="M4045" s="3">
        <v>0.9657</v>
      </c>
      <c r="N4045" s="3">
        <v>0.96919999999999995</v>
      </c>
      <c r="O4045">
        <v>288</v>
      </c>
      <c r="P4045">
        <v>426</v>
      </c>
      <c r="Q4045">
        <v>2677</v>
      </c>
    </row>
    <row r="4046" spans="1:17">
      <c r="A4046" t="s">
        <v>194</v>
      </c>
      <c r="B4046" t="s">
        <v>199</v>
      </c>
      <c r="C4046" t="s">
        <v>204</v>
      </c>
      <c r="D4046" t="s">
        <v>1021</v>
      </c>
      <c r="E4046" s="3">
        <v>1.8499999999999999E-2</v>
      </c>
      <c r="F4046" s="3">
        <v>6.1899999999999997E-2</v>
      </c>
      <c r="G4046" s="3">
        <v>7.9000000000000008E-3</v>
      </c>
      <c r="H4046" s="3">
        <v>4.7699999999999999E-2</v>
      </c>
      <c r="I4046" s="3">
        <v>8.0299999999999996E-2</v>
      </c>
      <c r="J4046" s="3">
        <v>6.7000000000000002E-3</v>
      </c>
      <c r="K4046" s="3">
        <v>0.28470000000000001</v>
      </c>
      <c r="L4046" s="3">
        <v>3.27E-2</v>
      </c>
      <c r="M4046" s="3">
        <v>2.3900000000000001E-2</v>
      </c>
      <c r="N4046" s="3">
        <v>2.5999999999999999E-2</v>
      </c>
      <c r="O4046">
        <v>288</v>
      </c>
      <c r="P4046">
        <v>426</v>
      </c>
      <c r="Q4046">
        <v>2677</v>
      </c>
    </row>
    <row r="4047" spans="1:17">
      <c r="A4047" t="s">
        <v>194</v>
      </c>
      <c r="B4047" t="s">
        <v>199</v>
      </c>
      <c r="C4047" t="s">
        <v>204</v>
      </c>
      <c r="D4047" t="s">
        <v>227</v>
      </c>
      <c r="E4047" s="3">
        <v>3.2300000000000002E-2</v>
      </c>
      <c r="F4047" s="3">
        <v>0.31490000000000001</v>
      </c>
      <c r="G4047" s="3">
        <v>5.6599999999999998E-2</v>
      </c>
      <c r="H4047" s="3">
        <v>0.1419</v>
      </c>
      <c r="I4047" s="3">
        <v>1.7100000000000001E-2</v>
      </c>
      <c r="J4047" s="3">
        <v>0.15029999999999999</v>
      </c>
      <c r="K4047" s="3">
        <v>2.3E-2</v>
      </c>
      <c r="L4047" s="3">
        <v>1E-3</v>
      </c>
      <c r="M4047" s="3">
        <v>1.04E-2</v>
      </c>
      <c r="N4047" s="3">
        <v>4.7999999999999996E-3</v>
      </c>
      <c r="O4047">
        <v>288</v>
      </c>
      <c r="P4047">
        <v>426</v>
      </c>
      <c r="Q4047">
        <v>2677</v>
      </c>
    </row>
    <row r="4048" spans="1:17">
      <c r="A4048" t="s">
        <v>194</v>
      </c>
      <c r="B4048" t="s">
        <v>199</v>
      </c>
      <c r="C4048" t="s">
        <v>205</v>
      </c>
      <c r="D4048" t="s">
        <v>1019</v>
      </c>
      <c r="E4048" s="3">
        <v>5.7000000000000002E-3</v>
      </c>
      <c r="F4048" s="3">
        <v>2.1600000000000001E-2</v>
      </c>
      <c r="G4048" s="3">
        <v>1.6000000000000001E-3</v>
      </c>
      <c r="H4048" s="3">
        <v>3.8E-3</v>
      </c>
      <c r="I4048" s="3">
        <v>4.8999999999999998E-3</v>
      </c>
      <c r="J4048" s="3">
        <v>7.6E-3</v>
      </c>
      <c r="K4048" s="3">
        <v>2.2000000000000001E-3</v>
      </c>
      <c r="L4048" s="3">
        <v>1.6999999999999999E-3</v>
      </c>
      <c r="M4048" s="3">
        <v>8.0000000000000004E-4</v>
      </c>
      <c r="O4048">
        <v>251</v>
      </c>
      <c r="P4048">
        <v>506</v>
      </c>
      <c r="Q4048">
        <v>2677</v>
      </c>
    </row>
    <row r="4049" spans="1:17">
      <c r="A4049" t="s">
        <v>194</v>
      </c>
      <c r="B4049" t="s">
        <v>199</v>
      </c>
      <c r="C4049" t="s">
        <v>205</v>
      </c>
      <c r="D4049" t="s">
        <v>1020</v>
      </c>
      <c r="E4049" s="3">
        <v>0.91290000000000004</v>
      </c>
      <c r="F4049" s="3">
        <v>0.43509999999999999</v>
      </c>
      <c r="G4049" s="3">
        <v>0.90580000000000005</v>
      </c>
      <c r="H4049" s="3">
        <v>0.62470000000000003</v>
      </c>
      <c r="I4049" s="3">
        <v>0.88200000000000001</v>
      </c>
      <c r="J4049" s="3">
        <v>0.72550000000000003</v>
      </c>
      <c r="K4049" s="3">
        <v>0.82130000000000003</v>
      </c>
      <c r="L4049" s="3">
        <v>0.94740000000000002</v>
      </c>
      <c r="M4049" s="3">
        <v>0.93620000000000003</v>
      </c>
      <c r="N4049" s="3">
        <v>0.99629999999999996</v>
      </c>
      <c r="O4049">
        <v>251</v>
      </c>
      <c r="P4049">
        <v>506</v>
      </c>
      <c r="Q4049">
        <v>2677</v>
      </c>
    </row>
    <row r="4050" spans="1:17">
      <c r="A4050" t="s">
        <v>194</v>
      </c>
      <c r="B4050" t="s">
        <v>199</v>
      </c>
      <c r="C4050" t="s">
        <v>205</v>
      </c>
      <c r="D4050" t="s">
        <v>1021</v>
      </c>
      <c r="E4050" s="3">
        <v>3.9199999999999999E-2</v>
      </c>
      <c r="F4050" s="3">
        <v>7.3899999999999993E-2</v>
      </c>
      <c r="G4050" s="3">
        <v>3.8999999999999998E-3</v>
      </c>
      <c r="H4050" s="3">
        <v>8.0600000000000005E-2</v>
      </c>
      <c r="I4050" s="3">
        <v>6.8500000000000005E-2</v>
      </c>
      <c r="J4050" s="3">
        <v>8.0000000000000002E-3</v>
      </c>
      <c r="K4050" s="3">
        <v>0.12470000000000001</v>
      </c>
      <c r="L4050" s="3">
        <v>4.8399999999999999E-2</v>
      </c>
      <c r="M4050" s="3">
        <v>2.86E-2</v>
      </c>
      <c r="N4050" s="3">
        <v>2.2000000000000001E-3</v>
      </c>
      <c r="O4050">
        <v>251</v>
      </c>
      <c r="P4050">
        <v>506</v>
      </c>
      <c r="Q4050">
        <v>2677</v>
      </c>
    </row>
    <row r="4051" spans="1:17">
      <c r="A4051" t="s">
        <v>194</v>
      </c>
      <c r="B4051" t="s">
        <v>199</v>
      </c>
      <c r="C4051" t="s">
        <v>205</v>
      </c>
      <c r="D4051" t="s">
        <v>227</v>
      </c>
      <c r="E4051" s="3">
        <v>4.2200000000000001E-2</v>
      </c>
      <c r="F4051" s="3">
        <v>0.46939999999999998</v>
      </c>
      <c r="G4051" s="3">
        <v>8.8599999999999998E-2</v>
      </c>
      <c r="H4051" s="3">
        <v>0.2908</v>
      </c>
      <c r="I4051" s="3">
        <v>4.4600000000000001E-2</v>
      </c>
      <c r="J4051" s="3">
        <v>0.25890000000000002</v>
      </c>
      <c r="K4051" s="3">
        <v>5.1799999999999999E-2</v>
      </c>
      <c r="L4051" s="3">
        <v>2.5000000000000001E-3</v>
      </c>
      <c r="M4051" s="3">
        <v>3.4500000000000003E-2</v>
      </c>
      <c r="N4051" s="3">
        <v>1.5E-3</v>
      </c>
      <c r="O4051">
        <v>251</v>
      </c>
      <c r="P4051">
        <v>506</v>
      </c>
      <c r="Q4051">
        <v>2677</v>
      </c>
    </row>
    <row r="4052" spans="1:17">
      <c r="A4052" t="s">
        <v>200</v>
      </c>
      <c r="B4052" t="s">
        <v>200</v>
      </c>
      <c r="C4052" t="s">
        <v>200</v>
      </c>
      <c r="D4052" t="s">
        <v>1019</v>
      </c>
      <c r="E4052" s="3">
        <v>1.0699999999999999E-2</v>
      </c>
      <c r="F4052" s="3">
        <v>6.9000000000000006E-2</v>
      </c>
      <c r="G4052" s="3">
        <v>4.4999999999999997E-3</v>
      </c>
      <c r="H4052" s="3">
        <v>7.7000000000000002E-3</v>
      </c>
      <c r="I4052" s="3">
        <v>9.4999999999999998E-3</v>
      </c>
      <c r="J4052" s="3">
        <v>7.1999999999999998E-3</v>
      </c>
      <c r="K4052" s="3">
        <v>1.2999999999999999E-3</v>
      </c>
      <c r="L4052" s="3">
        <v>6.1000000000000004E-3</v>
      </c>
      <c r="M4052" s="3">
        <v>1E-3</v>
      </c>
      <c r="N4052" s="3">
        <v>2.9999999999999997E-4</v>
      </c>
      <c r="O4052">
        <v>2677</v>
      </c>
      <c r="P4052">
        <v>2677</v>
      </c>
      <c r="Q4052">
        <v>2677</v>
      </c>
    </row>
    <row r="4053" spans="1:17">
      <c r="A4053" t="s">
        <v>200</v>
      </c>
      <c r="B4053" t="s">
        <v>200</v>
      </c>
      <c r="C4053" t="s">
        <v>200</v>
      </c>
      <c r="D4053" t="s">
        <v>1020</v>
      </c>
      <c r="E4053" s="3">
        <v>0.84989999999999999</v>
      </c>
      <c r="F4053" s="3">
        <v>0.48959999999999998</v>
      </c>
      <c r="G4053" s="3">
        <v>0.90149999999999997</v>
      </c>
      <c r="H4053" s="3">
        <v>0.71079999999999999</v>
      </c>
      <c r="I4053" s="3">
        <v>0.7843</v>
      </c>
      <c r="J4053" s="3">
        <v>0.73729999999999996</v>
      </c>
      <c r="K4053" s="3">
        <v>0.78320000000000001</v>
      </c>
      <c r="L4053" s="3">
        <v>0.79190000000000005</v>
      </c>
      <c r="M4053" s="3">
        <v>0.91600000000000004</v>
      </c>
      <c r="N4053" s="3">
        <v>0.96519999999999995</v>
      </c>
      <c r="O4053">
        <v>2677</v>
      </c>
      <c r="P4053">
        <v>2677</v>
      </c>
      <c r="Q4053">
        <v>2677</v>
      </c>
    </row>
    <row r="4054" spans="1:17">
      <c r="A4054" t="s">
        <v>200</v>
      </c>
      <c r="B4054" t="s">
        <v>200</v>
      </c>
      <c r="C4054" t="s">
        <v>200</v>
      </c>
      <c r="D4054" t="s">
        <v>1021</v>
      </c>
      <c r="E4054" s="3">
        <v>0.1017</v>
      </c>
      <c r="F4054" s="3">
        <v>0.1125</v>
      </c>
      <c r="G4054" s="3">
        <v>1.41E-2</v>
      </c>
      <c r="H4054" s="3">
        <v>8.1900000000000001E-2</v>
      </c>
      <c r="I4054" s="3">
        <v>0.1835</v>
      </c>
      <c r="J4054" s="3">
        <v>1.95E-2</v>
      </c>
      <c r="K4054" s="3">
        <v>0.17599999999999999</v>
      </c>
      <c r="L4054" s="3">
        <v>0.1943</v>
      </c>
      <c r="M4054" s="3">
        <v>4.9500000000000002E-2</v>
      </c>
      <c r="N4054" s="3">
        <v>2.5399999999999999E-2</v>
      </c>
      <c r="O4054">
        <v>2677</v>
      </c>
      <c r="P4054">
        <v>2677</v>
      </c>
      <c r="Q4054">
        <v>2677</v>
      </c>
    </row>
    <row r="4055" spans="1:17">
      <c r="A4055" t="s">
        <v>200</v>
      </c>
      <c r="B4055" t="s">
        <v>200</v>
      </c>
      <c r="C4055" t="s">
        <v>200</v>
      </c>
      <c r="D4055" t="s">
        <v>227</v>
      </c>
      <c r="E4055" s="3">
        <v>3.7699999999999997E-2</v>
      </c>
      <c r="F4055" s="3">
        <v>0.32890000000000003</v>
      </c>
      <c r="G4055" s="3">
        <v>7.9899999999999999E-2</v>
      </c>
      <c r="H4055" s="3">
        <v>0.19950000000000001</v>
      </c>
      <c r="I4055" s="3">
        <v>2.2700000000000001E-2</v>
      </c>
      <c r="J4055" s="3">
        <v>0.23599999999999999</v>
      </c>
      <c r="K4055" s="3">
        <v>3.9399999999999998E-2</v>
      </c>
      <c r="L4055" s="3">
        <v>7.7000000000000002E-3</v>
      </c>
      <c r="M4055" s="3">
        <v>3.3599999999999998E-2</v>
      </c>
      <c r="N4055" s="3">
        <v>9.1000000000000004E-3</v>
      </c>
      <c r="O4055">
        <v>2677</v>
      </c>
      <c r="P4055">
        <v>2677</v>
      </c>
      <c r="Q4055">
        <v>2677</v>
      </c>
    </row>
    <row r="4057" spans="1:17" ht="45">
      <c r="A4057" s="22" t="s">
        <v>1023</v>
      </c>
    </row>
    <row r="4058" spans="1:17">
      <c r="A4058" t="s">
        <v>184</v>
      </c>
      <c r="B4058" t="s">
        <v>185</v>
      </c>
      <c r="C4058" t="s">
        <v>186</v>
      </c>
      <c r="D4058" t="s">
        <v>1007</v>
      </c>
      <c r="E4058" t="s">
        <v>1008</v>
      </c>
      <c r="F4058" t="s">
        <v>1009</v>
      </c>
      <c r="G4058" t="s">
        <v>1010</v>
      </c>
      <c r="H4058" t="s">
        <v>1011</v>
      </c>
      <c r="I4058" t="s">
        <v>1012</v>
      </c>
      <c r="J4058" t="s">
        <v>1013</v>
      </c>
      <c r="K4058" t="s">
        <v>1014</v>
      </c>
      <c r="L4058" t="s">
        <v>1015</v>
      </c>
      <c r="M4058" t="s">
        <v>1016</v>
      </c>
      <c r="N4058" t="s">
        <v>1017</v>
      </c>
      <c r="O4058" t="s">
        <v>1018</v>
      </c>
      <c r="P4058" t="s">
        <v>192</v>
      </c>
      <c r="Q4058" t="s">
        <v>193</v>
      </c>
    </row>
    <row r="4059" spans="1:17">
      <c r="A4059" t="s">
        <v>194</v>
      </c>
      <c r="B4059" t="s">
        <v>195</v>
      </c>
      <c r="C4059" t="s">
        <v>207</v>
      </c>
      <c r="D4059" t="s">
        <v>1019</v>
      </c>
      <c r="E4059" s="3">
        <v>2.1000000000000001E-2</v>
      </c>
      <c r="F4059" s="3">
        <v>7.8799999999999995E-2</v>
      </c>
      <c r="G4059" s="3">
        <v>1.7500000000000002E-2</v>
      </c>
      <c r="H4059" s="3">
        <v>9.2999999999999992E-3</v>
      </c>
      <c r="I4059" s="3">
        <v>2.3400000000000001E-2</v>
      </c>
      <c r="J4059" s="3">
        <v>1.1000000000000001E-3</v>
      </c>
      <c r="K4059" s="3">
        <v>1.8E-3</v>
      </c>
      <c r="L4059" s="3">
        <v>2.1899999999999999E-2</v>
      </c>
      <c r="M4059" s="3">
        <v>1.6000000000000001E-3</v>
      </c>
      <c r="O4059">
        <v>306</v>
      </c>
      <c r="P4059">
        <v>322</v>
      </c>
      <c r="Q4059">
        <v>2677</v>
      </c>
    </row>
    <row r="4060" spans="1:17">
      <c r="A4060" t="s">
        <v>194</v>
      </c>
      <c r="B4060" t="s">
        <v>195</v>
      </c>
      <c r="C4060" t="s">
        <v>207</v>
      </c>
      <c r="D4060" t="s">
        <v>1020</v>
      </c>
      <c r="E4060" s="3">
        <v>0.69289999999999996</v>
      </c>
      <c r="F4060" s="3">
        <v>0.2198</v>
      </c>
      <c r="G4060" s="3">
        <v>0.81499999999999995</v>
      </c>
      <c r="H4060" s="3">
        <v>0.67330000000000001</v>
      </c>
      <c r="I4060" s="3">
        <v>0.63639999999999997</v>
      </c>
      <c r="J4060" s="3">
        <v>0.45300000000000001</v>
      </c>
      <c r="K4060" s="3">
        <v>0.71189999999999998</v>
      </c>
      <c r="L4060" s="3">
        <v>0.65310000000000001</v>
      </c>
      <c r="M4060" s="3">
        <v>0.83160000000000001</v>
      </c>
      <c r="N4060" s="3">
        <v>0.95979999999999999</v>
      </c>
      <c r="O4060">
        <v>306</v>
      </c>
      <c r="P4060">
        <v>322</v>
      </c>
      <c r="Q4060">
        <v>2677</v>
      </c>
    </row>
    <row r="4061" spans="1:17">
      <c r="A4061" t="s">
        <v>194</v>
      </c>
      <c r="B4061" t="s">
        <v>195</v>
      </c>
      <c r="C4061" t="s">
        <v>207</v>
      </c>
      <c r="D4061" t="s">
        <v>1021</v>
      </c>
      <c r="E4061" s="3">
        <v>0.22509999999999999</v>
      </c>
      <c r="F4061" s="3">
        <v>0.25900000000000001</v>
      </c>
      <c r="G4061" s="3">
        <v>2.1499999999999998E-2</v>
      </c>
      <c r="H4061" s="3">
        <v>0.154</v>
      </c>
      <c r="I4061" s="3">
        <v>0.315</v>
      </c>
      <c r="J4061" s="3">
        <v>1.15E-2</v>
      </c>
      <c r="K4061" s="3">
        <v>0.21609999999999999</v>
      </c>
      <c r="L4061" s="3">
        <v>0.3201</v>
      </c>
      <c r="M4061" s="3">
        <v>0.1103</v>
      </c>
      <c r="N4061" s="3">
        <v>2.7799999999999998E-2</v>
      </c>
      <c r="O4061">
        <v>306</v>
      </c>
      <c r="P4061">
        <v>322</v>
      </c>
      <c r="Q4061">
        <v>2677</v>
      </c>
    </row>
    <row r="4062" spans="1:17">
      <c r="A4062" t="s">
        <v>194</v>
      </c>
      <c r="B4062" t="s">
        <v>195</v>
      </c>
      <c r="C4062" t="s">
        <v>207</v>
      </c>
      <c r="D4062" t="s">
        <v>227</v>
      </c>
      <c r="E4062" s="3">
        <v>6.0999999999999999E-2</v>
      </c>
      <c r="F4062" s="3">
        <v>0.44240000000000002</v>
      </c>
      <c r="G4062" s="3">
        <v>0.14599999999999999</v>
      </c>
      <c r="H4062" s="3">
        <v>0.16339999999999999</v>
      </c>
      <c r="I4062" s="3">
        <v>2.5100000000000001E-2</v>
      </c>
      <c r="J4062" s="3">
        <v>0.53439999999999999</v>
      </c>
      <c r="K4062" s="3">
        <v>7.0199999999999999E-2</v>
      </c>
      <c r="L4062" s="3">
        <v>4.7999999999999996E-3</v>
      </c>
      <c r="M4062" s="3">
        <v>5.6399999999999999E-2</v>
      </c>
      <c r="N4062" s="3">
        <v>1.23E-2</v>
      </c>
      <c r="O4062">
        <v>306</v>
      </c>
      <c r="P4062">
        <v>322</v>
      </c>
      <c r="Q4062">
        <v>2677</v>
      </c>
    </row>
    <row r="4063" spans="1:17">
      <c r="A4063" t="s">
        <v>194</v>
      </c>
      <c r="B4063" t="s">
        <v>195</v>
      </c>
      <c r="C4063" t="s">
        <v>209</v>
      </c>
      <c r="D4063" t="s">
        <v>1019</v>
      </c>
      <c r="E4063" s="3">
        <v>1.4800000000000001E-2</v>
      </c>
      <c r="F4063" s="3">
        <v>0.12909999999999999</v>
      </c>
      <c r="G4063" s="3">
        <v>5.0000000000000001E-3</v>
      </c>
      <c r="H4063" s="3">
        <v>6.4000000000000003E-3</v>
      </c>
      <c r="I4063" s="3">
        <v>9.7999999999999997E-3</v>
      </c>
      <c r="J4063" s="3">
        <v>2.8E-3</v>
      </c>
      <c r="K4063" s="3">
        <v>1.4E-3</v>
      </c>
      <c r="L4063" s="3">
        <v>5.8999999999999999E-3</v>
      </c>
      <c r="M4063" s="3">
        <v>1.4E-3</v>
      </c>
      <c r="O4063">
        <v>883</v>
      </c>
      <c r="P4063">
        <v>867</v>
      </c>
      <c r="Q4063">
        <v>2677</v>
      </c>
    </row>
    <row r="4064" spans="1:17">
      <c r="A4064" t="s">
        <v>194</v>
      </c>
      <c r="B4064" t="s">
        <v>195</v>
      </c>
      <c r="C4064" t="s">
        <v>209</v>
      </c>
      <c r="D4064" t="s">
        <v>1020</v>
      </c>
      <c r="E4064" s="3">
        <v>0.76470000000000005</v>
      </c>
      <c r="F4064" s="3">
        <v>0.36649999999999999</v>
      </c>
      <c r="G4064" s="3">
        <v>0.87</v>
      </c>
      <c r="H4064" s="3">
        <v>0.65010000000000001</v>
      </c>
      <c r="I4064" s="3">
        <v>0.72089999999999999</v>
      </c>
      <c r="J4064" s="3">
        <v>0.69750000000000001</v>
      </c>
      <c r="K4064" s="3">
        <v>0.78920000000000001</v>
      </c>
      <c r="L4064" s="3">
        <v>0.67949999999999999</v>
      </c>
      <c r="M4064" s="3">
        <v>0.89539999999999997</v>
      </c>
      <c r="N4064" s="3">
        <v>0.9667</v>
      </c>
      <c r="O4064">
        <v>883</v>
      </c>
      <c r="P4064">
        <v>867</v>
      </c>
      <c r="Q4064">
        <v>2677</v>
      </c>
    </row>
    <row r="4065" spans="1:17">
      <c r="A4065" t="s">
        <v>194</v>
      </c>
      <c r="B4065" t="s">
        <v>195</v>
      </c>
      <c r="C4065" t="s">
        <v>209</v>
      </c>
      <c r="D4065" t="s">
        <v>1021</v>
      </c>
      <c r="E4065" s="3">
        <v>0.17299999999999999</v>
      </c>
      <c r="F4065" s="3">
        <v>0.1041</v>
      </c>
      <c r="G4065" s="3">
        <v>1.35E-2</v>
      </c>
      <c r="H4065" s="3">
        <v>7.5800000000000006E-2</v>
      </c>
      <c r="I4065" s="3">
        <v>0.24779999999999999</v>
      </c>
      <c r="J4065" s="3">
        <v>2.01E-2</v>
      </c>
      <c r="K4065" s="3">
        <v>0.15049999999999999</v>
      </c>
      <c r="L4065" s="3">
        <v>0.31259999999999999</v>
      </c>
      <c r="M4065" s="3">
        <v>5.6800000000000003E-2</v>
      </c>
      <c r="N4065" s="3">
        <v>1.9900000000000001E-2</v>
      </c>
      <c r="O4065">
        <v>883</v>
      </c>
      <c r="P4065">
        <v>867</v>
      </c>
      <c r="Q4065">
        <v>2677</v>
      </c>
    </row>
    <row r="4066" spans="1:17">
      <c r="A4066" t="s">
        <v>194</v>
      </c>
      <c r="B4066" t="s">
        <v>195</v>
      </c>
      <c r="C4066" t="s">
        <v>209</v>
      </c>
      <c r="D4066" t="s">
        <v>227</v>
      </c>
      <c r="E4066" s="3">
        <v>4.7399999999999998E-2</v>
      </c>
      <c r="F4066" s="3">
        <v>0.40029999999999999</v>
      </c>
      <c r="G4066" s="3">
        <v>0.1115</v>
      </c>
      <c r="H4066" s="3">
        <v>0.26769999999999999</v>
      </c>
      <c r="I4066" s="3">
        <v>2.1399999999999999E-2</v>
      </c>
      <c r="J4066" s="3">
        <v>0.27960000000000002</v>
      </c>
      <c r="K4066" s="3">
        <v>5.8900000000000001E-2</v>
      </c>
      <c r="L4066" s="3">
        <v>2E-3</v>
      </c>
      <c r="M4066" s="3">
        <v>4.6399999999999997E-2</v>
      </c>
      <c r="N4066" s="3">
        <v>1.3299999999999999E-2</v>
      </c>
      <c r="O4066">
        <v>883</v>
      </c>
      <c r="P4066">
        <v>867</v>
      </c>
      <c r="Q4066">
        <v>2677</v>
      </c>
    </row>
    <row r="4067" spans="1:17">
      <c r="A4067" t="s">
        <v>194</v>
      </c>
      <c r="B4067" t="s">
        <v>199</v>
      </c>
      <c r="C4067" t="s">
        <v>207</v>
      </c>
      <c r="D4067" t="s">
        <v>1019</v>
      </c>
      <c r="E4067" s="3">
        <v>1.8800000000000001E-2</v>
      </c>
      <c r="F4067" s="3">
        <v>3.3399999999999999E-2</v>
      </c>
      <c r="G4067" s="3">
        <v>9.7999999999999997E-3</v>
      </c>
      <c r="H4067" s="3">
        <v>1.18E-2</v>
      </c>
      <c r="I4067" s="3">
        <v>7.9000000000000008E-3</v>
      </c>
      <c r="J4067" s="3">
        <v>7.6100000000000001E-2</v>
      </c>
      <c r="K4067" s="3">
        <v>7.6E-3</v>
      </c>
      <c r="L4067" s="3">
        <v>1E-3</v>
      </c>
      <c r="M4067" s="3">
        <v>1.1000000000000001E-3</v>
      </c>
      <c r="N4067" s="3">
        <v>1.8E-3</v>
      </c>
      <c r="O4067">
        <v>181</v>
      </c>
      <c r="P4067">
        <v>283</v>
      </c>
      <c r="Q4067">
        <v>2677</v>
      </c>
    </row>
    <row r="4068" spans="1:17">
      <c r="A4068" t="s">
        <v>194</v>
      </c>
      <c r="B4068" t="s">
        <v>199</v>
      </c>
      <c r="C4068" t="s">
        <v>207</v>
      </c>
      <c r="D4068" t="s">
        <v>1020</v>
      </c>
      <c r="E4068" s="3">
        <v>0.84599999999999997</v>
      </c>
      <c r="F4068" s="3">
        <v>0.38819999999999999</v>
      </c>
      <c r="G4068" s="3">
        <v>0.84219999999999995</v>
      </c>
      <c r="H4068" s="3">
        <v>0.55530000000000002</v>
      </c>
      <c r="I4068" s="3">
        <v>0.77290000000000003</v>
      </c>
      <c r="J4068" s="3">
        <v>0.48770000000000002</v>
      </c>
      <c r="K4068" s="3">
        <v>0.72430000000000005</v>
      </c>
      <c r="L4068" s="3">
        <v>0.84519999999999995</v>
      </c>
      <c r="M4068" s="3">
        <v>0.92110000000000003</v>
      </c>
      <c r="N4068" s="3">
        <v>0.97209999999999996</v>
      </c>
      <c r="O4068">
        <v>181</v>
      </c>
      <c r="P4068">
        <v>283</v>
      </c>
      <c r="Q4068">
        <v>2677</v>
      </c>
    </row>
    <row r="4069" spans="1:17">
      <c r="A4069" t="s">
        <v>194</v>
      </c>
      <c r="B4069" t="s">
        <v>199</v>
      </c>
      <c r="C4069" t="s">
        <v>207</v>
      </c>
      <c r="D4069" t="s">
        <v>1021</v>
      </c>
      <c r="E4069" s="3">
        <v>7.2900000000000006E-2</v>
      </c>
      <c r="F4069" s="3">
        <v>0.1792</v>
      </c>
      <c r="G4069" s="3">
        <v>1.2800000000000001E-2</v>
      </c>
      <c r="H4069" s="3">
        <v>0.15559999999999999</v>
      </c>
      <c r="I4069" s="3">
        <v>0.16309999999999999</v>
      </c>
      <c r="J4069" s="3">
        <v>5.4000000000000003E-3</v>
      </c>
      <c r="K4069" s="3">
        <v>0.2039</v>
      </c>
      <c r="L4069" s="3">
        <v>0.1346</v>
      </c>
      <c r="M4069" s="3">
        <v>1.9400000000000001E-2</v>
      </c>
      <c r="N4069" s="3">
        <v>1.7899999999999999E-2</v>
      </c>
      <c r="O4069">
        <v>181</v>
      </c>
      <c r="P4069">
        <v>283</v>
      </c>
      <c r="Q4069">
        <v>2677</v>
      </c>
    </row>
    <row r="4070" spans="1:17">
      <c r="A4070" t="s">
        <v>194</v>
      </c>
      <c r="B4070" t="s">
        <v>199</v>
      </c>
      <c r="C4070" t="s">
        <v>207</v>
      </c>
      <c r="D4070" t="s">
        <v>227</v>
      </c>
      <c r="E4070" s="3">
        <v>6.2300000000000001E-2</v>
      </c>
      <c r="F4070" s="3">
        <v>0.3992</v>
      </c>
      <c r="G4070" s="3">
        <v>0.1353</v>
      </c>
      <c r="H4070" s="3">
        <v>0.27729999999999999</v>
      </c>
      <c r="I4070" s="3">
        <v>5.6000000000000001E-2</v>
      </c>
      <c r="J4070" s="3">
        <v>0.43080000000000002</v>
      </c>
      <c r="K4070" s="3">
        <v>6.4199999999999993E-2</v>
      </c>
      <c r="L4070" s="3">
        <v>1.9300000000000001E-2</v>
      </c>
      <c r="M4070" s="3">
        <v>5.8400000000000001E-2</v>
      </c>
      <c r="N4070" s="3">
        <v>8.2000000000000007E-3</v>
      </c>
      <c r="O4070">
        <v>181</v>
      </c>
      <c r="P4070">
        <v>283</v>
      </c>
      <c r="Q4070">
        <v>2677</v>
      </c>
    </row>
    <row r="4071" spans="1:17">
      <c r="A4071" t="s">
        <v>194</v>
      </c>
      <c r="B4071" t="s">
        <v>199</v>
      </c>
      <c r="C4071" t="s">
        <v>209</v>
      </c>
      <c r="D4071" t="s">
        <v>1019</v>
      </c>
      <c r="E4071" s="3">
        <v>4.4000000000000003E-3</v>
      </c>
      <c r="F4071" s="3">
        <v>3.1E-2</v>
      </c>
      <c r="G4071" s="3">
        <v>2.9999999999999997E-4</v>
      </c>
      <c r="H4071" s="3">
        <v>7.7000000000000002E-3</v>
      </c>
      <c r="I4071" s="3">
        <v>6.1999999999999998E-3</v>
      </c>
      <c r="J4071" s="3">
        <v>2E-3</v>
      </c>
      <c r="K4071" s="3">
        <v>2.9999999999999997E-4</v>
      </c>
      <c r="L4071" s="3">
        <v>3.3E-3</v>
      </c>
      <c r="M4071" s="3">
        <v>5.9999999999999995E-4</v>
      </c>
      <c r="N4071" s="3">
        <v>4.0000000000000002E-4</v>
      </c>
      <c r="O4071">
        <v>1307</v>
      </c>
      <c r="P4071">
        <v>1205</v>
      </c>
      <c r="Q4071">
        <v>2677</v>
      </c>
    </row>
    <row r="4072" spans="1:17">
      <c r="A4072" t="s">
        <v>194</v>
      </c>
      <c r="B4072" t="s">
        <v>199</v>
      </c>
      <c r="C4072" t="s">
        <v>209</v>
      </c>
      <c r="D4072" t="s">
        <v>1020</v>
      </c>
      <c r="E4072" s="3">
        <v>0.94479999999999997</v>
      </c>
      <c r="F4072" s="3">
        <v>0.65</v>
      </c>
      <c r="G4072" s="3">
        <v>0.95120000000000005</v>
      </c>
      <c r="H4072" s="3">
        <v>0.78029999999999999</v>
      </c>
      <c r="I4072" s="3">
        <v>0.86329999999999996</v>
      </c>
      <c r="J4072" s="3">
        <v>0.86529999999999996</v>
      </c>
      <c r="K4072" s="3">
        <v>0.80400000000000005</v>
      </c>
      <c r="L4072" s="3">
        <v>0.89290000000000003</v>
      </c>
      <c r="M4072" s="3">
        <v>0.94889999999999997</v>
      </c>
      <c r="N4072" s="3">
        <v>0.96440000000000003</v>
      </c>
      <c r="O4072">
        <v>1307</v>
      </c>
      <c r="P4072">
        <v>1205</v>
      </c>
      <c r="Q4072">
        <v>2677</v>
      </c>
    </row>
    <row r="4073" spans="1:17">
      <c r="A4073" t="s">
        <v>194</v>
      </c>
      <c r="B4073" t="s">
        <v>199</v>
      </c>
      <c r="C4073" t="s">
        <v>209</v>
      </c>
      <c r="D4073" t="s">
        <v>1021</v>
      </c>
      <c r="E4073" s="3">
        <v>2.8500000000000001E-2</v>
      </c>
      <c r="F4073" s="3">
        <v>7.4700000000000003E-2</v>
      </c>
      <c r="G4073" s="3">
        <v>1.3100000000000001E-2</v>
      </c>
      <c r="H4073" s="3">
        <v>5.9499999999999997E-2</v>
      </c>
      <c r="I4073" s="3">
        <v>0.112</v>
      </c>
      <c r="J4073" s="3">
        <v>2.3E-2</v>
      </c>
      <c r="K4073" s="3">
        <v>0.18010000000000001</v>
      </c>
      <c r="L4073" s="3">
        <v>9.3100000000000002E-2</v>
      </c>
      <c r="M4073" s="3">
        <v>3.4500000000000003E-2</v>
      </c>
      <c r="N4073" s="3">
        <v>2.9600000000000001E-2</v>
      </c>
      <c r="O4073">
        <v>1307</v>
      </c>
      <c r="P4073">
        <v>1205</v>
      </c>
      <c r="Q4073">
        <v>2677</v>
      </c>
    </row>
    <row r="4074" spans="1:17">
      <c r="A4074" t="s">
        <v>194</v>
      </c>
      <c r="B4074" t="s">
        <v>199</v>
      </c>
      <c r="C4074" t="s">
        <v>209</v>
      </c>
      <c r="D4074" t="s">
        <v>227</v>
      </c>
      <c r="E4074" s="3">
        <v>2.24E-2</v>
      </c>
      <c r="F4074" s="3">
        <v>0.24429999999999999</v>
      </c>
      <c r="G4074" s="3">
        <v>3.5400000000000001E-2</v>
      </c>
      <c r="H4074" s="3">
        <v>0.1525</v>
      </c>
      <c r="I4074" s="3">
        <v>1.84E-2</v>
      </c>
      <c r="J4074" s="3">
        <v>0.10970000000000001</v>
      </c>
      <c r="K4074" s="3">
        <v>1.5699999999999999E-2</v>
      </c>
      <c r="L4074" s="3">
        <v>1.0699999999999999E-2</v>
      </c>
      <c r="M4074" s="3">
        <v>1.61E-2</v>
      </c>
      <c r="N4074" s="3">
        <v>5.5999999999999999E-3</v>
      </c>
      <c r="O4074">
        <v>1307</v>
      </c>
      <c r="P4074">
        <v>1205</v>
      </c>
      <c r="Q4074">
        <v>2677</v>
      </c>
    </row>
    <row r="4075" spans="1:17">
      <c r="A4075" t="s">
        <v>200</v>
      </c>
      <c r="B4075" t="s">
        <v>200</v>
      </c>
      <c r="C4075" t="s">
        <v>200</v>
      </c>
      <c r="D4075" t="s">
        <v>1019</v>
      </c>
      <c r="E4075" s="3">
        <v>1.0699999999999999E-2</v>
      </c>
      <c r="F4075" s="3">
        <v>6.9000000000000006E-2</v>
      </c>
      <c r="G4075" s="3">
        <v>4.4999999999999997E-3</v>
      </c>
      <c r="H4075" s="3">
        <v>7.7000000000000002E-3</v>
      </c>
      <c r="I4075" s="3">
        <v>9.4999999999999998E-3</v>
      </c>
      <c r="J4075" s="3">
        <v>7.1999999999999998E-3</v>
      </c>
      <c r="K4075" s="3">
        <v>1.2999999999999999E-3</v>
      </c>
      <c r="L4075" s="3">
        <v>6.1000000000000004E-3</v>
      </c>
      <c r="M4075" s="3">
        <v>1E-3</v>
      </c>
      <c r="N4075" s="3">
        <v>2.9999999999999997E-4</v>
      </c>
      <c r="O4075">
        <v>2677</v>
      </c>
      <c r="P4075">
        <v>2677</v>
      </c>
      <c r="Q4075">
        <v>2677</v>
      </c>
    </row>
    <row r="4076" spans="1:17">
      <c r="A4076" t="s">
        <v>200</v>
      </c>
      <c r="B4076" t="s">
        <v>200</v>
      </c>
      <c r="C4076" t="s">
        <v>200</v>
      </c>
      <c r="D4076" t="s">
        <v>1020</v>
      </c>
      <c r="E4076" s="3">
        <v>0.84989999999999999</v>
      </c>
      <c r="F4076" s="3">
        <v>0.48959999999999998</v>
      </c>
      <c r="G4076" s="3">
        <v>0.90149999999999997</v>
      </c>
      <c r="H4076" s="3">
        <v>0.71079999999999999</v>
      </c>
      <c r="I4076" s="3">
        <v>0.7843</v>
      </c>
      <c r="J4076" s="3">
        <v>0.73729999999999996</v>
      </c>
      <c r="K4076" s="3">
        <v>0.78320000000000001</v>
      </c>
      <c r="L4076" s="3">
        <v>0.79190000000000005</v>
      </c>
      <c r="M4076" s="3">
        <v>0.91600000000000004</v>
      </c>
      <c r="N4076" s="3">
        <v>0.96519999999999995</v>
      </c>
      <c r="O4076">
        <v>2677</v>
      </c>
      <c r="P4076">
        <v>2677</v>
      </c>
      <c r="Q4076">
        <v>2677</v>
      </c>
    </row>
    <row r="4077" spans="1:17">
      <c r="A4077" t="s">
        <v>200</v>
      </c>
      <c r="B4077" t="s">
        <v>200</v>
      </c>
      <c r="C4077" t="s">
        <v>200</v>
      </c>
      <c r="D4077" t="s">
        <v>1021</v>
      </c>
      <c r="E4077" s="3">
        <v>0.1017</v>
      </c>
      <c r="F4077" s="3">
        <v>0.1125</v>
      </c>
      <c r="G4077" s="3">
        <v>1.41E-2</v>
      </c>
      <c r="H4077" s="3">
        <v>8.1900000000000001E-2</v>
      </c>
      <c r="I4077" s="3">
        <v>0.1835</v>
      </c>
      <c r="J4077" s="3">
        <v>1.95E-2</v>
      </c>
      <c r="K4077" s="3">
        <v>0.17599999999999999</v>
      </c>
      <c r="L4077" s="3">
        <v>0.1943</v>
      </c>
      <c r="M4077" s="3">
        <v>4.9500000000000002E-2</v>
      </c>
      <c r="N4077" s="3">
        <v>2.5399999999999999E-2</v>
      </c>
      <c r="O4077">
        <v>2677</v>
      </c>
      <c r="P4077">
        <v>2677</v>
      </c>
      <c r="Q4077">
        <v>2677</v>
      </c>
    </row>
    <row r="4078" spans="1:17">
      <c r="A4078" t="s">
        <v>200</v>
      </c>
      <c r="B4078" t="s">
        <v>200</v>
      </c>
      <c r="C4078" t="s">
        <v>200</v>
      </c>
      <c r="D4078" t="s">
        <v>227</v>
      </c>
      <c r="E4078" s="3">
        <v>3.7699999999999997E-2</v>
      </c>
      <c r="F4078" s="3">
        <v>0.32890000000000003</v>
      </c>
      <c r="G4078" s="3">
        <v>7.9899999999999999E-2</v>
      </c>
      <c r="H4078" s="3">
        <v>0.19950000000000001</v>
      </c>
      <c r="I4078" s="3">
        <v>2.2700000000000001E-2</v>
      </c>
      <c r="J4078" s="3">
        <v>0.23599999999999999</v>
      </c>
      <c r="K4078" s="3">
        <v>3.9399999999999998E-2</v>
      </c>
      <c r="L4078" s="3">
        <v>7.7000000000000002E-3</v>
      </c>
      <c r="M4078" s="3">
        <v>3.3599999999999998E-2</v>
      </c>
      <c r="N4078" s="3">
        <v>9.1000000000000004E-3</v>
      </c>
      <c r="O4078">
        <v>2677</v>
      </c>
      <c r="P4078">
        <v>2677</v>
      </c>
      <c r="Q4078">
        <v>2677</v>
      </c>
    </row>
    <row r="4080" spans="1:17" ht="45">
      <c r="A4080" s="22" t="s">
        <v>1024</v>
      </c>
    </row>
    <row r="4081" spans="1:17">
      <c r="A4081" t="s">
        <v>184</v>
      </c>
      <c r="B4081" t="s">
        <v>185</v>
      </c>
      <c r="C4081" t="s">
        <v>1007</v>
      </c>
      <c r="D4081" t="s">
        <v>1008</v>
      </c>
      <c r="E4081" t="s">
        <v>1009</v>
      </c>
      <c r="F4081" t="s">
        <v>1010</v>
      </c>
      <c r="G4081" t="s">
        <v>1011</v>
      </c>
      <c r="H4081" t="s">
        <v>1012</v>
      </c>
      <c r="I4081" t="s">
        <v>1013</v>
      </c>
      <c r="J4081" t="s">
        <v>1014</v>
      </c>
      <c r="K4081" t="s">
        <v>1015</v>
      </c>
      <c r="L4081" t="s">
        <v>1016</v>
      </c>
      <c r="M4081" t="s">
        <v>1017</v>
      </c>
      <c r="N4081" t="s">
        <v>1018</v>
      </c>
      <c r="O4081" t="s">
        <v>192</v>
      </c>
      <c r="P4081" t="s">
        <v>193</v>
      </c>
    </row>
    <row r="4082" spans="1:17">
      <c r="A4082" t="s">
        <v>194</v>
      </c>
      <c r="B4082" t="s">
        <v>195</v>
      </c>
      <c r="C4082" t="s">
        <v>1019</v>
      </c>
      <c r="D4082" s="3">
        <v>1.6400000000000001E-2</v>
      </c>
      <c r="E4082" s="3">
        <v>0.1162</v>
      </c>
      <c r="F4082" s="3">
        <v>8.2000000000000007E-3</v>
      </c>
      <c r="G4082" s="3">
        <v>7.1000000000000004E-3</v>
      </c>
      <c r="H4082" s="3">
        <v>1.3299999999999999E-2</v>
      </c>
      <c r="I4082" s="3">
        <v>2.3999999999999998E-3</v>
      </c>
      <c r="J4082" s="3">
        <v>1.5E-3</v>
      </c>
      <c r="K4082" s="3">
        <v>0.01</v>
      </c>
      <c r="L4082" s="3">
        <v>1.5E-3</v>
      </c>
      <c r="N4082">
        <v>1189</v>
      </c>
      <c r="O4082">
        <v>1189</v>
      </c>
      <c r="P4082">
        <v>2677</v>
      </c>
    </row>
    <row r="4083" spans="1:17">
      <c r="A4083" t="s">
        <v>194</v>
      </c>
      <c r="B4083" t="s">
        <v>195</v>
      </c>
      <c r="C4083" t="s">
        <v>1020</v>
      </c>
      <c r="D4083" s="3">
        <v>0.74619999999999997</v>
      </c>
      <c r="E4083" s="3">
        <v>0.32879999999999998</v>
      </c>
      <c r="F4083" s="3">
        <v>0.85589999999999999</v>
      </c>
      <c r="G4083" s="3">
        <v>0.65610000000000002</v>
      </c>
      <c r="H4083" s="3">
        <v>0.69920000000000004</v>
      </c>
      <c r="I4083" s="3">
        <v>0.63470000000000004</v>
      </c>
      <c r="J4083" s="3">
        <v>0.76939999999999997</v>
      </c>
      <c r="K4083" s="3">
        <v>0.67279999999999995</v>
      </c>
      <c r="L4083" s="3">
        <v>0.879</v>
      </c>
      <c r="M4083" s="3">
        <v>0.96499999999999997</v>
      </c>
      <c r="N4083">
        <v>1189</v>
      </c>
      <c r="O4083">
        <v>1189</v>
      </c>
      <c r="P4083">
        <v>2677</v>
      </c>
    </row>
    <row r="4084" spans="1:17">
      <c r="A4084" t="s">
        <v>194</v>
      </c>
      <c r="B4084" t="s">
        <v>195</v>
      </c>
      <c r="C4084" t="s">
        <v>1021</v>
      </c>
      <c r="D4084" s="3">
        <v>0.18640000000000001</v>
      </c>
      <c r="E4084" s="3">
        <v>0.1439</v>
      </c>
      <c r="F4084" s="3">
        <v>1.55E-2</v>
      </c>
      <c r="G4084" s="3">
        <v>9.6000000000000002E-2</v>
      </c>
      <c r="H4084" s="3">
        <v>0.2651</v>
      </c>
      <c r="I4084" s="3">
        <v>1.7899999999999999E-2</v>
      </c>
      <c r="J4084" s="3">
        <v>0.16739999999999999</v>
      </c>
      <c r="K4084" s="3">
        <v>0.3145</v>
      </c>
      <c r="L4084" s="3">
        <v>7.0499999999999993E-2</v>
      </c>
      <c r="M4084" s="3">
        <v>2.1999999999999999E-2</v>
      </c>
      <c r="N4084">
        <v>1189</v>
      </c>
      <c r="O4084">
        <v>1189</v>
      </c>
      <c r="P4084">
        <v>2677</v>
      </c>
    </row>
    <row r="4085" spans="1:17">
      <c r="A4085" t="s">
        <v>194</v>
      </c>
      <c r="B4085" t="s">
        <v>195</v>
      </c>
      <c r="C4085" t="s">
        <v>227</v>
      </c>
      <c r="D4085" s="3">
        <v>5.0900000000000001E-2</v>
      </c>
      <c r="E4085" s="3">
        <v>0.41110000000000002</v>
      </c>
      <c r="F4085" s="3">
        <v>0.12039999999999999</v>
      </c>
      <c r="G4085" s="3">
        <v>0.2407</v>
      </c>
      <c r="H4085" s="3">
        <v>2.24E-2</v>
      </c>
      <c r="I4085" s="3">
        <v>0.34510000000000002</v>
      </c>
      <c r="J4085" s="3">
        <v>6.1800000000000001E-2</v>
      </c>
      <c r="K4085" s="3">
        <v>2.7000000000000001E-3</v>
      </c>
      <c r="L4085" s="3">
        <v>4.9000000000000002E-2</v>
      </c>
      <c r="M4085" s="3">
        <v>1.3100000000000001E-2</v>
      </c>
      <c r="N4085">
        <v>1189</v>
      </c>
      <c r="O4085">
        <v>1189</v>
      </c>
      <c r="P4085">
        <v>2677</v>
      </c>
    </row>
    <row r="4086" spans="1:17">
      <c r="A4086" t="s">
        <v>194</v>
      </c>
      <c r="B4086" t="s">
        <v>199</v>
      </c>
      <c r="C4086" t="s">
        <v>1019</v>
      </c>
      <c r="D4086" s="3">
        <v>6.1000000000000004E-3</v>
      </c>
      <c r="E4086" s="3">
        <v>3.1300000000000001E-2</v>
      </c>
      <c r="F4086" s="3">
        <v>1.5E-3</v>
      </c>
      <c r="G4086" s="3">
        <v>8.2000000000000007E-3</v>
      </c>
      <c r="H4086" s="3">
        <v>6.4000000000000003E-3</v>
      </c>
      <c r="I4086" s="3">
        <v>1.0999999999999999E-2</v>
      </c>
      <c r="J4086" s="3">
        <v>1.1999999999999999E-3</v>
      </c>
      <c r="K4086" s="3">
        <v>3.0000000000000001E-3</v>
      </c>
      <c r="L4086" s="3">
        <v>6.9999999999999999E-4</v>
      </c>
      <c r="M4086" s="3">
        <v>5.9999999999999995E-4</v>
      </c>
      <c r="N4086">
        <v>1488</v>
      </c>
      <c r="O4086">
        <v>1488</v>
      </c>
      <c r="P4086">
        <v>2677</v>
      </c>
    </row>
    <row r="4087" spans="1:17">
      <c r="A4087" t="s">
        <v>194</v>
      </c>
      <c r="B4087" t="s">
        <v>199</v>
      </c>
      <c r="C4087" t="s">
        <v>1020</v>
      </c>
      <c r="D4087" s="3">
        <v>0.93279999999999996</v>
      </c>
      <c r="E4087" s="3">
        <v>0.61809999999999998</v>
      </c>
      <c r="F4087" s="3">
        <v>0.93789999999999996</v>
      </c>
      <c r="G4087" s="3">
        <v>0.75370000000000004</v>
      </c>
      <c r="H4087" s="3">
        <v>0.85229999999999995</v>
      </c>
      <c r="I4087" s="3">
        <v>0.81930000000000003</v>
      </c>
      <c r="J4087" s="3">
        <v>0.79430000000000001</v>
      </c>
      <c r="K4087" s="3">
        <v>0.8871</v>
      </c>
      <c r="L4087" s="3">
        <v>0.94550000000000001</v>
      </c>
      <c r="M4087" s="3">
        <v>0.96530000000000005</v>
      </c>
      <c r="N4087">
        <v>1488</v>
      </c>
      <c r="O4087">
        <v>1488</v>
      </c>
      <c r="P4087">
        <v>2677</v>
      </c>
    </row>
    <row r="4088" spans="1:17">
      <c r="A4088" t="s">
        <v>194</v>
      </c>
      <c r="B4088" t="s">
        <v>199</v>
      </c>
      <c r="C4088" t="s">
        <v>1021</v>
      </c>
      <c r="D4088" s="3">
        <v>3.39E-2</v>
      </c>
      <c r="E4088" s="3">
        <v>8.7400000000000005E-2</v>
      </c>
      <c r="F4088" s="3">
        <v>1.2999999999999999E-2</v>
      </c>
      <c r="G4088" s="3">
        <v>7.0900000000000005E-2</v>
      </c>
      <c r="H4088" s="3">
        <v>0.1182</v>
      </c>
      <c r="I4088" s="3">
        <v>2.0799999999999999E-2</v>
      </c>
      <c r="J4088" s="3">
        <v>0.183</v>
      </c>
      <c r="K4088" s="3">
        <v>9.8100000000000007E-2</v>
      </c>
      <c r="L4088" s="3">
        <v>3.2599999999999997E-2</v>
      </c>
      <c r="M4088" s="3">
        <v>2.8199999999999999E-2</v>
      </c>
      <c r="N4088">
        <v>1488</v>
      </c>
      <c r="O4088">
        <v>1488</v>
      </c>
      <c r="P4088">
        <v>2677</v>
      </c>
    </row>
    <row r="4089" spans="1:17">
      <c r="A4089" t="s">
        <v>194</v>
      </c>
      <c r="B4089" t="s">
        <v>199</v>
      </c>
      <c r="C4089" t="s">
        <v>227</v>
      </c>
      <c r="D4089" s="3">
        <v>2.7199999999999998E-2</v>
      </c>
      <c r="E4089" s="3">
        <v>0.2631</v>
      </c>
      <c r="F4089" s="3">
        <v>4.7600000000000003E-2</v>
      </c>
      <c r="G4089" s="3">
        <v>0.16719999999999999</v>
      </c>
      <c r="H4089" s="3">
        <v>2.3E-2</v>
      </c>
      <c r="I4089" s="3">
        <v>0.14879999999999999</v>
      </c>
      <c r="J4089" s="3">
        <v>2.1600000000000001E-2</v>
      </c>
      <c r="K4089" s="3">
        <v>1.18E-2</v>
      </c>
      <c r="L4089" s="3">
        <v>2.12E-2</v>
      </c>
      <c r="M4089" s="3">
        <v>5.8999999999999999E-3</v>
      </c>
      <c r="N4089">
        <v>1488</v>
      </c>
      <c r="O4089">
        <v>1488</v>
      </c>
      <c r="P4089">
        <v>2677</v>
      </c>
    </row>
    <row r="4090" spans="1:17">
      <c r="A4090" t="s">
        <v>200</v>
      </c>
      <c r="B4090" t="s">
        <v>200</v>
      </c>
      <c r="C4090" t="s">
        <v>1019</v>
      </c>
      <c r="D4090" s="3">
        <v>1.0699999999999999E-2</v>
      </c>
      <c r="E4090" s="3">
        <v>6.9000000000000006E-2</v>
      </c>
      <c r="F4090" s="3">
        <v>4.4999999999999997E-3</v>
      </c>
      <c r="G4090" s="3">
        <v>7.7000000000000002E-3</v>
      </c>
      <c r="H4090" s="3">
        <v>9.4999999999999998E-3</v>
      </c>
      <c r="I4090" s="3">
        <v>7.1999999999999998E-3</v>
      </c>
      <c r="J4090" s="3">
        <v>1.2999999999999999E-3</v>
      </c>
      <c r="K4090" s="3">
        <v>6.1000000000000004E-3</v>
      </c>
      <c r="L4090" s="3">
        <v>1E-3</v>
      </c>
      <c r="M4090" s="3">
        <v>2.9999999999999997E-4</v>
      </c>
      <c r="N4090">
        <v>2677</v>
      </c>
      <c r="O4090">
        <v>2677</v>
      </c>
      <c r="P4090">
        <v>2677</v>
      </c>
    </row>
    <row r="4091" spans="1:17">
      <c r="A4091" t="s">
        <v>200</v>
      </c>
      <c r="B4091" t="s">
        <v>200</v>
      </c>
      <c r="C4091" t="s">
        <v>1020</v>
      </c>
      <c r="D4091" s="3">
        <v>0.84989999999999999</v>
      </c>
      <c r="E4091" s="3">
        <v>0.48959999999999998</v>
      </c>
      <c r="F4091" s="3">
        <v>0.90149999999999997</v>
      </c>
      <c r="G4091" s="3">
        <v>0.71079999999999999</v>
      </c>
      <c r="H4091" s="3">
        <v>0.7843</v>
      </c>
      <c r="I4091" s="3">
        <v>0.73729999999999996</v>
      </c>
      <c r="J4091" s="3">
        <v>0.78320000000000001</v>
      </c>
      <c r="K4091" s="3">
        <v>0.79190000000000005</v>
      </c>
      <c r="L4091" s="3">
        <v>0.91600000000000004</v>
      </c>
      <c r="M4091" s="3">
        <v>0.96519999999999995</v>
      </c>
      <c r="N4091">
        <v>2677</v>
      </c>
      <c r="O4091">
        <v>2677</v>
      </c>
      <c r="P4091">
        <v>2677</v>
      </c>
    </row>
    <row r="4092" spans="1:17">
      <c r="A4092" t="s">
        <v>200</v>
      </c>
      <c r="B4092" t="s">
        <v>200</v>
      </c>
      <c r="C4092" t="s">
        <v>1021</v>
      </c>
      <c r="D4092" s="3">
        <v>0.1017</v>
      </c>
      <c r="E4092" s="3">
        <v>0.1125</v>
      </c>
      <c r="F4092" s="3">
        <v>1.41E-2</v>
      </c>
      <c r="G4092" s="3">
        <v>8.1900000000000001E-2</v>
      </c>
      <c r="H4092" s="3">
        <v>0.1835</v>
      </c>
      <c r="I4092" s="3">
        <v>1.95E-2</v>
      </c>
      <c r="J4092" s="3">
        <v>0.17599999999999999</v>
      </c>
      <c r="K4092" s="3">
        <v>0.1943</v>
      </c>
      <c r="L4092" s="3">
        <v>4.9500000000000002E-2</v>
      </c>
      <c r="M4092" s="3">
        <v>2.5399999999999999E-2</v>
      </c>
      <c r="N4092">
        <v>2677</v>
      </c>
      <c r="O4092">
        <v>2677</v>
      </c>
      <c r="P4092">
        <v>2677</v>
      </c>
    </row>
    <row r="4093" spans="1:17">
      <c r="A4093" t="s">
        <v>200</v>
      </c>
      <c r="B4093" t="s">
        <v>200</v>
      </c>
      <c r="C4093" t="s">
        <v>227</v>
      </c>
      <c r="D4093" s="3">
        <v>3.7699999999999997E-2</v>
      </c>
      <c r="E4093" s="3">
        <v>0.32890000000000003</v>
      </c>
      <c r="F4093" s="3">
        <v>7.9899999999999999E-2</v>
      </c>
      <c r="G4093" s="3">
        <v>0.19950000000000001</v>
      </c>
      <c r="H4093" s="3">
        <v>2.2700000000000001E-2</v>
      </c>
      <c r="I4093" s="3">
        <v>0.23599999999999999</v>
      </c>
      <c r="J4093" s="3">
        <v>3.9399999999999998E-2</v>
      </c>
      <c r="K4093" s="3">
        <v>7.7000000000000002E-3</v>
      </c>
      <c r="L4093" s="3">
        <v>3.3599999999999998E-2</v>
      </c>
      <c r="M4093" s="3">
        <v>9.1000000000000004E-3</v>
      </c>
      <c r="N4093">
        <v>2677</v>
      </c>
      <c r="O4093">
        <v>2677</v>
      </c>
      <c r="P4093">
        <v>2677</v>
      </c>
    </row>
    <row r="4095" spans="1:17" ht="45">
      <c r="A4095" s="22" t="s">
        <v>1025</v>
      </c>
    </row>
    <row r="4096" spans="1:17">
      <c r="A4096" t="s">
        <v>184</v>
      </c>
      <c r="B4096" t="s">
        <v>185</v>
      </c>
      <c r="C4096" t="s">
        <v>186</v>
      </c>
      <c r="D4096" t="s">
        <v>1007</v>
      </c>
      <c r="E4096" t="s">
        <v>1008</v>
      </c>
      <c r="F4096" t="s">
        <v>1009</v>
      </c>
      <c r="G4096" t="s">
        <v>1010</v>
      </c>
      <c r="H4096" t="s">
        <v>1011</v>
      </c>
      <c r="I4096" t="s">
        <v>1012</v>
      </c>
      <c r="J4096" t="s">
        <v>1013</v>
      </c>
      <c r="K4096" t="s">
        <v>1014</v>
      </c>
      <c r="L4096" t="s">
        <v>1015</v>
      </c>
      <c r="M4096" t="s">
        <v>1016</v>
      </c>
      <c r="N4096" t="s">
        <v>1017</v>
      </c>
      <c r="O4096" t="s">
        <v>1018</v>
      </c>
      <c r="P4096" t="s">
        <v>192</v>
      </c>
      <c r="Q4096" t="s">
        <v>193</v>
      </c>
    </row>
    <row r="4097" spans="1:17">
      <c r="A4097" t="s">
        <v>194</v>
      </c>
      <c r="B4097" t="s">
        <v>195</v>
      </c>
      <c r="C4097" t="s">
        <v>212</v>
      </c>
      <c r="D4097" t="s">
        <v>1019</v>
      </c>
      <c r="E4097" s="3">
        <v>1.6799999999999999E-2</v>
      </c>
      <c r="F4097" s="3">
        <v>0.11550000000000001</v>
      </c>
      <c r="G4097" s="3">
        <v>1.0200000000000001E-2</v>
      </c>
      <c r="H4097" s="3">
        <v>8.3000000000000001E-3</v>
      </c>
      <c r="I4097" s="3">
        <v>1.2E-2</v>
      </c>
      <c r="J4097" s="3">
        <v>2.8999999999999998E-3</v>
      </c>
      <c r="K4097" s="3">
        <v>1.1999999999999999E-3</v>
      </c>
      <c r="L4097" s="3">
        <v>1.1900000000000001E-2</v>
      </c>
      <c r="M4097" s="3">
        <v>2E-3</v>
      </c>
      <c r="O4097">
        <v>893</v>
      </c>
      <c r="P4097">
        <v>873</v>
      </c>
      <c r="Q4097">
        <v>2677</v>
      </c>
    </row>
    <row r="4098" spans="1:17">
      <c r="A4098" t="s">
        <v>194</v>
      </c>
      <c r="B4098" t="s">
        <v>195</v>
      </c>
      <c r="C4098" t="s">
        <v>212</v>
      </c>
      <c r="D4098" t="s">
        <v>1020</v>
      </c>
      <c r="E4098" s="3">
        <v>0.75790000000000002</v>
      </c>
      <c r="F4098" s="3">
        <v>0.33279999999999998</v>
      </c>
      <c r="G4098" s="3">
        <v>0.86729999999999996</v>
      </c>
      <c r="H4098" s="3">
        <v>0.6673</v>
      </c>
      <c r="I4098" s="3">
        <v>0.72430000000000005</v>
      </c>
      <c r="J4098" s="3">
        <v>0.624</v>
      </c>
      <c r="K4098" s="3">
        <v>0.79810000000000003</v>
      </c>
      <c r="L4098" s="3">
        <v>0.69110000000000005</v>
      </c>
      <c r="M4098" s="3">
        <v>0.8851</v>
      </c>
      <c r="N4098" s="3">
        <v>0.97030000000000005</v>
      </c>
      <c r="O4098">
        <v>893</v>
      </c>
      <c r="P4098">
        <v>873</v>
      </c>
      <c r="Q4098">
        <v>2677</v>
      </c>
    </row>
    <row r="4099" spans="1:17">
      <c r="A4099" t="s">
        <v>194</v>
      </c>
      <c r="B4099" t="s">
        <v>195</v>
      </c>
      <c r="C4099" t="s">
        <v>212</v>
      </c>
      <c r="D4099" t="s">
        <v>1021</v>
      </c>
      <c r="E4099" s="3">
        <v>0.16850000000000001</v>
      </c>
      <c r="F4099" s="3">
        <v>0.1353</v>
      </c>
      <c r="G4099" s="3">
        <v>1.6E-2</v>
      </c>
      <c r="H4099" s="3">
        <v>7.8899999999999998E-2</v>
      </c>
      <c r="I4099" s="3">
        <v>0.23580000000000001</v>
      </c>
      <c r="J4099" s="3">
        <v>1.7500000000000002E-2</v>
      </c>
      <c r="K4099" s="3">
        <v>0.14030000000000001</v>
      </c>
      <c r="L4099" s="3">
        <v>0.29370000000000002</v>
      </c>
      <c r="M4099" s="3">
        <v>5.7500000000000002E-2</v>
      </c>
      <c r="N4099" s="3">
        <v>1.8499999999999999E-2</v>
      </c>
      <c r="O4099">
        <v>893</v>
      </c>
      <c r="P4099">
        <v>873</v>
      </c>
      <c r="Q4099">
        <v>2677</v>
      </c>
    </row>
    <row r="4100" spans="1:17">
      <c r="A4100" t="s">
        <v>194</v>
      </c>
      <c r="B4100" t="s">
        <v>195</v>
      </c>
      <c r="C4100" t="s">
        <v>212</v>
      </c>
      <c r="D4100" t="s">
        <v>227</v>
      </c>
      <c r="E4100" s="3">
        <v>5.6800000000000003E-2</v>
      </c>
      <c r="F4100" s="3">
        <v>0.4163</v>
      </c>
      <c r="G4100" s="3">
        <v>0.1065</v>
      </c>
      <c r="H4100" s="3">
        <v>0.2455</v>
      </c>
      <c r="I4100" s="3">
        <v>2.7900000000000001E-2</v>
      </c>
      <c r="J4100" s="3">
        <v>0.35560000000000003</v>
      </c>
      <c r="K4100" s="3">
        <v>6.0299999999999999E-2</v>
      </c>
      <c r="L4100" s="3">
        <v>3.3E-3</v>
      </c>
      <c r="M4100" s="3">
        <v>5.5399999999999998E-2</v>
      </c>
      <c r="N4100" s="3">
        <v>1.12E-2</v>
      </c>
      <c r="O4100">
        <v>893</v>
      </c>
      <c r="P4100">
        <v>873</v>
      </c>
      <c r="Q4100">
        <v>2677</v>
      </c>
    </row>
    <row r="4101" spans="1:17">
      <c r="A4101" t="s">
        <v>194</v>
      </c>
      <c r="B4101" t="s">
        <v>195</v>
      </c>
      <c r="C4101" t="s">
        <v>214</v>
      </c>
      <c r="D4101" t="s">
        <v>1019</v>
      </c>
      <c r="E4101" s="3">
        <v>1.55E-2</v>
      </c>
      <c r="F4101" s="3">
        <v>0.1283</v>
      </c>
      <c r="G4101" s="3">
        <v>3.2000000000000002E-3</v>
      </c>
      <c r="H4101" s="3">
        <v>3.0999999999999999E-3</v>
      </c>
      <c r="I4101" s="3">
        <v>1.7399999999999999E-2</v>
      </c>
      <c r="J4101" s="3">
        <v>1E-3</v>
      </c>
      <c r="L4101" s="3">
        <v>6.1000000000000004E-3</v>
      </c>
      <c r="O4101">
        <v>196</v>
      </c>
      <c r="P4101">
        <v>181</v>
      </c>
      <c r="Q4101">
        <v>2677</v>
      </c>
    </row>
    <row r="4102" spans="1:17">
      <c r="A4102" t="s">
        <v>194</v>
      </c>
      <c r="B4102" t="s">
        <v>195</v>
      </c>
      <c r="C4102" t="s">
        <v>214</v>
      </c>
      <c r="D4102" t="s">
        <v>1020</v>
      </c>
      <c r="E4102" s="3">
        <v>0.68669999999999998</v>
      </c>
      <c r="F4102" s="3">
        <v>0.38479999999999998</v>
      </c>
      <c r="G4102" s="3">
        <v>0.86339999999999995</v>
      </c>
      <c r="H4102" s="3">
        <v>0.64429999999999998</v>
      </c>
      <c r="I4102" s="3">
        <v>0.5897</v>
      </c>
      <c r="J4102" s="3">
        <v>0.65610000000000002</v>
      </c>
      <c r="K4102" s="3">
        <v>0.65569999999999995</v>
      </c>
      <c r="L4102" s="3">
        <v>0.58640000000000003</v>
      </c>
      <c r="M4102" s="3">
        <v>0.8175</v>
      </c>
      <c r="N4102" s="3">
        <v>0.94610000000000005</v>
      </c>
      <c r="O4102">
        <v>196</v>
      </c>
      <c r="P4102">
        <v>181</v>
      </c>
      <c r="Q4102">
        <v>2677</v>
      </c>
    </row>
    <row r="4103" spans="1:17">
      <c r="A4103" t="s">
        <v>194</v>
      </c>
      <c r="B4103" t="s">
        <v>195</v>
      </c>
      <c r="C4103" t="s">
        <v>214</v>
      </c>
      <c r="D4103" t="s">
        <v>1021</v>
      </c>
      <c r="E4103" s="3">
        <v>0.28649999999999998</v>
      </c>
      <c r="F4103" s="3">
        <v>0.18410000000000001</v>
      </c>
      <c r="G4103" s="3">
        <v>1.3299999999999999E-2</v>
      </c>
      <c r="H4103" s="3">
        <v>0.1978</v>
      </c>
      <c r="I4103" s="3">
        <v>0.39269999999999999</v>
      </c>
      <c r="J4103" s="3">
        <v>2.3699999999999999E-2</v>
      </c>
      <c r="K4103" s="3">
        <v>0.34429999999999999</v>
      </c>
      <c r="L4103" s="3">
        <v>0.40749999999999997</v>
      </c>
      <c r="M4103" s="3">
        <v>0.15609999999999999</v>
      </c>
      <c r="N4103" s="3">
        <v>3.9699999999999999E-2</v>
      </c>
      <c r="O4103">
        <v>196</v>
      </c>
      <c r="P4103">
        <v>181</v>
      </c>
      <c r="Q4103">
        <v>2677</v>
      </c>
    </row>
    <row r="4104" spans="1:17">
      <c r="A4104" t="s">
        <v>194</v>
      </c>
      <c r="B4104" t="s">
        <v>195</v>
      </c>
      <c r="C4104" t="s">
        <v>214</v>
      </c>
      <c r="D4104" t="s">
        <v>227</v>
      </c>
      <c r="E4104" s="3">
        <v>1.14E-2</v>
      </c>
      <c r="F4104" s="3">
        <v>0.30280000000000001</v>
      </c>
      <c r="G4104" s="3">
        <v>0.1201</v>
      </c>
      <c r="H4104" s="3">
        <v>0.15490000000000001</v>
      </c>
      <c r="I4104" s="3">
        <v>2.0000000000000001E-4</v>
      </c>
      <c r="J4104" s="3">
        <v>0.31929999999999997</v>
      </c>
      <c r="M4104" s="3">
        <v>2.64E-2</v>
      </c>
      <c r="N4104" s="3">
        <v>1.4200000000000001E-2</v>
      </c>
      <c r="O4104">
        <v>196</v>
      </c>
      <c r="P4104">
        <v>181</v>
      </c>
      <c r="Q4104">
        <v>2677</v>
      </c>
    </row>
    <row r="4105" spans="1:17">
      <c r="A4105" t="s">
        <v>194</v>
      </c>
      <c r="B4105" t="s">
        <v>195</v>
      </c>
      <c r="C4105" t="s">
        <v>215</v>
      </c>
      <c r="D4105" t="s">
        <v>1019</v>
      </c>
      <c r="E4105" s="3">
        <v>1.46E-2</v>
      </c>
      <c r="F4105" s="3">
        <v>9.8299999999999998E-2</v>
      </c>
      <c r="H4105" s="3">
        <v>4.8999999999999998E-3</v>
      </c>
      <c r="I4105" s="3">
        <v>1.7299999999999999E-2</v>
      </c>
      <c r="K4105" s="3">
        <v>6.4999999999999997E-3</v>
      </c>
      <c r="L4105" s="3">
        <v>4.0000000000000002E-4</v>
      </c>
      <c r="O4105">
        <v>99</v>
      </c>
      <c r="P4105">
        <v>135</v>
      </c>
      <c r="Q4105">
        <v>2677</v>
      </c>
    </row>
    <row r="4106" spans="1:17">
      <c r="A4106" t="s">
        <v>194</v>
      </c>
      <c r="B4106" t="s">
        <v>195</v>
      </c>
      <c r="C4106" t="s">
        <v>215</v>
      </c>
      <c r="D4106" t="s">
        <v>1020</v>
      </c>
      <c r="E4106" s="3">
        <v>0.75939999999999996</v>
      </c>
      <c r="F4106" s="3">
        <v>0.18179999999999999</v>
      </c>
      <c r="G4106" s="3">
        <v>0.73860000000000003</v>
      </c>
      <c r="H4106" s="3">
        <v>0.57599999999999996</v>
      </c>
      <c r="I4106" s="3">
        <v>0.68979999999999997</v>
      </c>
      <c r="J4106" s="3">
        <v>0.68810000000000004</v>
      </c>
      <c r="K4106" s="3">
        <v>0.73580000000000001</v>
      </c>
      <c r="L4106" s="3">
        <v>0.67859999999999998</v>
      </c>
      <c r="M4106" s="3">
        <v>0.94579999999999997</v>
      </c>
      <c r="N4106" s="3">
        <v>0.95440000000000003</v>
      </c>
      <c r="O4106">
        <v>99</v>
      </c>
      <c r="P4106">
        <v>135</v>
      </c>
      <c r="Q4106">
        <v>2677</v>
      </c>
    </row>
    <row r="4107" spans="1:17">
      <c r="A4107" t="s">
        <v>194</v>
      </c>
      <c r="B4107" t="s">
        <v>195</v>
      </c>
      <c r="C4107" t="s">
        <v>215</v>
      </c>
      <c r="D4107" t="s">
        <v>1021</v>
      </c>
      <c r="E4107" s="3">
        <v>0.14990000000000001</v>
      </c>
      <c r="F4107" s="3">
        <v>0.14149999999999999</v>
      </c>
      <c r="G4107" s="3">
        <v>1.5699999999999999E-2</v>
      </c>
      <c r="H4107" s="3">
        <v>5.2400000000000002E-2</v>
      </c>
      <c r="I4107" s="3">
        <v>0.27660000000000001</v>
      </c>
      <c r="J4107" s="3">
        <v>1.01E-2</v>
      </c>
      <c r="K4107" s="3">
        <v>6.08E-2</v>
      </c>
      <c r="L4107" s="3">
        <v>0.31840000000000002</v>
      </c>
      <c r="M4107" s="3">
        <v>1.8800000000000001E-2</v>
      </c>
      <c r="N4107" s="3">
        <v>1.84E-2</v>
      </c>
      <c r="O4107">
        <v>99</v>
      </c>
      <c r="P4107">
        <v>135</v>
      </c>
      <c r="Q4107">
        <v>2677</v>
      </c>
    </row>
    <row r="4108" spans="1:17">
      <c r="A4108" t="s">
        <v>194</v>
      </c>
      <c r="B4108" t="s">
        <v>195</v>
      </c>
      <c r="C4108" t="s">
        <v>215</v>
      </c>
      <c r="D4108" t="s">
        <v>227</v>
      </c>
      <c r="E4108" s="3">
        <v>7.6100000000000001E-2</v>
      </c>
      <c r="F4108" s="3">
        <v>0.57840000000000003</v>
      </c>
      <c r="G4108" s="3">
        <v>0.2457</v>
      </c>
      <c r="H4108" s="3">
        <v>0.36680000000000001</v>
      </c>
      <c r="I4108" s="3">
        <v>1.6299999999999999E-2</v>
      </c>
      <c r="J4108" s="3">
        <v>0.3019</v>
      </c>
      <c r="K4108" s="3">
        <v>0.19689999999999999</v>
      </c>
      <c r="L4108" s="3">
        <v>2.5999999999999999E-3</v>
      </c>
      <c r="M4108" s="3">
        <v>3.5400000000000001E-2</v>
      </c>
      <c r="N4108" s="3">
        <v>2.7199999999999998E-2</v>
      </c>
      <c r="O4108">
        <v>99</v>
      </c>
      <c r="P4108">
        <v>135</v>
      </c>
      <c r="Q4108">
        <v>2677</v>
      </c>
    </row>
    <row r="4109" spans="1:17">
      <c r="A4109" t="s">
        <v>194</v>
      </c>
      <c r="B4109" t="s">
        <v>199</v>
      </c>
      <c r="C4109" t="s">
        <v>212</v>
      </c>
      <c r="D4109" t="s">
        <v>1019</v>
      </c>
      <c r="E4109" s="3">
        <v>6.7000000000000002E-3</v>
      </c>
      <c r="F4109" s="3">
        <v>3.04E-2</v>
      </c>
      <c r="G4109" s="3">
        <v>5.0000000000000001E-4</v>
      </c>
      <c r="H4109" s="3">
        <v>1.06E-2</v>
      </c>
      <c r="I4109" s="3">
        <v>5.1999999999999998E-3</v>
      </c>
      <c r="J4109" s="3">
        <v>1.1599999999999999E-2</v>
      </c>
      <c r="K4109" s="3">
        <v>1.4E-3</v>
      </c>
      <c r="L4109" s="3">
        <v>2.0999999999999999E-3</v>
      </c>
      <c r="M4109" s="3">
        <v>8.9999999999999998E-4</v>
      </c>
      <c r="N4109" s="3">
        <v>2.9999999999999997E-4</v>
      </c>
      <c r="O4109">
        <v>1138</v>
      </c>
      <c r="P4109">
        <v>1118</v>
      </c>
      <c r="Q4109">
        <v>2677</v>
      </c>
    </row>
    <row r="4110" spans="1:17">
      <c r="A4110" t="s">
        <v>194</v>
      </c>
      <c r="B4110" t="s">
        <v>199</v>
      </c>
      <c r="C4110" t="s">
        <v>212</v>
      </c>
      <c r="D4110" t="s">
        <v>1020</v>
      </c>
      <c r="E4110" s="3">
        <v>0.94530000000000003</v>
      </c>
      <c r="F4110" s="3">
        <v>0.64729999999999999</v>
      </c>
      <c r="G4110" s="3">
        <v>0.95399999999999996</v>
      </c>
      <c r="H4110" s="3">
        <v>0.77590000000000003</v>
      </c>
      <c r="I4110" s="3">
        <v>0.90039999999999998</v>
      </c>
      <c r="J4110" s="3">
        <v>0.83350000000000002</v>
      </c>
      <c r="K4110" s="3">
        <v>0.80420000000000003</v>
      </c>
      <c r="L4110" s="3">
        <v>0.9194</v>
      </c>
      <c r="M4110" s="3">
        <v>0.96419999999999995</v>
      </c>
      <c r="N4110" s="3">
        <v>0.97819999999999996</v>
      </c>
      <c r="O4110">
        <v>1138</v>
      </c>
      <c r="P4110">
        <v>1118</v>
      </c>
      <c r="Q4110">
        <v>2677</v>
      </c>
    </row>
    <row r="4111" spans="1:17">
      <c r="A4111" t="s">
        <v>194</v>
      </c>
      <c r="B4111" t="s">
        <v>199</v>
      </c>
      <c r="C4111" t="s">
        <v>212</v>
      </c>
      <c r="D4111" t="s">
        <v>1021</v>
      </c>
      <c r="E4111" s="3">
        <v>2.0400000000000001E-2</v>
      </c>
      <c r="F4111" s="3">
        <v>5.4899999999999997E-2</v>
      </c>
      <c r="G4111" s="3">
        <v>2.0999999999999999E-3</v>
      </c>
      <c r="H4111" s="3">
        <v>4.82E-2</v>
      </c>
      <c r="I4111" s="3">
        <v>7.0699999999999999E-2</v>
      </c>
      <c r="J4111" s="3">
        <v>1.06E-2</v>
      </c>
      <c r="K4111" s="3">
        <v>0.17349999999999999</v>
      </c>
      <c r="L4111" s="3">
        <v>6.4699999999999994E-2</v>
      </c>
      <c r="M4111" s="3">
        <v>1.5299999999999999E-2</v>
      </c>
      <c r="N4111" s="3">
        <v>1.4999999999999999E-2</v>
      </c>
      <c r="O4111">
        <v>1138</v>
      </c>
      <c r="P4111">
        <v>1118</v>
      </c>
      <c r="Q4111">
        <v>2677</v>
      </c>
    </row>
    <row r="4112" spans="1:17">
      <c r="A4112" t="s">
        <v>194</v>
      </c>
      <c r="B4112" t="s">
        <v>199</v>
      </c>
      <c r="C4112" t="s">
        <v>212</v>
      </c>
      <c r="D4112" t="s">
        <v>227</v>
      </c>
      <c r="E4112" s="3">
        <v>2.76E-2</v>
      </c>
      <c r="F4112" s="3">
        <v>0.26740000000000003</v>
      </c>
      <c r="G4112" s="3">
        <v>4.3400000000000001E-2</v>
      </c>
      <c r="H4112" s="3">
        <v>0.1653</v>
      </c>
      <c r="I4112" s="3">
        <v>2.3599999999999999E-2</v>
      </c>
      <c r="J4112" s="3">
        <v>0.1444</v>
      </c>
      <c r="K4112" s="3">
        <v>2.0799999999999999E-2</v>
      </c>
      <c r="L4112" s="3">
        <v>1.38E-2</v>
      </c>
      <c r="M4112" s="3">
        <v>1.9599999999999999E-2</v>
      </c>
      <c r="N4112" s="3">
        <v>6.4999999999999997E-3</v>
      </c>
      <c r="O4112">
        <v>1138</v>
      </c>
      <c r="P4112">
        <v>1118</v>
      </c>
      <c r="Q4112">
        <v>2677</v>
      </c>
    </row>
    <row r="4113" spans="1:17">
      <c r="A4113" t="s">
        <v>194</v>
      </c>
      <c r="B4113" t="s">
        <v>199</v>
      </c>
      <c r="C4113" t="s">
        <v>214</v>
      </c>
      <c r="D4113" t="s">
        <v>1019</v>
      </c>
      <c r="E4113" s="3">
        <v>5.8999999999999999E-3</v>
      </c>
      <c r="F4113" s="3">
        <v>4.2599999999999999E-2</v>
      </c>
      <c r="G4113" s="3">
        <v>7.0000000000000001E-3</v>
      </c>
      <c r="I4113" s="3">
        <v>8.6999999999999994E-3</v>
      </c>
      <c r="J4113" s="3">
        <v>1.4200000000000001E-2</v>
      </c>
      <c r="L4113" s="3">
        <v>8.9999999999999993E-3</v>
      </c>
      <c r="O4113">
        <v>225</v>
      </c>
      <c r="P4113">
        <v>197</v>
      </c>
      <c r="Q4113">
        <v>2677</v>
      </c>
    </row>
    <row r="4114" spans="1:17">
      <c r="A4114" t="s">
        <v>194</v>
      </c>
      <c r="B4114" t="s">
        <v>199</v>
      </c>
      <c r="C4114" t="s">
        <v>214</v>
      </c>
      <c r="D4114" t="s">
        <v>1020</v>
      </c>
      <c r="E4114" s="3">
        <v>0.89459999999999995</v>
      </c>
      <c r="F4114" s="3">
        <v>0.51029999999999998</v>
      </c>
      <c r="G4114" s="3">
        <v>0.89190000000000003</v>
      </c>
      <c r="H4114" s="3">
        <v>0.68020000000000003</v>
      </c>
      <c r="I4114" s="3">
        <v>0.64770000000000005</v>
      </c>
      <c r="J4114" s="3">
        <v>0.77429999999999999</v>
      </c>
      <c r="K4114" s="3">
        <v>0.67520000000000002</v>
      </c>
      <c r="L4114" s="3">
        <v>0.73250000000000004</v>
      </c>
      <c r="M4114" s="3">
        <v>0.84179999999999999</v>
      </c>
      <c r="N4114" s="3">
        <v>0.8861</v>
      </c>
      <c r="O4114">
        <v>225</v>
      </c>
      <c r="P4114">
        <v>197</v>
      </c>
      <c r="Q4114">
        <v>2677</v>
      </c>
    </row>
    <row r="4115" spans="1:17">
      <c r="A4115" t="s">
        <v>194</v>
      </c>
      <c r="B4115" t="s">
        <v>199</v>
      </c>
      <c r="C4115" t="s">
        <v>214</v>
      </c>
      <c r="D4115" t="s">
        <v>1021</v>
      </c>
      <c r="E4115" s="3">
        <v>9.1800000000000007E-2</v>
      </c>
      <c r="F4115" s="3">
        <v>0.2238</v>
      </c>
      <c r="G4115" s="3">
        <v>6.7699999999999996E-2</v>
      </c>
      <c r="H4115" s="3">
        <v>0.18149999999999999</v>
      </c>
      <c r="I4115" s="3">
        <v>0.3327</v>
      </c>
      <c r="J4115" s="3">
        <v>8.1799999999999998E-2</v>
      </c>
      <c r="K4115" s="3">
        <v>0.31950000000000001</v>
      </c>
      <c r="L4115" s="3">
        <v>0.25750000000000001</v>
      </c>
      <c r="M4115" s="3">
        <v>0.13639999999999999</v>
      </c>
      <c r="N4115" s="3">
        <v>0.1104</v>
      </c>
      <c r="O4115">
        <v>225</v>
      </c>
      <c r="P4115">
        <v>197</v>
      </c>
      <c r="Q4115">
        <v>2677</v>
      </c>
    </row>
    <row r="4116" spans="1:17">
      <c r="A4116" t="s">
        <v>194</v>
      </c>
      <c r="B4116" t="s">
        <v>199</v>
      </c>
      <c r="C4116" t="s">
        <v>214</v>
      </c>
      <c r="D4116" t="s">
        <v>227</v>
      </c>
      <c r="E4116" s="3">
        <v>7.7999999999999996E-3</v>
      </c>
      <c r="F4116" s="3">
        <v>0.22320000000000001</v>
      </c>
      <c r="G4116" s="3">
        <v>3.3399999999999999E-2</v>
      </c>
      <c r="H4116" s="3">
        <v>0.13830000000000001</v>
      </c>
      <c r="I4116" s="3">
        <v>1.09E-2</v>
      </c>
      <c r="J4116" s="3">
        <v>0.12970000000000001</v>
      </c>
      <c r="K4116" s="3">
        <v>5.3E-3</v>
      </c>
      <c r="L4116" s="3">
        <v>8.9999999999999998E-4</v>
      </c>
      <c r="M4116" s="3">
        <v>2.18E-2</v>
      </c>
      <c r="N4116" s="3">
        <v>3.3999999999999998E-3</v>
      </c>
      <c r="O4116">
        <v>225</v>
      </c>
      <c r="P4116">
        <v>197</v>
      </c>
      <c r="Q4116">
        <v>2677</v>
      </c>
    </row>
    <row r="4117" spans="1:17">
      <c r="A4117" t="s">
        <v>194</v>
      </c>
      <c r="B4117" t="s">
        <v>199</v>
      </c>
      <c r="C4117" t="s">
        <v>215</v>
      </c>
      <c r="D4117" t="s">
        <v>1019</v>
      </c>
      <c r="E4117" s="3">
        <v>1.4E-3</v>
      </c>
      <c r="F4117" s="3">
        <v>1.9199999999999998E-2</v>
      </c>
      <c r="I4117" s="3">
        <v>1.35E-2</v>
      </c>
      <c r="K4117" s="3">
        <v>8.0000000000000004E-4</v>
      </c>
      <c r="N4117" s="3">
        <v>3.8999999999999998E-3</v>
      </c>
      <c r="O4117">
        <v>125</v>
      </c>
      <c r="P4117">
        <v>173</v>
      </c>
      <c r="Q4117">
        <v>2677</v>
      </c>
    </row>
    <row r="4118" spans="1:17">
      <c r="A4118" t="s">
        <v>194</v>
      </c>
      <c r="B4118" t="s">
        <v>199</v>
      </c>
      <c r="C4118" t="s">
        <v>215</v>
      </c>
      <c r="D4118" t="s">
        <v>1020</v>
      </c>
      <c r="E4118" s="3">
        <v>0.88729999999999998</v>
      </c>
      <c r="F4118" s="3">
        <v>0.54720000000000002</v>
      </c>
      <c r="G4118" s="3">
        <v>0.87429999999999997</v>
      </c>
      <c r="H4118" s="3">
        <v>0.67889999999999995</v>
      </c>
      <c r="I4118" s="3">
        <v>0.78339999999999999</v>
      </c>
      <c r="J4118" s="3">
        <v>0.77190000000000003</v>
      </c>
      <c r="K4118" s="3">
        <v>0.91900000000000004</v>
      </c>
      <c r="L4118" s="3">
        <v>0.87219999999999998</v>
      </c>
      <c r="M4118" s="3">
        <v>0.96240000000000003</v>
      </c>
      <c r="N4118" s="3">
        <v>0.9909</v>
      </c>
      <c r="O4118">
        <v>125</v>
      </c>
      <c r="P4118">
        <v>173</v>
      </c>
      <c r="Q4118">
        <v>2677</v>
      </c>
    </row>
    <row r="4119" spans="1:17">
      <c r="A4119" t="s">
        <v>194</v>
      </c>
      <c r="B4119" t="s">
        <v>199</v>
      </c>
      <c r="C4119" t="s">
        <v>215</v>
      </c>
      <c r="D4119" t="s">
        <v>1021</v>
      </c>
      <c r="E4119" s="3">
        <v>5.2400000000000002E-2</v>
      </c>
      <c r="F4119" s="3">
        <v>0.13739999999999999</v>
      </c>
      <c r="G4119" s="3">
        <v>1.3899999999999999E-2</v>
      </c>
      <c r="H4119" s="3">
        <v>8.6599999999999996E-2</v>
      </c>
      <c r="I4119" s="3">
        <v>0.16370000000000001</v>
      </c>
      <c r="J4119" s="3">
        <v>4.0000000000000001E-3</v>
      </c>
      <c r="K4119" s="3">
        <v>2.24E-2</v>
      </c>
      <c r="L4119" s="3">
        <v>0.1152</v>
      </c>
      <c r="M4119" s="3">
        <v>2.7000000000000001E-3</v>
      </c>
      <c r="O4119">
        <v>125</v>
      </c>
      <c r="P4119">
        <v>173</v>
      </c>
      <c r="Q4119">
        <v>2677</v>
      </c>
    </row>
    <row r="4120" spans="1:17">
      <c r="A4120" t="s">
        <v>194</v>
      </c>
      <c r="B4120" t="s">
        <v>199</v>
      </c>
      <c r="C4120" t="s">
        <v>215</v>
      </c>
      <c r="D4120" t="s">
        <v>227</v>
      </c>
      <c r="E4120" s="3">
        <v>5.8900000000000001E-2</v>
      </c>
      <c r="F4120" s="3">
        <v>0.29620000000000002</v>
      </c>
      <c r="G4120" s="3">
        <v>0.1118</v>
      </c>
      <c r="H4120" s="3">
        <v>0.23449999999999999</v>
      </c>
      <c r="I4120" s="3">
        <v>3.9399999999999998E-2</v>
      </c>
      <c r="J4120" s="3">
        <v>0.22409999999999999</v>
      </c>
      <c r="K4120" s="3">
        <v>5.7799999999999997E-2</v>
      </c>
      <c r="L4120" s="3">
        <v>1.26E-2</v>
      </c>
      <c r="M4120" s="3">
        <v>3.49E-2</v>
      </c>
      <c r="N4120" s="3">
        <v>5.1999999999999998E-3</v>
      </c>
      <c r="O4120">
        <v>125</v>
      </c>
      <c r="P4120">
        <v>173</v>
      </c>
      <c r="Q4120">
        <v>2677</v>
      </c>
    </row>
    <row r="4121" spans="1:17">
      <c r="A4121" t="s">
        <v>200</v>
      </c>
      <c r="B4121" t="s">
        <v>200</v>
      </c>
      <c r="C4121" t="s">
        <v>200</v>
      </c>
      <c r="D4121" t="s">
        <v>1019</v>
      </c>
      <c r="E4121" s="3">
        <v>1.0699999999999999E-2</v>
      </c>
      <c r="F4121" s="3">
        <v>6.9000000000000006E-2</v>
      </c>
      <c r="G4121" s="3">
        <v>4.4999999999999997E-3</v>
      </c>
      <c r="H4121" s="3">
        <v>7.7000000000000002E-3</v>
      </c>
      <c r="I4121" s="3">
        <v>9.4999999999999998E-3</v>
      </c>
      <c r="J4121" s="3">
        <v>7.1999999999999998E-3</v>
      </c>
      <c r="K4121" s="3">
        <v>1.2999999999999999E-3</v>
      </c>
      <c r="L4121" s="3">
        <v>6.1000000000000004E-3</v>
      </c>
      <c r="M4121" s="3">
        <v>1E-3</v>
      </c>
      <c r="N4121" s="3">
        <v>2.9999999999999997E-4</v>
      </c>
      <c r="O4121">
        <v>2677</v>
      </c>
      <c r="P4121">
        <v>2677</v>
      </c>
      <c r="Q4121">
        <v>2677</v>
      </c>
    </row>
    <row r="4122" spans="1:17">
      <c r="A4122" t="s">
        <v>200</v>
      </c>
      <c r="B4122" t="s">
        <v>200</v>
      </c>
      <c r="C4122" t="s">
        <v>200</v>
      </c>
      <c r="D4122" t="s">
        <v>1020</v>
      </c>
      <c r="E4122" s="3">
        <v>0.84989999999999999</v>
      </c>
      <c r="F4122" s="3">
        <v>0.48959999999999998</v>
      </c>
      <c r="G4122" s="3">
        <v>0.90149999999999997</v>
      </c>
      <c r="H4122" s="3">
        <v>0.71079999999999999</v>
      </c>
      <c r="I4122" s="3">
        <v>0.7843</v>
      </c>
      <c r="J4122" s="3">
        <v>0.73729999999999996</v>
      </c>
      <c r="K4122" s="3">
        <v>0.78320000000000001</v>
      </c>
      <c r="L4122" s="3">
        <v>0.79190000000000005</v>
      </c>
      <c r="M4122" s="3">
        <v>0.91600000000000004</v>
      </c>
      <c r="N4122" s="3">
        <v>0.96519999999999995</v>
      </c>
      <c r="O4122">
        <v>2677</v>
      </c>
      <c r="P4122">
        <v>2677</v>
      </c>
      <c r="Q4122">
        <v>2677</v>
      </c>
    </row>
    <row r="4123" spans="1:17">
      <c r="A4123" t="s">
        <v>200</v>
      </c>
      <c r="B4123" t="s">
        <v>200</v>
      </c>
      <c r="C4123" t="s">
        <v>200</v>
      </c>
      <c r="D4123" t="s">
        <v>1021</v>
      </c>
      <c r="E4123" s="3">
        <v>0.1017</v>
      </c>
      <c r="F4123" s="3">
        <v>0.1125</v>
      </c>
      <c r="G4123" s="3">
        <v>1.41E-2</v>
      </c>
      <c r="H4123" s="3">
        <v>8.1900000000000001E-2</v>
      </c>
      <c r="I4123" s="3">
        <v>0.1835</v>
      </c>
      <c r="J4123" s="3">
        <v>1.95E-2</v>
      </c>
      <c r="K4123" s="3">
        <v>0.17599999999999999</v>
      </c>
      <c r="L4123" s="3">
        <v>0.1943</v>
      </c>
      <c r="M4123" s="3">
        <v>4.9500000000000002E-2</v>
      </c>
      <c r="N4123" s="3">
        <v>2.5399999999999999E-2</v>
      </c>
      <c r="O4123">
        <v>2677</v>
      </c>
      <c r="P4123">
        <v>2677</v>
      </c>
      <c r="Q4123">
        <v>2677</v>
      </c>
    </row>
    <row r="4124" spans="1:17">
      <c r="A4124" t="s">
        <v>200</v>
      </c>
      <c r="B4124" t="s">
        <v>200</v>
      </c>
      <c r="C4124" t="s">
        <v>200</v>
      </c>
      <c r="D4124" t="s">
        <v>227</v>
      </c>
      <c r="E4124" s="3">
        <v>3.7699999999999997E-2</v>
      </c>
      <c r="F4124" s="3">
        <v>0.32890000000000003</v>
      </c>
      <c r="G4124" s="3">
        <v>7.9899999999999999E-2</v>
      </c>
      <c r="H4124" s="3">
        <v>0.19950000000000001</v>
      </c>
      <c r="I4124" s="3">
        <v>2.2700000000000001E-2</v>
      </c>
      <c r="J4124" s="3">
        <v>0.23599999999999999</v>
      </c>
      <c r="K4124" s="3">
        <v>3.9399999999999998E-2</v>
      </c>
      <c r="L4124" s="3">
        <v>7.7000000000000002E-3</v>
      </c>
      <c r="M4124" s="3">
        <v>3.3599999999999998E-2</v>
      </c>
      <c r="N4124" s="3">
        <v>9.1000000000000004E-3</v>
      </c>
      <c r="O4124">
        <v>2677</v>
      </c>
      <c r="P4124">
        <v>2677</v>
      </c>
      <c r="Q4124">
        <v>2677</v>
      </c>
    </row>
    <row r="4126" spans="1:17" ht="45">
      <c r="A4126" s="22" t="s">
        <v>1026</v>
      </c>
    </row>
    <row r="4127" spans="1:17">
      <c r="A4127" t="s">
        <v>184</v>
      </c>
      <c r="B4127" t="s">
        <v>185</v>
      </c>
      <c r="C4127" t="s">
        <v>186</v>
      </c>
      <c r="D4127" t="s">
        <v>1007</v>
      </c>
      <c r="E4127" t="s">
        <v>1008</v>
      </c>
      <c r="F4127" t="s">
        <v>1009</v>
      </c>
      <c r="G4127" t="s">
        <v>1010</v>
      </c>
      <c r="H4127" t="s">
        <v>1011</v>
      </c>
      <c r="I4127" t="s">
        <v>1012</v>
      </c>
      <c r="J4127" t="s">
        <v>1013</v>
      </c>
      <c r="K4127" t="s">
        <v>1014</v>
      </c>
      <c r="L4127" t="s">
        <v>1015</v>
      </c>
      <c r="M4127" t="s">
        <v>1016</v>
      </c>
      <c r="N4127" t="s">
        <v>1017</v>
      </c>
      <c r="O4127" t="s">
        <v>1018</v>
      </c>
      <c r="P4127" t="s">
        <v>192</v>
      </c>
      <c r="Q4127" t="s">
        <v>193</v>
      </c>
    </row>
    <row r="4128" spans="1:17">
      <c r="A4128" t="s">
        <v>194</v>
      </c>
      <c r="B4128" t="s">
        <v>195</v>
      </c>
      <c r="C4128" t="s">
        <v>217</v>
      </c>
      <c r="D4128" t="s">
        <v>1019</v>
      </c>
      <c r="E4128" s="3">
        <v>1.44E-2</v>
      </c>
      <c r="F4128" s="3">
        <v>0.1163</v>
      </c>
      <c r="G4128" s="3">
        <v>4.1000000000000003E-3</v>
      </c>
      <c r="H4128" s="3">
        <v>8.9999999999999998E-4</v>
      </c>
      <c r="I4128" s="3">
        <v>1.34E-2</v>
      </c>
      <c r="J4128" s="3">
        <v>3.2000000000000002E-3</v>
      </c>
      <c r="K4128" s="3">
        <v>2.2000000000000001E-3</v>
      </c>
      <c r="L4128" s="3">
        <v>8.3999999999999995E-3</v>
      </c>
      <c r="M4128" s="3">
        <v>1E-3</v>
      </c>
      <c r="O4128">
        <v>500</v>
      </c>
      <c r="P4128">
        <v>499</v>
      </c>
      <c r="Q4128">
        <v>2677</v>
      </c>
    </row>
    <row r="4129" spans="1:17">
      <c r="A4129" t="s">
        <v>194</v>
      </c>
      <c r="B4129" t="s">
        <v>195</v>
      </c>
      <c r="C4129" t="s">
        <v>217</v>
      </c>
      <c r="D4129" t="s">
        <v>1020</v>
      </c>
      <c r="E4129" s="3">
        <v>0.76529999999999998</v>
      </c>
      <c r="F4129" s="3">
        <v>0.30909999999999999</v>
      </c>
      <c r="G4129" s="3">
        <v>0.84730000000000005</v>
      </c>
      <c r="H4129" s="3">
        <v>0.6169</v>
      </c>
      <c r="I4129" s="3">
        <v>0.73380000000000001</v>
      </c>
      <c r="J4129" s="3">
        <v>0.61899999999999999</v>
      </c>
      <c r="K4129" s="3">
        <v>0.76590000000000003</v>
      </c>
      <c r="L4129" s="3">
        <v>0.69020000000000004</v>
      </c>
      <c r="M4129" s="3">
        <v>0.89439999999999997</v>
      </c>
      <c r="N4129" s="3">
        <v>0.96970000000000001</v>
      </c>
      <c r="O4129">
        <v>500</v>
      </c>
      <c r="P4129">
        <v>499</v>
      </c>
      <c r="Q4129">
        <v>2677</v>
      </c>
    </row>
    <row r="4130" spans="1:17">
      <c r="A4130" t="s">
        <v>194</v>
      </c>
      <c r="B4130" t="s">
        <v>195</v>
      </c>
      <c r="C4130" t="s">
        <v>217</v>
      </c>
      <c r="D4130" t="s">
        <v>1021</v>
      </c>
      <c r="E4130" s="3">
        <v>0.15390000000000001</v>
      </c>
      <c r="F4130" s="3">
        <v>0.13120000000000001</v>
      </c>
      <c r="G4130" s="3">
        <v>2.1700000000000001E-2</v>
      </c>
      <c r="H4130" s="3">
        <v>6.5600000000000006E-2</v>
      </c>
      <c r="I4130" s="3">
        <v>0.23400000000000001</v>
      </c>
      <c r="J4130" s="3">
        <v>2.93E-2</v>
      </c>
      <c r="K4130" s="3">
        <v>0.16139999999999999</v>
      </c>
      <c r="L4130" s="3">
        <v>0.29849999999999999</v>
      </c>
      <c r="M4130" s="3">
        <v>4.7300000000000002E-2</v>
      </c>
      <c r="N4130" s="3">
        <v>2.3300000000000001E-2</v>
      </c>
      <c r="O4130">
        <v>500</v>
      </c>
      <c r="P4130">
        <v>499</v>
      </c>
      <c r="Q4130">
        <v>2677</v>
      </c>
    </row>
    <row r="4131" spans="1:17">
      <c r="A4131" t="s">
        <v>194</v>
      </c>
      <c r="B4131" t="s">
        <v>195</v>
      </c>
      <c r="C4131" t="s">
        <v>217</v>
      </c>
      <c r="D4131" t="s">
        <v>227</v>
      </c>
      <c r="E4131" s="3">
        <v>6.6500000000000004E-2</v>
      </c>
      <c r="F4131" s="3">
        <v>0.44340000000000002</v>
      </c>
      <c r="G4131" s="3">
        <v>0.12690000000000001</v>
      </c>
      <c r="H4131" s="3">
        <v>0.31659999999999999</v>
      </c>
      <c r="I4131" s="3">
        <v>1.89E-2</v>
      </c>
      <c r="J4131" s="3">
        <v>0.34849999999999998</v>
      </c>
      <c r="K4131" s="3">
        <v>7.0499999999999993E-2</v>
      </c>
      <c r="L4131" s="3">
        <v>2.8999999999999998E-3</v>
      </c>
      <c r="M4131" s="3">
        <v>5.7299999999999997E-2</v>
      </c>
      <c r="N4131" s="3">
        <v>7.0000000000000001E-3</v>
      </c>
      <c r="O4131">
        <v>500</v>
      </c>
      <c r="P4131">
        <v>499</v>
      </c>
      <c r="Q4131">
        <v>2677</v>
      </c>
    </row>
    <row r="4132" spans="1:17">
      <c r="A4132" t="s">
        <v>194</v>
      </c>
      <c r="B4132" t="s">
        <v>195</v>
      </c>
      <c r="C4132" t="s">
        <v>219</v>
      </c>
      <c r="D4132" t="s">
        <v>1019</v>
      </c>
      <c r="E4132" s="3">
        <v>2.6599999999999999E-2</v>
      </c>
      <c r="F4132" s="3">
        <v>0.1154</v>
      </c>
      <c r="G4132" s="3">
        <v>9.5999999999999992E-3</v>
      </c>
      <c r="H4132" s="3">
        <v>1.7399999999999999E-2</v>
      </c>
      <c r="I4132" s="3">
        <v>1.6400000000000001E-2</v>
      </c>
      <c r="J4132" s="3">
        <v>1E-3</v>
      </c>
      <c r="K4132" s="3">
        <v>1.4E-3</v>
      </c>
      <c r="L4132" s="3">
        <v>6.8999999999999999E-3</v>
      </c>
      <c r="O4132">
        <v>465</v>
      </c>
      <c r="P4132">
        <v>507</v>
      </c>
      <c r="Q4132">
        <v>2677</v>
      </c>
    </row>
    <row r="4133" spans="1:17">
      <c r="A4133" t="s">
        <v>194</v>
      </c>
      <c r="B4133" t="s">
        <v>195</v>
      </c>
      <c r="C4133" t="s">
        <v>219</v>
      </c>
      <c r="D4133" t="s">
        <v>1020</v>
      </c>
      <c r="E4133" s="3">
        <v>0.7006</v>
      </c>
      <c r="F4133" s="3">
        <v>0.30480000000000002</v>
      </c>
      <c r="G4133" s="3">
        <v>0.84889999999999999</v>
      </c>
      <c r="H4133" s="3">
        <v>0.68989999999999996</v>
      </c>
      <c r="I4133" s="3">
        <v>0.67520000000000002</v>
      </c>
      <c r="J4133" s="3">
        <v>0.59309999999999996</v>
      </c>
      <c r="K4133" s="3">
        <v>0.76519999999999999</v>
      </c>
      <c r="L4133" s="3">
        <v>0.69179999999999997</v>
      </c>
      <c r="M4133" s="3">
        <v>0.86880000000000002</v>
      </c>
      <c r="N4133" s="3">
        <v>0.96609999999999996</v>
      </c>
      <c r="O4133">
        <v>465</v>
      </c>
      <c r="P4133">
        <v>507</v>
      </c>
      <c r="Q4133">
        <v>2677</v>
      </c>
    </row>
    <row r="4134" spans="1:17">
      <c r="A4134" t="s">
        <v>194</v>
      </c>
      <c r="B4134" t="s">
        <v>195</v>
      </c>
      <c r="C4134" t="s">
        <v>219</v>
      </c>
      <c r="D4134" t="s">
        <v>1021</v>
      </c>
      <c r="E4134" s="3">
        <v>0.223</v>
      </c>
      <c r="F4134" s="3">
        <v>0.16839999999999999</v>
      </c>
      <c r="G4134" s="3">
        <v>8.2000000000000007E-3</v>
      </c>
      <c r="H4134" s="3">
        <v>0.1449</v>
      </c>
      <c r="I4134" s="3">
        <v>0.29730000000000001</v>
      </c>
      <c r="J4134" s="3">
        <v>1.4200000000000001E-2</v>
      </c>
      <c r="K4134" s="3">
        <v>0.1686</v>
      </c>
      <c r="L4134" s="3">
        <v>0.29749999999999999</v>
      </c>
      <c r="M4134" s="3">
        <v>9.7100000000000006E-2</v>
      </c>
      <c r="N4134" s="3">
        <v>1.4999999999999999E-2</v>
      </c>
      <c r="O4134">
        <v>465</v>
      </c>
      <c r="P4134">
        <v>507</v>
      </c>
      <c r="Q4134">
        <v>2677</v>
      </c>
    </row>
    <row r="4135" spans="1:17">
      <c r="A4135" t="s">
        <v>194</v>
      </c>
      <c r="B4135" t="s">
        <v>195</v>
      </c>
      <c r="C4135" t="s">
        <v>219</v>
      </c>
      <c r="D4135" t="s">
        <v>227</v>
      </c>
      <c r="E4135" s="3">
        <v>4.9799999999999997E-2</v>
      </c>
      <c r="F4135" s="3">
        <v>0.41139999999999999</v>
      </c>
      <c r="G4135" s="3">
        <v>0.1333</v>
      </c>
      <c r="H4135" s="3">
        <v>0.14779999999999999</v>
      </c>
      <c r="I4135" s="3">
        <v>1.0999999999999999E-2</v>
      </c>
      <c r="J4135" s="3">
        <v>0.39169999999999999</v>
      </c>
      <c r="K4135" s="3">
        <v>6.4799999999999996E-2</v>
      </c>
      <c r="L4135" s="3">
        <v>3.8E-3</v>
      </c>
      <c r="M4135" s="3">
        <v>3.4099999999999998E-2</v>
      </c>
      <c r="N4135" s="3">
        <v>1.89E-2</v>
      </c>
      <c r="O4135">
        <v>465</v>
      </c>
      <c r="P4135">
        <v>507</v>
      </c>
      <c r="Q4135">
        <v>2677</v>
      </c>
    </row>
    <row r="4136" spans="1:17">
      <c r="A4136" t="s">
        <v>194</v>
      </c>
      <c r="B4136" t="s">
        <v>195</v>
      </c>
      <c r="C4136" t="s">
        <v>220</v>
      </c>
      <c r="D4136" t="s">
        <v>1020</v>
      </c>
      <c r="E4136" s="3">
        <v>0.79810000000000003</v>
      </c>
      <c r="F4136" s="3">
        <v>0.42230000000000001</v>
      </c>
      <c r="G4136" s="3">
        <v>0.88959999999999995</v>
      </c>
      <c r="H4136" s="3">
        <v>0.67520000000000002</v>
      </c>
      <c r="I4136" s="3">
        <v>0.67190000000000005</v>
      </c>
      <c r="J4136" s="3">
        <v>0.75580000000000003</v>
      </c>
      <c r="K4136" s="3">
        <v>0.78569999999999995</v>
      </c>
      <c r="L4136" s="3">
        <v>0.59440000000000004</v>
      </c>
      <c r="M4136" s="3">
        <v>0.86599999999999999</v>
      </c>
      <c r="N4136" s="3">
        <v>0.95209999999999995</v>
      </c>
      <c r="O4136">
        <v>224</v>
      </c>
      <c r="P4136">
        <v>182</v>
      </c>
      <c r="Q4136">
        <v>2677</v>
      </c>
    </row>
    <row r="4137" spans="1:17">
      <c r="A4137" t="s">
        <v>194</v>
      </c>
      <c r="B4137" t="s">
        <v>195</v>
      </c>
      <c r="C4137" t="s">
        <v>220</v>
      </c>
      <c r="D4137" t="s">
        <v>1021</v>
      </c>
      <c r="E4137" s="3">
        <v>0.18329999999999999</v>
      </c>
      <c r="F4137" s="3">
        <v>0.1216</v>
      </c>
      <c r="G4137" s="3">
        <v>1.7000000000000001E-2</v>
      </c>
      <c r="H4137" s="3">
        <v>6.4600000000000005E-2</v>
      </c>
      <c r="I4137" s="3">
        <v>0.26790000000000003</v>
      </c>
      <c r="K4137" s="3">
        <v>0.17829999999999999</v>
      </c>
      <c r="L4137" s="3">
        <v>0.38569999999999999</v>
      </c>
      <c r="M4137" s="3">
        <v>6.7400000000000002E-2</v>
      </c>
      <c r="N4137" s="3">
        <v>3.3599999999999998E-2</v>
      </c>
      <c r="O4137">
        <v>224</v>
      </c>
      <c r="P4137">
        <v>182</v>
      </c>
      <c r="Q4137">
        <v>2677</v>
      </c>
    </row>
    <row r="4138" spans="1:17">
      <c r="A4138" t="s">
        <v>194</v>
      </c>
      <c r="B4138" t="s">
        <v>195</v>
      </c>
      <c r="C4138" t="s">
        <v>220</v>
      </c>
      <c r="D4138" t="s">
        <v>227</v>
      </c>
      <c r="E4138" s="3">
        <v>1.8599999999999998E-2</v>
      </c>
      <c r="F4138" s="3">
        <v>0.33839999999999998</v>
      </c>
      <c r="G4138" s="3">
        <v>7.8899999999999998E-2</v>
      </c>
      <c r="H4138" s="3">
        <v>0.2601</v>
      </c>
      <c r="I4138" s="3">
        <v>5.3600000000000002E-2</v>
      </c>
      <c r="J4138" s="3">
        <v>0.2409</v>
      </c>
      <c r="K4138" s="3">
        <v>3.5900000000000001E-2</v>
      </c>
      <c r="M4138" s="3">
        <v>6.0999999999999999E-2</v>
      </c>
      <c r="N4138" s="3">
        <v>1.44E-2</v>
      </c>
      <c r="O4138">
        <v>224</v>
      </c>
      <c r="P4138">
        <v>182</v>
      </c>
      <c r="Q4138">
        <v>2677</v>
      </c>
    </row>
    <row r="4139" spans="1:17">
      <c r="A4139" t="s">
        <v>194</v>
      </c>
      <c r="B4139" t="s">
        <v>199</v>
      </c>
      <c r="C4139" t="s">
        <v>217</v>
      </c>
      <c r="D4139" t="s">
        <v>1019</v>
      </c>
      <c r="E4139" s="3">
        <v>7.1999999999999998E-3</v>
      </c>
      <c r="F4139" s="3">
        <v>2.9399999999999999E-2</v>
      </c>
      <c r="G4139" s="3">
        <v>2.0000000000000001E-4</v>
      </c>
      <c r="H4139" s="3">
        <v>8.3999999999999995E-3</v>
      </c>
      <c r="I4139" s="3">
        <v>6.4000000000000003E-3</v>
      </c>
      <c r="J4139" s="3">
        <v>1.03E-2</v>
      </c>
      <c r="K4139" s="3">
        <v>4.0000000000000002E-4</v>
      </c>
      <c r="L4139" s="3">
        <v>1.6000000000000001E-3</v>
      </c>
      <c r="M4139" s="3">
        <v>2.0000000000000001E-4</v>
      </c>
      <c r="O4139">
        <v>888</v>
      </c>
      <c r="P4139">
        <v>814</v>
      </c>
      <c r="Q4139">
        <v>2677</v>
      </c>
    </row>
    <row r="4140" spans="1:17">
      <c r="A4140" t="s">
        <v>194</v>
      </c>
      <c r="B4140" t="s">
        <v>199</v>
      </c>
      <c r="C4140" t="s">
        <v>217</v>
      </c>
      <c r="D4140" t="s">
        <v>1020</v>
      </c>
      <c r="E4140" s="3">
        <v>0.93840000000000001</v>
      </c>
      <c r="F4140" s="3">
        <v>0.65339999999999998</v>
      </c>
      <c r="G4140" s="3">
        <v>0.94450000000000001</v>
      </c>
      <c r="H4140" s="3">
        <v>0.75570000000000004</v>
      </c>
      <c r="I4140" s="3">
        <v>0.87239999999999995</v>
      </c>
      <c r="J4140" s="3">
        <v>0.84119999999999995</v>
      </c>
      <c r="K4140" s="3">
        <v>0.81240000000000001</v>
      </c>
      <c r="L4140" s="3">
        <v>0.92249999999999999</v>
      </c>
      <c r="M4140" s="3">
        <v>0.96630000000000005</v>
      </c>
      <c r="N4140" s="3">
        <v>0.98170000000000002</v>
      </c>
      <c r="O4140">
        <v>888</v>
      </c>
      <c r="P4140">
        <v>814</v>
      </c>
      <c r="Q4140">
        <v>2677</v>
      </c>
    </row>
    <row r="4141" spans="1:17">
      <c r="A4141" t="s">
        <v>194</v>
      </c>
      <c r="B4141" t="s">
        <v>199</v>
      </c>
      <c r="C4141" t="s">
        <v>217</v>
      </c>
      <c r="D4141" t="s">
        <v>1021</v>
      </c>
      <c r="E4141" s="3">
        <v>2.4799999999999999E-2</v>
      </c>
      <c r="F4141" s="3">
        <v>5.5399999999999998E-2</v>
      </c>
      <c r="G4141" s="3">
        <v>4.5999999999999999E-3</v>
      </c>
      <c r="H4141" s="3">
        <v>5.8000000000000003E-2</v>
      </c>
      <c r="I4141" s="3">
        <v>9.69E-2</v>
      </c>
      <c r="J4141" s="3">
        <v>1.3100000000000001E-2</v>
      </c>
      <c r="K4141" s="3">
        <v>0.1686</v>
      </c>
      <c r="L4141" s="3">
        <v>6.4299999999999996E-2</v>
      </c>
      <c r="M4141" s="3">
        <v>1.52E-2</v>
      </c>
      <c r="N4141" s="3">
        <v>1.44E-2</v>
      </c>
      <c r="O4141">
        <v>888</v>
      </c>
      <c r="P4141">
        <v>814</v>
      </c>
      <c r="Q4141">
        <v>2677</v>
      </c>
    </row>
    <row r="4142" spans="1:17">
      <c r="A4142" t="s">
        <v>194</v>
      </c>
      <c r="B4142" t="s">
        <v>199</v>
      </c>
      <c r="C4142" t="s">
        <v>217</v>
      </c>
      <c r="D4142" t="s">
        <v>227</v>
      </c>
      <c r="E4142" s="3">
        <v>2.9600000000000001E-2</v>
      </c>
      <c r="F4142" s="3">
        <v>0.26190000000000002</v>
      </c>
      <c r="G4142" s="3">
        <v>5.0700000000000002E-2</v>
      </c>
      <c r="H4142" s="3">
        <v>0.17780000000000001</v>
      </c>
      <c r="I4142" s="3">
        <v>2.4400000000000002E-2</v>
      </c>
      <c r="J4142" s="3">
        <v>0.13550000000000001</v>
      </c>
      <c r="K4142" s="3">
        <v>1.8499999999999999E-2</v>
      </c>
      <c r="L4142" s="3">
        <v>1.17E-2</v>
      </c>
      <c r="M4142" s="3">
        <v>1.83E-2</v>
      </c>
      <c r="N4142" s="3">
        <v>3.8999999999999998E-3</v>
      </c>
      <c r="O4142">
        <v>888</v>
      </c>
      <c r="P4142">
        <v>814</v>
      </c>
      <c r="Q4142">
        <v>2677</v>
      </c>
    </row>
    <row r="4143" spans="1:17">
      <c r="A4143" t="s">
        <v>194</v>
      </c>
      <c r="B4143" t="s">
        <v>199</v>
      </c>
      <c r="C4143" t="s">
        <v>219</v>
      </c>
      <c r="D4143" t="s">
        <v>1019</v>
      </c>
      <c r="E4143" s="3">
        <v>3.0000000000000001E-3</v>
      </c>
      <c r="F4143" s="3">
        <v>2.2800000000000001E-2</v>
      </c>
      <c r="G4143" s="3">
        <v>5.4000000000000003E-3</v>
      </c>
      <c r="H4143" s="3">
        <v>1.09E-2</v>
      </c>
      <c r="I4143" s="3">
        <v>6.7999999999999996E-3</v>
      </c>
      <c r="J4143" s="3">
        <v>1.1599999999999999E-2</v>
      </c>
      <c r="K4143" s="3">
        <v>3.2000000000000002E-3</v>
      </c>
      <c r="L4143" s="3">
        <v>4.3E-3</v>
      </c>
      <c r="M4143" s="3">
        <v>2.0999999999999999E-3</v>
      </c>
      <c r="N4143" s="3">
        <v>2.2000000000000001E-3</v>
      </c>
      <c r="O4143">
        <v>367</v>
      </c>
      <c r="P4143">
        <v>451</v>
      </c>
      <c r="Q4143">
        <v>2677</v>
      </c>
    </row>
    <row r="4144" spans="1:17">
      <c r="A4144" t="s">
        <v>194</v>
      </c>
      <c r="B4144" t="s">
        <v>199</v>
      </c>
      <c r="C4144" t="s">
        <v>219</v>
      </c>
      <c r="D4144" t="s">
        <v>1020</v>
      </c>
      <c r="E4144" s="3">
        <v>0.89270000000000005</v>
      </c>
      <c r="F4144" s="3">
        <v>0.53120000000000001</v>
      </c>
      <c r="G4144" s="3">
        <v>0.89180000000000004</v>
      </c>
      <c r="H4144" s="3">
        <v>0.72060000000000002</v>
      </c>
      <c r="I4144" s="3">
        <v>0.78769999999999996</v>
      </c>
      <c r="J4144" s="3">
        <v>0.74450000000000005</v>
      </c>
      <c r="K4144" s="3">
        <v>0.75029999999999997</v>
      </c>
      <c r="L4144" s="3">
        <v>0.83960000000000001</v>
      </c>
      <c r="M4144" s="3">
        <v>0.89459999999999995</v>
      </c>
      <c r="N4144" s="3">
        <v>0.91720000000000002</v>
      </c>
      <c r="O4144">
        <v>367</v>
      </c>
      <c r="P4144">
        <v>451</v>
      </c>
      <c r="Q4144">
        <v>2677</v>
      </c>
    </row>
    <row r="4145" spans="1:17">
      <c r="A4145" t="s">
        <v>194</v>
      </c>
      <c r="B4145" t="s">
        <v>199</v>
      </c>
      <c r="C4145" t="s">
        <v>219</v>
      </c>
      <c r="D4145" t="s">
        <v>1021</v>
      </c>
      <c r="E4145" s="3">
        <v>7.6700000000000004E-2</v>
      </c>
      <c r="F4145" s="3">
        <v>0.19639999999999999</v>
      </c>
      <c r="G4145" s="3">
        <v>4.1700000000000001E-2</v>
      </c>
      <c r="H4145" s="3">
        <v>0.13589999999999999</v>
      </c>
      <c r="I4145" s="3">
        <v>0.192</v>
      </c>
      <c r="J4145" s="3">
        <v>4.9700000000000001E-2</v>
      </c>
      <c r="K4145" s="3">
        <v>0.2162</v>
      </c>
      <c r="L4145" s="3">
        <v>0.15440000000000001</v>
      </c>
      <c r="M4145" s="3">
        <v>9.2399999999999996E-2</v>
      </c>
      <c r="N4145" s="3">
        <v>7.5800000000000006E-2</v>
      </c>
      <c r="O4145">
        <v>367</v>
      </c>
      <c r="P4145">
        <v>451</v>
      </c>
      <c r="Q4145">
        <v>2677</v>
      </c>
    </row>
    <row r="4146" spans="1:17">
      <c r="A4146" t="s">
        <v>194</v>
      </c>
      <c r="B4146" t="s">
        <v>199</v>
      </c>
      <c r="C4146" t="s">
        <v>219</v>
      </c>
      <c r="D4146" t="s">
        <v>227</v>
      </c>
      <c r="E4146" s="3">
        <v>2.7699999999999999E-2</v>
      </c>
      <c r="F4146" s="3">
        <v>0.24959999999999999</v>
      </c>
      <c r="G4146" s="3">
        <v>6.1100000000000002E-2</v>
      </c>
      <c r="H4146" s="3">
        <v>0.1326</v>
      </c>
      <c r="I4146" s="3">
        <v>1.35E-2</v>
      </c>
      <c r="J4146" s="3">
        <v>0.19409999999999999</v>
      </c>
      <c r="K4146" s="3">
        <v>3.0300000000000001E-2</v>
      </c>
      <c r="L4146" s="3">
        <v>1.6999999999999999E-3</v>
      </c>
      <c r="M4146" s="3">
        <v>1.09E-2</v>
      </c>
      <c r="N4146" s="3">
        <v>4.7999999999999996E-3</v>
      </c>
      <c r="O4146">
        <v>367</v>
      </c>
      <c r="P4146">
        <v>451</v>
      </c>
      <c r="Q4146">
        <v>2677</v>
      </c>
    </row>
    <row r="4147" spans="1:17">
      <c r="A4147" t="s">
        <v>194</v>
      </c>
      <c r="B4147" t="s">
        <v>199</v>
      </c>
      <c r="C4147" t="s">
        <v>220</v>
      </c>
      <c r="D4147" t="s">
        <v>1019</v>
      </c>
      <c r="E4147" s="3">
        <v>6.7999999999999996E-3</v>
      </c>
      <c r="F4147" s="3">
        <v>5.2400000000000002E-2</v>
      </c>
      <c r="H4147" s="3">
        <v>2.7000000000000001E-3</v>
      </c>
      <c r="I4147" s="3">
        <v>6.1000000000000004E-3</v>
      </c>
      <c r="J4147" s="3">
        <v>1.2800000000000001E-2</v>
      </c>
      <c r="K4147" s="3">
        <v>6.9999999999999999E-4</v>
      </c>
      <c r="L4147" s="3">
        <v>6.1999999999999998E-3</v>
      </c>
      <c r="O4147">
        <v>233</v>
      </c>
      <c r="P4147">
        <v>223</v>
      </c>
      <c r="Q4147">
        <v>2677</v>
      </c>
    </row>
    <row r="4148" spans="1:17">
      <c r="A4148" t="s">
        <v>194</v>
      </c>
      <c r="B4148" t="s">
        <v>199</v>
      </c>
      <c r="C4148" t="s">
        <v>220</v>
      </c>
      <c r="D4148" t="s">
        <v>1020</v>
      </c>
      <c r="E4148" s="3">
        <v>0.97440000000000004</v>
      </c>
      <c r="F4148" s="3">
        <v>0.62039999999999995</v>
      </c>
      <c r="G4148" s="3">
        <v>0.98540000000000005</v>
      </c>
      <c r="H4148" s="3">
        <v>0.79830000000000001</v>
      </c>
      <c r="I4148" s="3">
        <v>0.87780000000000002</v>
      </c>
      <c r="J4148" s="3">
        <v>0.85389999999999999</v>
      </c>
      <c r="K4148" s="3">
        <v>0.79459999999999997</v>
      </c>
      <c r="L4148" s="3">
        <v>0.82740000000000002</v>
      </c>
      <c r="M4148" s="3">
        <v>0.94620000000000004</v>
      </c>
      <c r="N4148" s="3">
        <v>0.97870000000000001</v>
      </c>
      <c r="O4148">
        <v>233</v>
      </c>
      <c r="P4148">
        <v>223</v>
      </c>
      <c r="Q4148">
        <v>2677</v>
      </c>
    </row>
    <row r="4149" spans="1:17">
      <c r="A4149" t="s">
        <v>194</v>
      </c>
      <c r="B4149" t="s">
        <v>199</v>
      </c>
      <c r="C4149" t="s">
        <v>220</v>
      </c>
      <c r="D4149" t="s">
        <v>1021</v>
      </c>
      <c r="E4149" s="3">
        <v>1.2999999999999999E-3</v>
      </c>
      <c r="F4149" s="3">
        <v>3.7999999999999999E-2</v>
      </c>
      <c r="H4149" s="3">
        <v>1.9E-2</v>
      </c>
      <c r="I4149" s="3">
        <v>8.3500000000000005E-2</v>
      </c>
      <c r="J4149" s="3">
        <v>4.8999999999999998E-3</v>
      </c>
      <c r="K4149" s="3">
        <v>0.1852</v>
      </c>
      <c r="L4149" s="3">
        <v>0.13850000000000001</v>
      </c>
      <c r="M4149" s="3">
        <v>5.1000000000000004E-3</v>
      </c>
      <c r="N4149" s="3">
        <v>5.7999999999999996E-3</v>
      </c>
      <c r="O4149">
        <v>233</v>
      </c>
      <c r="P4149">
        <v>223</v>
      </c>
      <c r="Q4149">
        <v>2677</v>
      </c>
    </row>
    <row r="4150" spans="1:17">
      <c r="A4150" t="s">
        <v>194</v>
      </c>
      <c r="B4150" t="s">
        <v>199</v>
      </c>
      <c r="C4150" t="s">
        <v>220</v>
      </c>
      <c r="D4150" t="s">
        <v>227</v>
      </c>
      <c r="E4150" s="3">
        <v>1.7500000000000002E-2</v>
      </c>
      <c r="F4150" s="3">
        <v>0.28920000000000001</v>
      </c>
      <c r="G4150" s="3">
        <v>1.46E-2</v>
      </c>
      <c r="H4150" s="3">
        <v>0.18</v>
      </c>
      <c r="I4150" s="3">
        <v>3.2599999999999997E-2</v>
      </c>
      <c r="J4150" s="3">
        <v>0.1285</v>
      </c>
      <c r="K4150" s="3">
        <v>1.95E-2</v>
      </c>
      <c r="L4150" s="3">
        <v>2.7900000000000001E-2</v>
      </c>
      <c r="M4150" s="3">
        <v>4.87E-2</v>
      </c>
      <c r="N4150" s="3">
        <v>1.55E-2</v>
      </c>
      <c r="O4150">
        <v>233</v>
      </c>
      <c r="P4150">
        <v>223</v>
      </c>
      <c r="Q4150">
        <v>2677</v>
      </c>
    </row>
    <row r="4151" spans="1:17">
      <c r="A4151" t="s">
        <v>200</v>
      </c>
      <c r="B4151" t="s">
        <v>200</v>
      </c>
      <c r="C4151" t="s">
        <v>200</v>
      </c>
      <c r="D4151" t="s">
        <v>1019</v>
      </c>
      <c r="E4151" s="3">
        <v>1.0699999999999999E-2</v>
      </c>
      <c r="F4151" s="3">
        <v>6.9000000000000006E-2</v>
      </c>
      <c r="G4151" s="3">
        <v>4.4999999999999997E-3</v>
      </c>
      <c r="H4151" s="3">
        <v>7.7000000000000002E-3</v>
      </c>
      <c r="I4151" s="3">
        <v>9.4999999999999998E-3</v>
      </c>
      <c r="J4151" s="3">
        <v>7.1999999999999998E-3</v>
      </c>
      <c r="K4151" s="3">
        <v>1.2999999999999999E-3</v>
      </c>
      <c r="L4151" s="3">
        <v>6.1000000000000004E-3</v>
      </c>
      <c r="M4151" s="3">
        <v>1E-3</v>
      </c>
      <c r="N4151" s="3">
        <v>2.9999999999999997E-4</v>
      </c>
      <c r="O4151">
        <v>2677</v>
      </c>
      <c r="P4151">
        <v>2677</v>
      </c>
      <c r="Q4151">
        <v>2677</v>
      </c>
    </row>
    <row r="4152" spans="1:17">
      <c r="A4152" t="s">
        <v>200</v>
      </c>
      <c r="B4152" t="s">
        <v>200</v>
      </c>
      <c r="C4152" t="s">
        <v>200</v>
      </c>
      <c r="D4152" t="s">
        <v>1020</v>
      </c>
      <c r="E4152" s="3">
        <v>0.84989999999999999</v>
      </c>
      <c r="F4152" s="3">
        <v>0.48959999999999998</v>
      </c>
      <c r="G4152" s="3">
        <v>0.90149999999999997</v>
      </c>
      <c r="H4152" s="3">
        <v>0.71079999999999999</v>
      </c>
      <c r="I4152" s="3">
        <v>0.7843</v>
      </c>
      <c r="J4152" s="3">
        <v>0.73729999999999996</v>
      </c>
      <c r="K4152" s="3">
        <v>0.78320000000000001</v>
      </c>
      <c r="L4152" s="3">
        <v>0.79190000000000005</v>
      </c>
      <c r="M4152" s="3">
        <v>0.91600000000000004</v>
      </c>
      <c r="N4152" s="3">
        <v>0.96519999999999995</v>
      </c>
      <c r="O4152">
        <v>2677</v>
      </c>
      <c r="P4152">
        <v>2677</v>
      </c>
      <c r="Q4152">
        <v>2677</v>
      </c>
    </row>
    <row r="4153" spans="1:17">
      <c r="A4153" t="s">
        <v>200</v>
      </c>
      <c r="B4153" t="s">
        <v>200</v>
      </c>
      <c r="C4153" t="s">
        <v>200</v>
      </c>
      <c r="D4153" t="s">
        <v>1021</v>
      </c>
      <c r="E4153" s="3">
        <v>0.1017</v>
      </c>
      <c r="F4153" s="3">
        <v>0.1125</v>
      </c>
      <c r="G4153" s="3">
        <v>1.41E-2</v>
      </c>
      <c r="H4153" s="3">
        <v>8.1900000000000001E-2</v>
      </c>
      <c r="I4153" s="3">
        <v>0.1835</v>
      </c>
      <c r="J4153" s="3">
        <v>1.95E-2</v>
      </c>
      <c r="K4153" s="3">
        <v>0.17599999999999999</v>
      </c>
      <c r="L4153" s="3">
        <v>0.1943</v>
      </c>
      <c r="M4153" s="3">
        <v>4.9500000000000002E-2</v>
      </c>
      <c r="N4153" s="3">
        <v>2.5399999999999999E-2</v>
      </c>
      <c r="O4153">
        <v>2677</v>
      </c>
      <c r="P4153">
        <v>2677</v>
      </c>
      <c r="Q4153">
        <v>2677</v>
      </c>
    </row>
    <row r="4154" spans="1:17">
      <c r="A4154" t="s">
        <v>200</v>
      </c>
      <c r="B4154" t="s">
        <v>200</v>
      </c>
      <c r="C4154" t="s">
        <v>200</v>
      </c>
      <c r="D4154" t="s">
        <v>227</v>
      </c>
      <c r="E4154" s="3">
        <v>3.7699999999999997E-2</v>
      </c>
      <c r="F4154" s="3">
        <v>0.32890000000000003</v>
      </c>
      <c r="G4154" s="3">
        <v>7.9899999999999999E-2</v>
      </c>
      <c r="H4154" s="3">
        <v>0.19950000000000001</v>
      </c>
      <c r="I4154" s="3">
        <v>2.2700000000000001E-2</v>
      </c>
      <c r="J4154" s="3">
        <v>0.23599999999999999</v>
      </c>
      <c r="K4154" s="3">
        <v>3.9399999999999998E-2</v>
      </c>
      <c r="L4154" s="3">
        <v>7.7000000000000002E-3</v>
      </c>
      <c r="M4154" s="3">
        <v>3.3599999999999998E-2</v>
      </c>
      <c r="N4154" s="3">
        <v>9.1000000000000004E-3</v>
      </c>
      <c r="O4154">
        <v>2677</v>
      </c>
      <c r="P4154">
        <v>2677</v>
      </c>
      <c r="Q4154">
        <v>2677</v>
      </c>
    </row>
    <row r="4156" spans="1:17" ht="45">
      <c r="A4156" s="22" t="s">
        <v>1027</v>
      </c>
    </row>
    <row r="4157" spans="1:17">
      <c r="A4157" t="s">
        <v>185</v>
      </c>
      <c r="B4157" t="s">
        <v>186</v>
      </c>
      <c r="C4157" t="s">
        <v>192</v>
      </c>
      <c r="D4157" t="s">
        <v>184</v>
      </c>
      <c r="E4157" t="s">
        <v>193</v>
      </c>
      <c r="F4157" t="s">
        <v>257</v>
      </c>
      <c r="G4157" t="s">
        <v>1028</v>
      </c>
      <c r="H4157" t="s">
        <v>1029</v>
      </c>
      <c r="I4157" t="s">
        <v>1030</v>
      </c>
      <c r="J4157" t="s">
        <v>1031</v>
      </c>
      <c r="K4157" t="s">
        <v>1032</v>
      </c>
    </row>
    <row r="4158" spans="1:17">
      <c r="A4158" t="s">
        <v>195</v>
      </c>
      <c r="B4158" t="s">
        <v>196</v>
      </c>
      <c r="C4158">
        <v>280</v>
      </c>
      <c r="D4158" t="s">
        <v>194</v>
      </c>
      <c r="E4158">
        <v>1609</v>
      </c>
      <c r="F4158" s="3">
        <v>6.08E-2</v>
      </c>
      <c r="G4158" s="3">
        <v>6.8500000000000005E-2</v>
      </c>
      <c r="H4158" s="3">
        <v>9.6699999999999994E-2</v>
      </c>
      <c r="I4158" s="3">
        <v>0.63770000000000004</v>
      </c>
      <c r="J4158" s="3">
        <v>0.52639999999999998</v>
      </c>
      <c r="K4158" s="3">
        <v>0.57379999999999998</v>
      </c>
    </row>
    <row r="4159" spans="1:17">
      <c r="A4159" t="s">
        <v>195</v>
      </c>
      <c r="B4159" t="s">
        <v>198</v>
      </c>
      <c r="C4159">
        <v>511</v>
      </c>
      <c r="D4159" t="s">
        <v>194</v>
      </c>
      <c r="E4159">
        <v>1609</v>
      </c>
      <c r="F4159" s="3">
        <v>6.5699999999999995E-2</v>
      </c>
      <c r="G4159" s="3">
        <v>2.0899999999999998E-2</v>
      </c>
      <c r="H4159" s="3">
        <v>0.12330000000000001</v>
      </c>
      <c r="I4159" s="3">
        <v>0.61280000000000001</v>
      </c>
      <c r="J4159" s="3">
        <v>0.47939999999999999</v>
      </c>
      <c r="K4159" s="3">
        <v>0.59340000000000004</v>
      </c>
    </row>
    <row r="4160" spans="1:17">
      <c r="A4160" t="s">
        <v>199</v>
      </c>
      <c r="B4160" t="s">
        <v>196</v>
      </c>
      <c r="C4160">
        <v>305</v>
      </c>
      <c r="D4160" t="s">
        <v>194</v>
      </c>
      <c r="E4160">
        <v>1609</v>
      </c>
      <c r="F4160" s="3">
        <v>4.5999999999999999E-2</v>
      </c>
      <c r="G4160" s="3">
        <v>4.9700000000000001E-2</v>
      </c>
      <c r="H4160" s="3">
        <v>0.18679999999999999</v>
      </c>
      <c r="I4160" s="3">
        <v>0.62960000000000005</v>
      </c>
      <c r="J4160" s="3">
        <v>0.67530000000000001</v>
      </c>
      <c r="K4160" s="3">
        <v>0.39879999999999999</v>
      </c>
    </row>
    <row r="4161" spans="1:11">
      <c r="A4161" t="s">
        <v>199</v>
      </c>
      <c r="B4161" t="s">
        <v>198</v>
      </c>
      <c r="C4161">
        <v>485</v>
      </c>
      <c r="D4161" t="s">
        <v>194</v>
      </c>
      <c r="E4161">
        <v>1609</v>
      </c>
      <c r="F4161" s="3">
        <v>2.9399999999999999E-2</v>
      </c>
      <c r="G4161" s="3">
        <v>6.6400000000000001E-2</v>
      </c>
      <c r="H4161" s="3">
        <v>9.1700000000000004E-2</v>
      </c>
      <c r="I4161" s="3">
        <v>0.56779999999999997</v>
      </c>
      <c r="J4161" s="3">
        <v>0.54100000000000004</v>
      </c>
      <c r="K4161" s="3">
        <v>0.56640000000000001</v>
      </c>
    </row>
    <row r="4162" spans="1:11">
      <c r="A4162" t="s">
        <v>200</v>
      </c>
      <c r="B4162" t="s">
        <v>200</v>
      </c>
      <c r="C4162">
        <v>1609</v>
      </c>
      <c r="D4162" t="s">
        <v>200</v>
      </c>
      <c r="E4162">
        <v>1609</v>
      </c>
      <c r="F4162" s="3">
        <v>5.1900000000000002E-2</v>
      </c>
      <c r="G4162" s="3">
        <v>4.5600000000000002E-2</v>
      </c>
      <c r="H4162" s="3">
        <v>0.1145</v>
      </c>
      <c r="I4162" s="3">
        <v>0.60219999999999996</v>
      </c>
      <c r="J4162" s="3">
        <v>0.52329999999999999</v>
      </c>
      <c r="K4162" s="3">
        <v>0.56440000000000001</v>
      </c>
    </row>
    <row r="4164" spans="1:11" ht="45">
      <c r="A4164" s="22" t="s">
        <v>1033</v>
      </c>
    </row>
    <row r="4165" spans="1:11">
      <c r="A4165" t="s">
        <v>185</v>
      </c>
      <c r="B4165" t="s">
        <v>186</v>
      </c>
      <c r="C4165" t="s">
        <v>192</v>
      </c>
      <c r="D4165" t="s">
        <v>184</v>
      </c>
      <c r="E4165" t="s">
        <v>193</v>
      </c>
      <c r="F4165" t="s">
        <v>257</v>
      </c>
      <c r="G4165" t="s">
        <v>1028</v>
      </c>
      <c r="H4165" t="s">
        <v>1029</v>
      </c>
      <c r="I4165" t="s">
        <v>1030</v>
      </c>
      <c r="J4165" t="s">
        <v>1031</v>
      </c>
      <c r="K4165" t="s">
        <v>1032</v>
      </c>
    </row>
    <row r="4166" spans="1:11">
      <c r="A4166" t="s">
        <v>195</v>
      </c>
      <c r="B4166" t="s">
        <v>202</v>
      </c>
      <c r="C4166">
        <v>340</v>
      </c>
      <c r="D4166" t="s">
        <v>194</v>
      </c>
      <c r="E4166">
        <v>1609</v>
      </c>
      <c r="F4166" s="3">
        <v>6.7900000000000002E-2</v>
      </c>
      <c r="G4166" s="3">
        <v>3.2300000000000002E-2</v>
      </c>
      <c r="H4166" s="3">
        <v>8.5900000000000004E-2</v>
      </c>
      <c r="I4166" s="3">
        <v>0.61180000000000001</v>
      </c>
      <c r="J4166" s="3">
        <v>0.51580000000000004</v>
      </c>
      <c r="K4166" s="3">
        <v>0.56179999999999997</v>
      </c>
    </row>
    <row r="4167" spans="1:11">
      <c r="A4167" t="s">
        <v>195</v>
      </c>
      <c r="B4167" t="s">
        <v>204</v>
      </c>
      <c r="C4167">
        <v>204</v>
      </c>
      <c r="D4167" t="s">
        <v>194</v>
      </c>
      <c r="E4167">
        <v>1609</v>
      </c>
      <c r="F4167" s="3">
        <v>4.2500000000000003E-2</v>
      </c>
      <c r="G4167" s="3">
        <v>4.65E-2</v>
      </c>
      <c r="H4167" s="3">
        <v>0.1537</v>
      </c>
      <c r="I4167" s="3">
        <v>0.64480000000000004</v>
      </c>
      <c r="J4167" s="3">
        <v>0.45550000000000002</v>
      </c>
      <c r="K4167" s="3">
        <v>0.64190000000000003</v>
      </c>
    </row>
    <row r="4168" spans="1:11">
      <c r="A4168" t="s">
        <v>195</v>
      </c>
      <c r="B4168" t="s">
        <v>205</v>
      </c>
      <c r="C4168">
        <v>247</v>
      </c>
      <c r="D4168" t="s">
        <v>194</v>
      </c>
      <c r="E4168">
        <v>1609</v>
      </c>
      <c r="F4168" s="3">
        <v>7.7899999999999997E-2</v>
      </c>
      <c r="G4168" s="3">
        <v>2.23E-2</v>
      </c>
      <c r="H4168" s="3">
        <v>0.19489999999999999</v>
      </c>
      <c r="I4168" s="3">
        <v>0.61890000000000001</v>
      </c>
      <c r="J4168" s="3">
        <v>0.43859999999999999</v>
      </c>
      <c r="K4168" s="3">
        <v>0.62980000000000003</v>
      </c>
    </row>
    <row r="4169" spans="1:11">
      <c r="A4169" t="s">
        <v>199</v>
      </c>
      <c r="B4169" t="s">
        <v>202</v>
      </c>
      <c r="C4169">
        <v>212</v>
      </c>
      <c r="D4169" t="s">
        <v>194</v>
      </c>
      <c r="E4169">
        <v>1609</v>
      </c>
      <c r="F4169" s="3">
        <v>1.2800000000000001E-2</v>
      </c>
      <c r="G4169" s="3">
        <v>5.2400000000000002E-2</v>
      </c>
      <c r="H4169" s="3">
        <v>0.1263</v>
      </c>
      <c r="I4169" s="3">
        <v>0.63980000000000004</v>
      </c>
      <c r="J4169" s="3">
        <v>0.59119999999999995</v>
      </c>
      <c r="K4169" s="3">
        <v>0.53410000000000002</v>
      </c>
    </row>
    <row r="4170" spans="1:11">
      <c r="A4170" t="s">
        <v>199</v>
      </c>
      <c r="B4170" t="s">
        <v>204</v>
      </c>
      <c r="C4170">
        <v>237</v>
      </c>
      <c r="D4170" t="s">
        <v>194</v>
      </c>
      <c r="E4170">
        <v>1609</v>
      </c>
      <c r="F4170" s="3">
        <v>4.0599999999999997E-2</v>
      </c>
      <c r="G4170" s="3">
        <v>7.17E-2</v>
      </c>
      <c r="H4170" s="3">
        <v>5.5199999999999999E-2</v>
      </c>
      <c r="I4170" s="3">
        <v>0.56720000000000004</v>
      </c>
      <c r="J4170" s="3">
        <v>0.57099999999999995</v>
      </c>
      <c r="K4170" s="3">
        <v>0.57909999999999995</v>
      </c>
    </row>
    <row r="4171" spans="1:11">
      <c r="A4171" t="s">
        <v>199</v>
      </c>
      <c r="B4171" t="s">
        <v>205</v>
      </c>
      <c r="C4171">
        <v>341</v>
      </c>
      <c r="D4171" t="s">
        <v>194</v>
      </c>
      <c r="E4171">
        <v>1609</v>
      </c>
      <c r="F4171" s="3">
        <v>6.59E-2</v>
      </c>
      <c r="G4171" s="3">
        <v>7.6700000000000004E-2</v>
      </c>
      <c r="H4171" s="3">
        <v>0.1288</v>
      </c>
      <c r="I4171" s="3">
        <v>0.47199999999999998</v>
      </c>
      <c r="J4171" s="3">
        <v>0.51919999999999999</v>
      </c>
      <c r="K4171" s="3">
        <v>0.48859999999999998</v>
      </c>
    </row>
    <row r="4172" spans="1:11">
      <c r="A4172" t="s">
        <v>200</v>
      </c>
      <c r="B4172" t="s">
        <v>200</v>
      </c>
      <c r="C4172">
        <v>1609</v>
      </c>
      <c r="D4172" t="s">
        <v>200</v>
      </c>
      <c r="E4172">
        <v>1609</v>
      </c>
      <c r="F4172" s="3">
        <v>5.1900000000000002E-2</v>
      </c>
      <c r="G4172" s="3">
        <v>4.5600000000000002E-2</v>
      </c>
      <c r="H4172" s="3">
        <v>0.1145</v>
      </c>
      <c r="I4172" s="3">
        <v>0.60219999999999996</v>
      </c>
      <c r="J4172" s="3">
        <v>0.52329999999999999</v>
      </c>
      <c r="K4172" s="3">
        <v>0.56440000000000001</v>
      </c>
    </row>
    <row r="4174" spans="1:11" ht="45">
      <c r="A4174" s="22" t="s">
        <v>1034</v>
      </c>
    </row>
    <row r="4175" spans="1:11">
      <c r="A4175" t="s">
        <v>185</v>
      </c>
      <c r="B4175" t="s">
        <v>186</v>
      </c>
      <c r="C4175" t="s">
        <v>192</v>
      </c>
      <c r="D4175" t="s">
        <v>184</v>
      </c>
      <c r="E4175" t="s">
        <v>193</v>
      </c>
      <c r="F4175" t="s">
        <v>257</v>
      </c>
      <c r="G4175" t="s">
        <v>1028</v>
      </c>
      <c r="H4175" t="s">
        <v>1029</v>
      </c>
      <c r="I4175" t="s">
        <v>1030</v>
      </c>
      <c r="J4175" t="s">
        <v>1031</v>
      </c>
      <c r="K4175" t="s">
        <v>1032</v>
      </c>
    </row>
    <row r="4176" spans="1:11">
      <c r="A4176" t="s">
        <v>195</v>
      </c>
      <c r="B4176" t="s">
        <v>207</v>
      </c>
      <c r="C4176">
        <v>250</v>
      </c>
      <c r="D4176" t="s">
        <v>194</v>
      </c>
      <c r="E4176">
        <v>1609</v>
      </c>
      <c r="F4176" s="3">
        <v>7.1199999999999999E-2</v>
      </c>
      <c r="G4176" s="3">
        <v>4.02E-2</v>
      </c>
      <c r="H4176" s="3">
        <v>9.8900000000000002E-2</v>
      </c>
      <c r="I4176" s="3">
        <v>0.55549999999999999</v>
      </c>
      <c r="J4176" s="3">
        <v>0.67220000000000002</v>
      </c>
      <c r="K4176" s="3">
        <v>0.50929999999999997</v>
      </c>
    </row>
    <row r="4177" spans="1:11">
      <c r="A4177" t="s">
        <v>195</v>
      </c>
      <c r="B4177" t="s">
        <v>209</v>
      </c>
      <c r="C4177">
        <v>556</v>
      </c>
      <c r="D4177" t="s">
        <v>194</v>
      </c>
      <c r="E4177">
        <v>1609</v>
      </c>
      <c r="F4177" s="3">
        <v>6.1499999999999999E-2</v>
      </c>
      <c r="G4177" s="3">
        <v>3.04E-2</v>
      </c>
      <c r="H4177" s="3">
        <v>0.12509999999999999</v>
      </c>
      <c r="I4177" s="3">
        <v>0.64570000000000005</v>
      </c>
      <c r="J4177" s="3">
        <v>0.4153</v>
      </c>
      <c r="K4177" s="3">
        <v>0.62109999999999999</v>
      </c>
    </row>
    <row r="4178" spans="1:11">
      <c r="A4178" t="s">
        <v>199</v>
      </c>
      <c r="B4178" t="s">
        <v>207</v>
      </c>
      <c r="C4178">
        <v>218</v>
      </c>
      <c r="D4178" t="s">
        <v>194</v>
      </c>
      <c r="E4178">
        <v>1609</v>
      </c>
      <c r="F4178" s="3">
        <v>1.78E-2</v>
      </c>
      <c r="G4178" s="3">
        <v>5.67E-2</v>
      </c>
      <c r="H4178" s="3">
        <v>0.17630000000000001</v>
      </c>
      <c r="I4178" s="3">
        <v>0.66559999999999997</v>
      </c>
      <c r="J4178" s="3">
        <v>0.58460000000000001</v>
      </c>
      <c r="K4178" s="3">
        <v>0.55359999999999998</v>
      </c>
    </row>
    <row r="4179" spans="1:11">
      <c r="A4179" t="s">
        <v>199</v>
      </c>
      <c r="B4179" t="s">
        <v>209</v>
      </c>
      <c r="C4179">
        <v>585</v>
      </c>
      <c r="D4179" t="s">
        <v>194</v>
      </c>
      <c r="E4179">
        <v>1609</v>
      </c>
      <c r="F4179" s="3">
        <v>3.9E-2</v>
      </c>
      <c r="G4179" s="3">
        <v>6.4600000000000005E-2</v>
      </c>
      <c r="H4179" s="3">
        <v>9.1899999999999996E-2</v>
      </c>
      <c r="I4179" s="3">
        <v>0.55420000000000003</v>
      </c>
      <c r="J4179" s="3">
        <v>0.56220000000000003</v>
      </c>
      <c r="K4179" s="3">
        <v>0.52529999999999999</v>
      </c>
    </row>
    <row r="4180" spans="1:11">
      <c r="A4180" t="s">
        <v>200</v>
      </c>
      <c r="B4180" t="s">
        <v>200</v>
      </c>
      <c r="C4180">
        <v>1609</v>
      </c>
      <c r="D4180" t="s">
        <v>200</v>
      </c>
      <c r="E4180">
        <v>1609</v>
      </c>
      <c r="F4180" s="3">
        <v>5.1900000000000002E-2</v>
      </c>
      <c r="G4180" s="3">
        <v>4.5600000000000002E-2</v>
      </c>
      <c r="H4180" s="3">
        <v>0.1145</v>
      </c>
      <c r="I4180" s="3">
        <v>0.60219999999999996</v>
      </c>
      <c r="J4180" s="3">
        <v>0.52329999999999999</v>
      </c>
      <c r="K4180" s="3">
        <v>0.56440000000000001</v>
      </c>
    </row>
    <row r="4182" spans="1:11" ht="45">
      <c r="A4182" s="22" t="s">
        <v>1035</v>
      </c>
    </row>
    <row r="4183" spans="1:11">
      <c r="A4183" t="s">
        <v>185</v>
      </c>
      <c r="B4183" t="s">
        <v>192</v>
      </c>
      <c r="C4183" t="s">
        <v>184</v>
      </c>
      <c r="D4183" t="s">
        <v>193</v>
      </c>
      <c r="E4183" t="s">
        <v>257</v>
      </c>
      <c r="F4183" t="s">
        <v>1028</v>
      </c>
      <c r="G4183" t="s">
        <v>1029</v>
      </c>
      <c r="H4183" t="s">
        <v>1030</v>
      </c>
      <c r="I4183" t="s">
        <v>1031</v>
      </c>
      <c r="J4183" t="s">
        <v>1032</v>
      </c>
    </row>
    <row r="4184" spans="1:11">
      <c r="A4184" t="s">
        <v>195</v>
      </c>
      <c r="B4184">
        <v>806</v>
      </c>
      <c r="C4184" t="s">
        <v>194</v>
      </c>
      <c r="D4184">
        <v>1609</v>
      </c>
      <c r="E4184" s="3">
        <v>6.4399999999999999E-2</v>
      </c>
      <c r="F4184" s="3">
        <v>3.3300000000000003E-2</v>
      </c>
      <c r="G4184" s="3">
        <v>0.1172</v>
      </c>
      <c r="H4184" s="3">
        <v>0.61870000000000003</v>
      </c>
      <c r="I4184" s="3">
        <v>0.49220000000000003</v>
      </c>
      <c r="J4184" s="3">
        <v>0.58760000000000001</v>
      </c>
    </row>
    <row r="4185" spans="1:11">
      <c r="A4185" t="s">
        <v>199</v>
      </c>
      <c r="B4185">
        <v>803</v>
      </c>
      <c r="C4185" t="s">
        <v>194</v>
      </c>
      <c r="D4185">
        <v>1609</v>
      </c>
      <c r="E4185" s="3">
        <v>3.4299999999999997E-2</v>
      </c>
      <c r="F4185" s="3">
        <v>6.2899999999999998E-2</v>
      </c>
      <c r="G4185" s="3">
        <v>0.11070000000000001</v>
      </c>
      <c r="H4185" s="3">
        <v>0.57899999999999996</v>
      </c>
      <c r="I4185" s="3">
        <v>0.56720000000000004</v>
      </c>
      <c r="J4185" s="3">
        <v>0.53159999999999996</v>
      </c>
    </row>
    <row r="4186" spans="1:11">
      <c r="A4186" t="s">
        <v>200</v>
      </c>
      <c r="B4186">
        <v>1609</v>
      </c>
      <c r="C4186" t="s">
        <v>200</v>
      </c>
      <c r="D4186">
        <v>1609</v>
      </c>
      <c r="E4186" s="3">
        <v>5.1900000000000002E-2</v>
      </c>
      <c r="F4186" s="3">
        <v>4.5600000000000002E-2</v>
      </c>
      <c r="G4186" s="3">
        <v>0.1145</v>
      </c>
      <c r="H4186" s="3">
        <v>0.60219999999999996</v>
      </c>
      <c r="I4186" s="3">
        <v>0.52329999999999999</v>
      </c>
      <c r="J4186" s="3">
        <v>0.56440000000000001</v>
      </c>
    </row>
    <row r="4188" spans="1:11" ht="45">
      <c r="A4188" s="22" t="s">
        <v>1036</v>
      </c>
    </row>
    <row r="4189" spans="1:11">
      <c r="A4189" t="s">
        <v>185</v>
      </c>
      <c r="B4189" t="s">
        <v>186</v>
      </c>
      <c r="C4189" t="s">
        <v>192</v>
      </c>
      <c r="D4189" t="s">
        <v>184</v>
      </c>
      <c r="E4189" t="s">
        <v>193</v>
      </c>
      <c r="F4189" t="s">
        <v>257</v>
      </c>
      <c r="G4189" t="s">
        <v>1028</v>
      </c>
      <c r="H4189" t="s">
        <v>1029</v>
      </c>
      <c r="I4189" t="s">
        <v>1030</v>
      </c>
      <c r="J4189" t="s">
        <v>1031</v>
      </c>
      <c r="K4189" t="s">
        <v>1032</v>
      </c>
    </row>
    <row r="4190" spans="1:11">
      <c r="A4190" t="s">
        <v>195</v>
      </c>
      <c r="B4190" t="s">
        <v>212</v>
      </c>
      <c r="C4190">
        <v>598</v>
      </c>
      <c r="D4190" t="s">
        <v>194</v>
      </c>
      <c r="E4190">
        <v>1609</v>
      </c>
      <c r="F4190" s="3">
        <v>5.4699999999999999E-2</v>
      </c>
      <c r="G4190" s="3">
        <v>3.9800000000000002E-2</v>
      </c>
      <c r="H4190" s="3">
        <v>0.1129</v>
      </c>
      <c r="I4190" s="3">
        <v>0.64590000000000003</v>
      </c>
      <c r="J4190" s="3">
        <v>0.50760000000000005</v>
      </c>
      <c r="K4190" s="3">
        <v>0.59640000000000004</v>
      </c>
    </row>
    <row r="4191" spans="1:11">
      <c r="A4191" t="s">
        <v>195</v>
      </c>
      <c r="B4191" t="s">
        <v>214</v>
      </c>
      <c r="C4191">
        <v>106</v>
      </c>
      <c r="D4191" t="s">
        <v>194</v>
      </c>
      <c r="E4191">
        <v>1609</v>
      </c>
      <c r="F4191" s="3">
        <v>7.9100000000000004E-2</v>
      </c>
      <c r="G4191" s="3">
        <v>6.3E-3</v>
      </c>
      <c r="H4191" s="3">
        <v>0.11169999999999999</v>
      </c>
      <c r="I4191" s="3">
        <v>0.54020000000000001</v>
      </c>
      <c r="J4191" s="3">
        <v>0.33339999999999997</v>
      </c>
      <c r="K4191" s="3">
        <v>0.56310000000000004</v>
      </c>
    </row>
    <row r="4192" spans="1:11">
      <c r="A4192" t="s">
        <v>195</v>
      </c>
      <c r="B4192" t="s">
        <v>215</v>
      </c>
      <c r="C4192">
        <v>102</v>
      </c>
      <c r="D4192" t="s">
        <v>194</v>
      </c>
      <c r="E4192">
        <v>1609</v>
      </c>
      <c r="F4192" s="3">
        <v>0.11840000000000001</v>
      </c>
      <c r="G4192" s="3">
        <v>2.1299999999999999E-2</v>
      </c>
      <c r="H4192" s="3">
        <v>0.15890000000000001</v>
      </c>
      <c r="I4192" s="3">
        <v>0.52039999999999997</v>
      </c>
      <c r="J4192" s="3">
        <v>0.5978</v>
      </c>
      <c r="K4192" s="3">
        <v>0.55500000000000005</v>
      </c>
    </row>
    <row r="4193" spans="1:11">
      <c r="A4193" t="s">
        <v>199</v>
      </c>
      <c r="B4193" t="s">
        <v>212</v>
      </c>
      <c r="C4193">
        <v>591</v>
      </c>
      <c r="D4193" t="s">
        <v>194</v>
      </c>
      <c r="E4193">
        <v>1609</v>
      </c>
      <c r="F4193" s="3">
        <v>3.9100000000000003E-2</v>
      </c>
      <c r="G4193" s="3">
        <v>6.25E-2</v>
      </c>
      <c r="H4193" s="3">
        <v>9.6799999999999997E-2</v>
      </c>
      <c r="I4193" s="3">
        <v>0.58620000000000005</v>
      </c>
      <c r="J4193" s="3">
        <v>0.55449999999999999</v>
      </c>
      <c r="K4193" s="3">
        <v>0.53559999999999997</v>
      </c>
    </row>
    <row r="4194" spans="1:11">
      <c r="A4194" t="s">
        <v>199</v>
      </c>
      <c r="B4194" t="s">
        <v>214</v>
      </c>
      <c r="C4194">
        <v>101</v>
      </c>
      <c r="D4194" t="s">
        <v>194</v>
      </c>
      <c r="E4194">
        <v>1609</v>
      </c>
      <c r="F4194" s="3">
        <v>2.3400000000000001E-2</v>
      </c>
      <c r="G4194" s="3">
        <v>6.8000000000000005E-2</v>
      </c>
      <c r="H4194" s="3">
        <v>8.8200000000000001E-2</v>
      </c>
      <c r="I4194" s="3">
        <v>0.54920000000000002</v>
      </c>
      <c r="J4194" s="3">
        <v>0.56950000000000001</v>
      </c>
      <c r="K4194" s="3">
        <v>0.56879999999999997</v>
      </c>
    </row>
    <row r="4195" spans="1:11">
      <c r="A4195" t="s">
        <v>199</v>
      </c>
      <c r="B4195" t="s">
        <v>215</v>
      </c>
      <c r="C4195">
        <v>111</v>
      </c>
      <c r="D4195" t="s">
        <v>194</v>
      </c>
      <c r="E4195">
        <v>1609</v>
      </c>
      <c r="F4195" s="3">
        <v>1.5699999999999999E-2</v>
      </c>
      <c r="G4195" s="3">
        <v>5.7799999999999997E-2</v>
      </c>
      <c r="H4195" s="3">
        <v>0.24399999999999999</v>
      </c>
      <c r="I4195" s="3">
        <v>0.57130000000000003</v>
      </c>
      <c r="J4195" s="3">
        <v>0.65500000000000003</v>
      </c>
      <c r="K4195" s="3">
        <v>0.4481</v>
      </c>
    </row>
    <row r="4196" spans="1:11">
      <c r="A4196" t="s">
        <v>200</v>
      </c>
      <c r="B4196" t="s">
        <v>200</v>
      </c>
      <c r="C4196">
        <v>1609</v>
      </c>
      <c r="D4196" t="s">
        <v>200</v>
      </c>
      <c r="E4196">
        <v>1609</v>
      </c>
      <c r="F4196" s="3">
        <v>5.1900000000000002E-2</v>
      </c>
      <c r="G4196" s="3">
        <v>4.5600000000000002E-2</v>
      </c>
      <c r="H4196" s="3">
        <v>0.1145</v>
      </c>
      <c r="I4196" s="3">
        <v>0.60219999999999996</v>
      </c>
      <c r="J4196" s="3">
        <v>0.52329999999999999</v>
      </c>
      <c r="K4196" s="3">
        <v>0.56440000000000001</v>
      </c>
    </row>
    <row r="4198" spans="1:11" ht="45">
      <c r="A4198" s="22" t="s">
        <v>1037</v>
      </c>
    </row>
    <row r="4199" spans="1:11">
      <c r="A4199" t="s">
        <v>185</v>
      </c>
      <c r="B4199" t="s">
        <v>186</v>
      </c>
      <c r="C4199" t="s">
        <v>192</v>
      </c>
      <c r="D4199" t="s">
        <v>184</v>
      </c>
      <c r="E4199" t="s">
        <v>193</v>
      </c>
      <c r="F4199" t="s">
        <v>257</v>
      </c>
      <c r="G4199" t="s">
        <v>1028</v>
      </c>
      <c r="H4199" t="s">
        <v>1029</v>
      </c>
      <c r="I4199" t="s">
        <v>1030</v>
      </c>
      <c r="J4199" t="s">
        <v>1031</v>
      </c>
      <c r="K4199" t="s">
        <v>1032</v>
      </c>
    </row>
    <row r="4200" spans="1:11">
      <c r="A4200" t="s">
        <v>195</v>
      </c>
      <c r="B4200" t="s">
        <v>217</v>
      </c>
      <c r="C4200">
        <v>347</v>
      </c>
      <c r="D4200" t="s">
        <v>194</v>
      </c>
      <c r="E4200">
        <v>1609</v>
      </c>
      <c r="F4200" s="3">
        <v>1.67E-2</v>
      </c>
      <c r="G4200" s="3">
        <v>6.2899999999999998E-2</v>
      </c>
      <c r="H4200" s="3">
        <v>0.13689999999999999</v>
      </c>
      <c r="I4200" s="3">
        <v>0.65010000000000001</v>
      </c>
      <c r="J4200" s="3">
        <v>0.55769999999999997</v>
      </c>
      <c r="K4200" s="3">
        <v>0.63180000000000003</v>
      </c>
    </row>
    <row r="4201" spans="1:11">
      <c r="A4201" t="s">
        <v>195</v>
      </c>
      <c r="B4201" t="s">
        <v>219</v>
      </c>
      <c r="C4201">
        <v>342</v>
      </c>
      <c r="D4201" t="s">
        <v>194</v>
      </c>
      <c r="E4201">
        <v>1609</v>
      </c>
      <c r="F4201" s="3">
        <v>0.1234</v>
      </c>
      <c r="G4201" s="3">
        <v>9.4000000000000004E-3</v>
      </c>
      <c r="H4201" s="3">
        <v>8.8300000000000003E-2</v>
      </c>
      <c r="I4201" s="3">
        <v>0.61060000000000003</v>
      </c>
      <c r="J4201" s="3">
        <v>0.4723</v>
      </c>
      <c r="K4201" s="3">
        <v>0.54600000000000004</v>
      </c>
    </row>
    <row r="4202" spans="1:11">
      <c r="A4202" t="s">
        <v>195</v>
      </c>
      <c r="B4202" t="s">
        <v>220</v>
      </c>
      <c r="C4202">
        <v>116</v>
      </c>
      <c r="D4202" t="s">
        <v>194</v>
      </c>
      <c r="E4202">
        <v>1609</v>
      </c>
      <c r="F4202" s="3">
        <v>5.2699999999999997E-2</v>
      </c>
      <c r="G4202" s="3">
        <v>1.01E-2</v>
      </c>
      <c r="H4202" s="3">
        <v>0.1333</v>
      </c>
      <c r="I4202" s="3">
        <v>0.55269999999999997</v>
      </c>
      <c r="J4202" s="3">
        <v>0.36180000000000001</v>
      </c>
      <c r="K4202" s="3">
        <v>0.56710000000000005</v>
      </c>
    </row>
    <row r="4203" spans="1:11">
      <c r="A4203" t="s">
        <v>199</v>
      </c>
      <c r="B4203" t="s">
        <v>217</v>
      </c>
      <c r="C4203">
        <v>403</v>
      </c>
      <c r="D4203" t="s">
        <v>194</v>
      </c>
      <c r="E4203">
        <v>1609</v>
      </c>
      <c r="F4203" s="3">
        <v>3.5000000000000003E-2</v>
      </c>
      <c r="G4203" s="3">
        <v>8.2199999999999995E-2</v>
      </c>
      <c r="H4203" s="3">
        <v>0.1178</v>
      </c>
      <c r="I4203" s="3">
        <v>0.59870000000000001</v>
      </c>
      <c r="J4203" s="3">
        <v>0.56520000000000004</v>
      </c>
      <c r="K4203" s="3">
        <v>0.51319999999999999</v>
      </c>
    </row>
    <row r="4204" spans="1:11">
      <c r="A4204" t="s">
        <v>199</v>
      </c>
      <c r="B4204" t="s">
        <v>219</v>
      </c>
      <c r="C4204">
        <v>279</v>
      </c>
      <c r="D4204" t="s">
        <v>194</v>
      </c>
      <c r="E4204">
        <v>1609</v>
      </c>
      <c r="F4204" s="3">
        <v>4.2200000000000001E-2</v>
      </c>
      <c r="G4204" s="3">
        <v>1.43E-2</v>
      </c>
      <c r="H4204" s="3">
        <v>8.1600000000000006E-2</v>
      </c>
      <c r="I4204" s="3">
        <v>0.58899999999999997</v>
      </c>
      <c r="J4204" s="3">
        <v>0.59550000000000003</v>
      </c>
      <c r="K4204" s="3">
        <v>0.52100000000000002</v>
      </c>
    </row>
    <row r="4205" spans="1:11">
      <c r="A4205" t="s">
        <v>199</v>
      </c>
      <c r="B4205" t="s">
        <v>220</v>
      </c>
      <c r="C4205">
        <v>121</v>
      </c>
      <c r="D4205" t="s">
        <v>194</v>
      </c>
      <c r="E4205">
        <v>1609</v>
      </c>
      <c r="F4205" s="3">
        <v>1.89E-2</v>
      </c>
      <c r="G4205" s="3">
        <v>7.7600000000000002E-2</v>
      </c>
      <c r="H4205" s="3">
        <v>0.1348</v>
      </c>
      <c r="I4205" s="3">
        <v>0.49590000000000001</v>
      </c>
      <c r="J4205" s="3">
        <v>0.52700000000000002</v>
      </c>
      <c r="K4205" s="3">
        <v>0.61140000000000005</v>
      </c>
    </row>
    <row r="4206" spans="1:11">
      <c r="A4206" t="s">
        <v>200</v>
      </c>
      <c r="B4206" t="s">
        <v>200</v>
      </c>
      <c r="C4206">
        <v>1609</v>
      </c>
      <c r="D4206" t="s">
        <v>200</v>
      </c>
      <c r="E4206">
        <v>1609</v>
      </c>
      <c r="F4206" s="3">
        <v>5.1900000000000002E-2</v>
      </c>
      <c r="G4206" s="3">
        <v>4.5600000000000002E-2</v>
      </c>
      <c r="H4206" s="3">
        <v>0.1145</v>
      </c>
      <c r="I4206" s="3">
        <v>0.60219999999999996</v>
      </c>
      <c r="J4206" s="3">
        <v>0.52329999999999999</v>
      </c>
      <c r="K4206" s="3">
        <v>0.56440000000000001</v>
      </c>
    </row>
    <row r="4208" spans="1:11" ht="30">
      <c r="A4208" s="22" t="s">
        <v>1038</v>
      </c>
    </row>
    <row r="4209" spans="1:9">
      <c r="A4209" t="s">
        <v>185</v>
      </c>
      <c r="B4209" t="s">
        <v>186</v>
      </c>
      <c r="C4209" t="s">
        <v>192</v>
      </c>
      <c r="D4209" t="s">
        <v>184</v>
      </c>
      <c r="E4209" t="s">
        <v>193</v>
      </c>
      <c r="F4209" t="s">
        <v>1039</v>
      </c>
      <c r="G4209" t="s">
        <v>1040</v>
      </c>
      <c r="H4209" t="s">
        <v>1041</v>
      </c>
      <c r="I4209" t="s">
        <v>1042</v>
      </c>
    </row>
    <row r="4210" spans="1:9">
      <c r="A4210" t="s">
        <v>195</v>
      </c>
      <c r="B4210" t="s">
        <v>196</v>
      </c>
      <c r="C4210">
        <v>410</v>
      </c>
      <c r="D4210" t="s">
        <v>194</v>
      </c>
      <c r="E4210">
        <v>2665</v>
      </c>
      <c r="F4210" s="3">
        <v>0.34699999999999998</v>
      </c>
      <c r="G4210" s="3">
        <v>8.9300000000000004E-2</v>
      </c>
      <c r="H4210" s="3">
        <v>0.27950000000000003</v>
      </c>
      <c r="I4210" s="3">
        <v>0.28420000000000001</v>
      </c>
    </row>
    <row r="4211" spans="1:9">
      <c r="A4211" t="s">
        <v>195</v>
      </c>
      <c r="B4211" t="s">
        <v>198</v>
      </c>
      <c r="C4211">
        <v>751</v>
      </c>
      <c r="D4211" t="s">
        <v>194</v>
      </c>
      <c r="E4211">
        <v>2665</v>
      </c>
      <c r="F4211" s="3">
        <v>0.34720000000000001</v>
      </c>
      <c r="G4211" s="3">
        <v>6.8699999999999997E-2</v>
      </c>
      <c r="H4211" s="3">
        <v>0.28210000000000002</v>
      </c>
      <c r="I4211" s="3">
        <v>0.30199999999999999</v>
      </c>
    </row>
    <row r="4212" spans="1:9">
      <c r="A4212" t="s">
        <v>199</v>
      </c>
      <c r="B4212" t="s">
        <v>196</v>
      </c>
      <c r="C4212">
        <v>523</v>
      </c>
      <c r="D4212" t="s">
        <v>194</v>
      </c>
      <c r="E4212">
        <v>2665</v>
      </c>
      <c r="F4212" s="3">
        <v>0.18690000000000001</v>
      </c>
      <c r="G4212" s="3">
        <v>3.9E-2</v>
      </c>
      <c r="H4212" s="3">
        <v>0.56810000000000005</v>
      </c>
      <c r="I4212" s="3">
        <v>0.20599999999999999</v>
      </c>
    </row>
    <row r="4213" spans="1:9">
      <c r="A4213" t="s">
        <v>199</v>
      </c>
      <c r="B4213" t="s">
        <v>198</v>
      </c>
      <c r="C4213">
        <v>942</v>
      </c>
      <c r="D4213" t="s">
        <v>194</v>
      </c>
      <c r="E4213">
        <v>2665</v>
      </c>
      <c r="F4213" s="3">
        <v>0.15679999999999999</v>
      </c>
      <c r="G4213" s="3">
        <v>3.4700000000000002E-2</v>
      </c>
      <c r="H4213" s="3">
        <v>0.59050000000000002</v>
      </c>
      <c r="I4213" s="3">
        <v>0.21809999999999999</v>
      </c>
    </row>
    <row r="4214" spans="1:9">
      <c r="A4214" t="s">
        <v>200</v>
      </c>
      <c r="B4214" t="s">
        <v>200</v>
      </c>
      <c r="C4214">
        <v>2665</v>
      </c>
      <c r="D4214" t="s">
        <v>200</v>
      </c>
      <c r="E4214">
        <v>2665</v>
      </c>
      <c r="F4214" s="3">
        <v>0.24490000000000001</v>
      </c>
      <c r="G4214" s="3">
        <v>5.2999999999999999E-2</v>
      </c>
      <c r="H4214" s="3">
        <v>0.45019999999999999</v>
      </c>
      <c r="I4214" s="3">
        <v>0.25190000000000001</v>
      </c>
    </row>
    <row r="4216" spans="1:9" ht="45">
      <c r="A4216" s="22" t="s">
        <v>1043</v>
      </c>
    </row>
    <row r="4217" spans="1:9">
      <c r="A4217" t="s">
        <v>185</v>
      </c>
      <c r="B4217" t="s">
        <v>186</v>
      </c>
      <c r="C4217" t="s">
        <v>192</v>
      </c>
      <c r="D4217" t="s">
        <v>184</v>
      </c>
      <c r="E4217" t="s">
        <v>193</v>
      </c>
      <c r="F4217" t="s">
        <v>1039</v>
      </c>
      <c r="G4217" t="s">
        <v>1040</v>
      </c>
      <c r="H4217" t="s">
        <v>1041</v>
      </c>
      <c r="I4217" t="s">
        <v>1042</v>
      </c>
    </row>
    <row r="4218" spans="1:9">
      <c r="A4218" t="s">
        <v>195</v>
      </c>
      <c r="B4218" t="s">
        <v>202</v>
      </c>
      <c r="C4218">
        <v>529</v>
      </c>
      <c r="D4218" t="s">
        <v>194</v>
      </c>
      <c r="E4218">
        <v>2665</v>
      </c>
      <c r="F4218" s="3">
        <v>0.34379999999999999</v>
      </c>
      <c r="G4218" s="3">
        <v>7.3800000000000004E-2</v>
      </c>
      <c r="H4218" s="3">
        <v>0.28189999999999998</v>
      </c>
      <c r="I4218" s="3">
        <v>0.30049999999999999</v>
      </c>
    </row>
    <row r="4219" spans="1:9">
      <c r="A4219" t="s">
        <v>195</v>
      </c>
      <c r="B4219" t="s">
        <v>204</v>
      </c>
      <c r="C4219">
        <v>299</v>
      </c>
      <c r="D4219" t="s">
        <v>194</v>
      </c>
      <c r="E4219">
        <v>2665</v>
      </c>
      <c r="F4219" s="3">
        <v>0.33040000000000003</v>
      </c>
      <c r="G4219" s="3">
        <v>8.6300000000000002E-2</v>
      </c>
      <c r="H4219" s="3">
        <v>0.32179999999999997</v>
      </c>
      <c r="I4219" s="3">
        <v>0.2616</v>
      </c>
    </row>
    <row r="4220" spans="1:9">
      <c r="A4220" t="s">
        <v>195</v>
      </c>
      <c r="B4220" t="s">
        <v>205</v>
      </c>
      <c r="C4220">
        <v>333</v>
      </c>
      <c r="D4220" t="s">
        <v>194</v>
      </c>
      <c r="E4220">
        <v>2665</v>
      </c>
      <c r="F4220" s="3">
        <v>0.38990000000000002</v>
      </c>
      <c r="G4220" s="3">
        <v>5.6399999999999999E-2</v>
      </c>
      <c r="H4220" s="3">
        <v>0.2155</v>
      </c>
      <c r="I4220" s="3">
        <v>0.3382</v>
      </c>
    </row>
    <row r="4221" spans="1:9">
      <c r="A4221" t="s">
        <v>199</v>
      </c>
      <c r="B4221" t="s">
        <v>202</v>
      </c>
      <c r="C4221">
        <v>537</v>
      </c>
      <c r="D4221" t="s">
        <v>194</v>
      </c>
      <c r="E4221">
        <v>2665</v>
      </c>
      <c r="F4221" s="3">
        <v>0.1221</v>
      </c>
      <c r="G4221" s="3">
        <v>3.8600000000000002E-2</v>
      </c>
      <c r="H4221" s="3">
        <v>0.65939999999999999</v>
      </c>
      <c r="I4221" s="3">
        <v>0.1799</v>
      </c>
    </row>
    <row r="4222" spans="1:9">
      <c r="A4222" t="s">
        <v>199</v>
      </c>
      <c r="B4222" t="s">
        <v>204</v>
      </c>
      <c r="C4222">
        <v>425</v>
      </c>
      <c r="D4222" t="s">
        <v>194</v>
      </c>
      <c r="E4222">
        <v>2665</v>
      </c>
      <c r="F4222" s="3">
        <v>0.1666</v>
      </c>
      <c r="G4222" s="3">
        <v>2.2499999999999999E-2</v>
      </c>
      <c r="H4222" s="3">
        <v>0.52959999999999996</v>
      </c>
      <c r="I4222" s="3">
        <v>0.28129999999999999</v>
      </c>
    </row>
    <row r="4223" spans="1:9">
      <c r="A4223" t="s">
        <v>199</v>
      </c>
      <c r="B4223" t="s">
        <v>205</v>
      </c>
      <c r="C4223">
        <v>503</v>
      </c>
      <c r="D4223" t="s">
        <v>194</v>
      </c>
      <c r="E4223">
        <v>2665</v>
      </c>
      <c r="F4223" s="3">
        <v>0.30819999999999997</v>
      </c>
      <c r="G4223" s="3">
        <v>3.8800000000000001E-2</v>
      </c>
      <c r="H4223" s="3">
        <v>0.37790000000000001</v>
      </c>
      <c r="I4223" s="3">
        <v>0.27510000000000001</v>
      </c>
    </row>
    <row r="4224" spans="1:9">
      <c r="A4224" t="s">
        <v>200</v>
      </c>
      <c r="B4224" t="s">
        <v>200</v>
      </c>
      <c r="C4224">
        <v>2665</v>
      </c>
      <c r="D4224" t="s">
        <v>200</v>
      </c>
      <c r="E4224">
        <v>2665</v>
      </c>
      <c r="F4224" s="3">
        <v>0.24490000000000001</v>
      </c>
      <c r="G4224" s="3">
        <v>5.2999999999999999E-2</v>
      </c>
      <c r="H4224" s="3">
        <v>0.45019999999999999</v>
      </c>
      <c r="I4224" s="3">
        <v>0.25190000000000001</v>
      </c>
    </row>
    <row r="4226" spans="1:9" ht="45">
      <c r="A4226" s="22" t="s">
        <v>1044</v>
      </c>
    </row>
    <row r="4227" spans="1:9">
      <c r="A4227" t="s">
        <v>185</v>
      </c>
      <c r="B4227" t="s">
        <v>186</v>
      </c>
      <c r="C4227" t="s">
        <v>192</v>
      </c>
      <c r="D4227" t="s">
        <v>184</v>
      </c>
      <c r="E4227" t="s">
        <v>193</v>
      </c>
      <c r="F4227" t="s">
        <v>1039</v>
      </c>
      <c r="G4227" t="s">
        <v>1040</v>
      </c>
      <c r="H4227" t="s">
        <v>1041</v>
      </c>
      <c r="I4227" t="s">
        <v>1042</v>
      </c>
    </row>
    <row r="4228" spans="1:9">
      <c r="A4228" t="s">
        <v>195</v>
      </c>
      <c r="B4228" t="s">
        <v>207</v>
      </c>
      <c r="C4228">
        <v>321</v>
      </c>
      <c r="D4228" t="s">
        <v>194</v>
      </c>
      <c r="E4228">
        <v>2665</v>
      </c>
      <c r="F4228" s="3">
        <v>0.51590000000000003</v>
      </c>
      <c r="G4228" s="3">
        <v>9.7000000000000003E-2</v>
      </c>
      <c r="H4228" s="3">
        <v>0.17549999999999999</v>
      </c>
      <c r="I4228" s="3">
        <v>0.2117</v>
      </c>
    </row>
    <row r="4229" spans="1:9">
      <c r="A4229" t="s">
        <v>195</v>
      </c>
      <c r="B4229" t="s">
        <v>209</v>
      </c>
      <c r="C4229">
        <v>861</v>
      </c>
      <c r="D4229" t="s">
        <v>194</v>
      </c>
      <c r="E4229">
        <v>2665</v>
      </c>
      <c r="F4229" s="3">
        <v>0.28960000000000002</v>
      </c>
      <c r="G4229" s="3">
        <v>6.7400000000000002E-2</v>
      </c>
      <c r="H4229" s="3">
        <v>0.31680000000000003</v>
      </c>
      <c r="I4229" s="3">
        <v>0.32629999999999998</v>
      </c>
    </row>
    <row r="4230" spans="1:9">
      <c r="A4230" t="s">
        <v>199</v>
      </c>
      <c r="B4230" t="s">
        <v>207</v>
      </c>
      <c r="C4230">
        <v>282</v>
      </c>
      <c r="D4230" t="s">
        <v>194</v>
      </c>
      <c r="E4230">
        <v>2665</v>
      </c>
      <c r="F4230" s="3">
        <v>0.4698</v>
      </c>
      <c r="G4230" s="3">
        <v>8.2199999999999995E-2</v>
      </c>
      <c r="H4230" s="3">
        <v>0.2429</v>
      </c>
      <c r="I4230" s="3">
        <v>0.2051</v>
      </c>
    </row>
    <row r="4231" spans="1:9">
      <c r="A4231" t="s">
        <v>199</v>
      </c>
      <c r="B4231" t="s">
        <v>209</v>
      </c>
      <c r="C4231">
        <v>1201</v>
      </c>
      <c r="D4231" t="s">
        <v>194</v>
      </c>
      <c r="E4231">
        <v>2665</v>
      </c>
      <c r="F4231" s="3">
        <v>0.11990000000000001</v>
      </c>
      <c r="G4231" s="3">
        <v>2.8899999999999999E-2</v>
      </c>
      <c r="H4231" s="3">
        <v>0.63360000000000005</v>
      </c>
      <c r="I4231" s="3">
        <v>0.21759999999999999</v>
      </c>
    </row>
    <row r="4232" spans="1:9">
      <c r="A4232" t="s">
        <v>200</v>
      </c>
      <c r="B4232" t="s">
        <v>200</v>
      </c>
      <c r="C4232">
        <v>2665</v>
      </c>
      <c r="D4232" t="s">
        <v>200</v>
      </c>
      <c r="E4232">
        <v>2665</v>
      </c>
      <c r="F4232" s="3">
        <v>0.24490000000000001</v>
      </c>
      <c r="G4232" s="3">
        <v>5.2999999999999999E-2</v>
      </c>
      <c r="H4232" s="3">
        <v>0.45019999999999999</v>
      </c>
      <c r="I4232" s="3">
        <v>0.25190000000000001</v>
      </c>
    </row>
    <row r="4234" spans="1:9" ht="45">
      <c r="A4234" s="22" t="s">
        <v>1045</v>
      </c>
    </row>
    <row r="4235" spans="1:9">
      <c r="A4235" t="s">
        <v>185</v>
      </c>
      <c r="B4235" t="s">
        <v>192</v>
      </c>
      <c r="C4235" t="s">
        <v>184</v>
      </c>
      <c r="D4235" t="s">
        <v>193</v>
      </c>
      <c r="E4235" t="s">
        <v>1039</v>
      </c>
      <c r="F4235" t="s">
        <v>1040</v>
      </c>
      <c r="G4235" t="s">
        <v>1041</v>
      </c>
      <c r="H4235" t="s">
        <v>1042</v>
      </c>
    </row>
    <row r="4236" spans="1:9">
      <c r="A4236" t="s">
        <v>195</v>
      </c>
      <c r="B4236">
        <v>1182</v>
      </c>
      <c r="C4236" t="s">
        <v>194</v>
      </c>
      <c r="D4236">
        <v>2665</v>
      </c>
      <c r="E4236" s="3">
        <v>0.34789999999999999</v>
      </c>
      <c r="F4236" s="3">
        <v>7.4999999999999997E-2</v>
      </c>
      <c r="G4236" s="3">
        <v>0.28029999999999999</v>
      </c>
      <c r="H4236" s="3">
        <v>0.29670000000000002</v>
      </c>
    </row>
    <row r="4237" spans="1:9">
      <c r="A4237" t="s">
        <v>199</v>
      </c>
      <c r="B4237">
        <v>1483</v>
      </c>
      <c r="C4237" t="s">
        <v>194</v>
      </c>
      <c r="D4237">
        <v>2665</v>
      </c>
      <c r="E4237" s="3">
        <v>0.16259999999999999</v>
      </c>
      <c r="F4237" s="3">
        <v>3.5400000000000001E-2</v>
      </c>
      <c r="G4237" s="3">
        <v>0.58589999999999998</v>
      </c>
      <c r="H4237" s="3">
        <v>0.21609999999999999</v>
      </c>
    </row>
    <row r="4238" spans="1:9">
      <c r="A4238" t="s">
        <v>200</v>
      </c>
      <c r="B4238">
        <v>2665</v>
      </c>
      <c r="C4238" t="s">
        <v>200</v>
      </c>
      <c r="D4238">
        <v>2665</v>
      </c>
      <c r="E4238" s="3">
        <v>0.24490000000000001</v>
      </c>
      <c r="F4238" s="3">
        <v>5.2999999999999999E-2</v>
      </c>
      <c r="G4238" s="3">
        <v>0.45019999999999999</v>
      </c>
      <c r="H4238" s="3">
        <v>0.25190000000000001</v>
      </c>
    </row>
    <row r="4240" spans="1:9" ht="30">
      <c r="A4240" s="22" t="s">
        <v>1046</v>
      </c>
    </row>
    <row r="4241" spans="1:9">
      <c r="A4241" t="s">
        <v>185</v>
      </c>
      <c r="B4241" t="s">
        <v>186</v>
      </c>
      <c r="C4241" t="s">
        <v>192</v>
      </c>
      <c r="D4241" t="s">
        <v>184</v>
      </c>
      <c r="E4241" t="s">
        <v>193</v>
      </c>
      <c r="F4241" t="s">
        <v>1039</v>
      </c>
      <c r="G4241" t="s">
        <v>1040</v>
      </c>
      <c r="H4241" t="s">
        <v>1041</v>
      </c>
      <c r="I4241" t="s">
        <v>1042</v>
      </c>
    </row>
    <row r="4242" spans="1:9">
      <c r="A4242" t="s">
        <v>195</v>
      </c>
      <c r="B4242" t="s">
        <v>212</v>
      </c>
      <c r="C4242">
        <v>869</v>
      </c>
      <c r="D4242" t="s">
        <v>194</v>
      </c>
      <c r="E4242">
        <v>2665</v>
      </c>
      <c r="F4242" s="3">
        <v>0.34649999999999997</v>
      </c>
      <c r="G4242" s="3">
        <v>8.3799999999999999E-2</v>
      </c>
      <c r="H4242" s="3">
        <v>0.27500000000000002</v>
      </c>
      <c r="I4242" s="3">
        <v>0.29480000000000001</v>
      </c>
    </row>
    <row r="4243" spans="1:9">
      <c r="A4243" t="s">
        <v>195</v>
      </c>
      <c r="B4243" t="s">
        <v>214</v>
      </c>
      <c r="C4243">
        <v>178</v>
      </c>
      <c r="D4243" t="s">
        <v>194</v>
      </c>
      <c r="E4243">
        <v>2665</v>
      </c>
      <c r="F4243" s="3">
        <v>0.32179999999999997</v>
      </c>
      <c r="G4243" s="3">
        <v>4.7199999999999999E-2</v>
      </c>
      <c r="H4243" s="3">
        <v>0.35909999999999997</v>
      </c>
      <c r="I4243" s="3">
        <v>0.27189999999999998</v>
      </c>
    </row>
    <row r="4244" spans="1:9">
      <c r="A4244" t="s">
        <v>195</v>
      </c>
      <c r="B4244" t="s">
        <v>215</v>
      </c>
      <c r="C4244">
        <v>135</v>
      </c>
      <c r="D4244" t="s">
        <v>194</v>
      </c>
      <c r="E4244">
        <v>2665</v>
      </c>
      <c r="F4244" s="3">
        <v>0.41160000000000002</v>
      </c>
      <c r="G4244" s="3">
        <v>5.0599999999999999E-2</v>
      </c>
      <c r="H4244" s="3">
        <v>0.17599999999999999</v>
      </c>
      <c r="I4244" s="3">
        <v>0.36170000000000002</v>
      </c>
    </row>
    <row r="4245" spans="1:9">
      <c r="A4245" t="s">
        <v>199</v>
      </c>
      <c r="B4245" t="s">
        <v>212</v>
      </c>
      <c r="C4245">
        <v>1114</v>
      </c>
      <c r="D4245" t="s">
        <v>194</v>
      </c>
      <c r="E4245">
        <v>2665</v>
      </c>
      <c r="F4245" s="3">
        <v>0.16209999999999999</v>
      </c>
      <c r="G4245" s="3">
        <v>3.5999999999999997E-2</v>
      </c>
      <c r="H4245" s="3">
        <v>0.59089999999999998</v>
      </c>
      <c r="I4245" s="3">
        <v>0.21099999999999999</v>
      </c>
    </row>
    <row r="4246" spans="1:9">
      <c r="A4246" t="s">
        <v>199</v>
      </c>
      <c r="B4246" t="s">
        <v>214</v>
      </c>
      <c r="C4246">
        <v>196</v>
      </c>
      <c r="D4246" t="s">
        <v>194</v>
      </c>
      <c r="E4246">
        <v>2665</v>
      </c>
      <c r="F4246" s="3">
        <v>0.14610000000000001</v>
      </c>
      <c r="G4246" s="3">
        <v>2.35E-2</v>
      </c>
      <c r="H4246" s="3">
        <v>0.6</v>
      </c>
      <c r="I4246" s="3">
        <v>0.23039999999999999</v>
      </c>
    </row>
    <row r="4247" spans="1:9">
      <c r="A4247" t="s">
        <v>199</v>
      </c>
      <c r="B4247" t="s">
        <v>215</v>
      </c>
      <c r="C4247">
        <v>173</v>
      </c>
      <c r="D4247" t="s">
        <v>194</v>
      </c>
      <c r="E4247">
        <v>2665</v>
      </c>
      <c r="F4247" s="3">
        <v>0.19620000000000001</v>
      </c>
      <c r="G4247" s="3">
        <v>5.1400000000000001E-2</v>
      </c>
      <c r="H4247" s="3">
        <v>0.5151</v>
      </c>
      <c r="I4247" s="3">
        <v>0.23730000000000001</v>
      </c>
    </row>
    <row r="4248" spans="1:9">
      <c r="A4248" t="s">
        <v>200</v>
      </c>
      <c r="B4248" t="s">
        <v>200</v>
      </c>
      <c r="C4248">
        <v>2665</v>
      </c>
      <c r="D4248" t="s">
        <v>200</v>
      </c>
      <c r="E4248">
        <v>2665</v>
      </c>
      <c r="F4248" s="3">
        <v>0.24490000000000001</v>
      </c>
      <c r="G4248" s="3">
        <v>5.2999999999999999E-2</v>
      </c>
      <c r="H4248" s="3">
        <v>0.45019999999999999</v>
      </c>
      <c r="I4248" s="3">
        <v>0.25190000000000001</v>
      </c>
    </row>
    <row r="4250" spans="1:9" ht="45">
      <c r="A4250" s="22" t="s">
        <v>1047</v>
      </c>
    </row>
    <row r="4251" spans="1:9">
      <c r="A4251" t="s">
        <v>185</v>
      </c>
      <c r="B4251" t="s">
        <v>186</v>
      </c>
      <c r="C4251" t="s">
        <v>192</v>
      </c>
      <c r="D4251" t="s">
        <v>184</v>
      </c>
      <c r="E4251" t="s">
        <v>193</v>
      </c>
      <c r="F4251" t="s">
        <v>1039</v>
      </c>
      <c r="G4251" t="s">
        <v>1040</v>
      </c>
      <c r="H4251" t="s">
        <v>1041</v>
      </c>
      <c r="I4251" t="s">
        <v>1042</v>
      </c>
    </row>
    <row r="4252" spans="1:9">
      <c r="A4252" t="s">
        <v>195</v>
      </c>
      <c r="B4252" t="s">
        <v>301</v>
      </c>
      <c r="C4252">
        <v>626</v>
      </c>
      <c r="D4252" t="s">
        <v>194</v>
      </c>
      <c r="E4252">
        <v>2665</v>
      </c>
      <c r="F4252" s="3">
        <v>0.36080000000000001</v>
      </c>
      <c r="G4252" s="3">
        <v>8.9099999999999999E-2</v>
      </c>
      <c r="H4252" s="3">
        <v>0.23730000000000001</v>
      </c>
      <c r="I4252" s="3">
        <v>0.31280000000000002</v>
      </c>
    </row>
    <row r="4253" spans="1:9">
      <c r="A4253" t="s">
        <v>195</v>
      </c>
      <c r="B4253" t="s">
        <v>302</v>
      </c>
      <c r="C4253">
        <v>556</v>
      </c>
      <c r="D4253" t="s">
        <v>194</v>
      </c>
      <c r="E4253">
        <v>2665</v>
      </c>
      <c r="F4253" s="3">
        <v>0.33550000000000002</v>
      </c>
      <c r="G4253" s="3">
        <v>6.1499999999999999E-2</v>
      </c>
      <c r="H4253" s="3">
        <v>0.32179999999999997</v>
      </c>
      <c r="I4253" s="3">
        <v>0.28110000000000002</v>
      </c>
    </row>
    <row r="4254" spans="1:9">
      <c r="A4254" t="s">
        <v>199</v>
      </c>
      <c r="B4254" t="s">
        <v>301</v>
      </c>
      <c r="C4254">
        <v>770</v>
      </c>
      <c r="D4254" t="s">
        <v>194</v>
      </c>
      <c r="E4254">
        <v>2665</v>
      </c>
      <c r="F4254" s="3">
        <v>0.14710000000000001</v>
      </c>
      <c r="G4254" s="3">
        <v>2.63E-2</v>
      </c>
      <c r="H4254" s="3">
        <v>0.59640000000000004</v>
      </c>
      <c r="I4254" s="3">
        <v>0.23019999999999999</v>
      </c>
    </row>
    <row r="4255" spans="1:9">
      <c r="A4255" t="s">
        <v>199</v>
      </c>
      <c r="B4255" t="s">
        <v>302</v>
      </c>
      <c r="C4255">
        <v>713</v>
      </c>
      <c r="D4255" t="s">
        <v>194</v>
      </c>
      <c r="E4255">
        <v>2665</v>
      </c>
      <c r="F4255" s="3">
        <v>0.1789</v>
      </c>
      <c r="G4255" s="3">
        <v>4.4999999999999998E-2</v>
      </c>
      <c r="H4255" s="3">
        <v>0.57489999999999997</v>
      </c>
      <c r="I4255" s="3">
        <v>0.20130000000000001</v>
      </c>
    </row>
    <row r="4256" spans="1:9">
      <c r="A4256" t="s">
        <v>200</v>
      </c>
      <c r="B4256" t="s">
        <v>200</v>
      </c>
      <c r="C4256">
        <v>2665</v>
      </c>
      <c r="D4256" t="s">
        <v>200</v>
      </c>
      <c r="E4256">
        <v>2665</v>
      </c>
      <c r="F4256" s="3">
        <v>0.24490000000000001</v>
      </c>
      <c r="G4256" s="3">
        <v>5.2999999999999999E-2</v>
      </c>
      <c r="H4256" s="3">
        <v>0.45019999999999999</v>
      </c>
      <c r="I4256" s="3">
        <v>0.25190000000000001</v>
      </c>
    </row>
    <row r="4258" spans="1:9" ht="45">
      <c r="A4258" s="22" t="s">
        <v>1048</v>
      </c>
    </row>
    <row r="4259" spans="1:9">
      <c r="A4259" t="s">
        <v>185</v>
      </c>
      <c r="B4259" t="s">
        <v>186</v>
      </c>
      <c r="C4259" t="s">
        <v>192</v>
      </c>
      <c r="D4259" t="s">
        <v>184</v>
      </c>
      <c r="E4259" t="s">
        <v>193</v>
      </c>
      <c r="F4259" t="s">
        <v>1039</v>
      </c>
      <c r="G4259" t="s">
        <v>1040</v>
      </c>
      <c r="H4259" t="s">
        <v>1041</v>
      </c>
      <c r="I4259" t="s">
        <v>1042</v>
      </c>
    </row>
    <row r="4260" spans="1:9">
      <c r="A4260" t="s">
        <v>195</v>
      </c>
      <c r="B4260" t="s">
        <v>304</v>
      </c>
      <c r="C4260">
        <v>169</v>
      </c>
      <c r="D4260" t="s">
        <v>194</v>
      </c>
      <c r="E4260">
        <v>2665</v>
      </c>
      <c r="F4260" s="3">
        <v>0.39529999999999998</v>
      </c>
      <c r="G4260" s="3">
        <v>8.2600000000000007E-2</v>
      </c>
      <c r="H4260" s="3">
        <v>0.27189999999999998</v>
      </c>
      <c r="I4260" s="3">
        <v>0.25019999999999998</v>
      </c>
    </row>
    <row r="4261" spans="1:9">
      <c r="A4261" t="s">
        <v>195</v>
      </c>
      <c r="B4261" t="s">
        <v>305</v>
      </c>
      <c r="C4261">
        <v>452</v>
      </c>
      <c r="D4261" t="s">
        <v>194</v>
      </c>
      <c r="E4261">
        <v>2665</v>
      </c>
      <c r="F4261" s="3">
        <v>0.35120000000000001</v>
      </c>
      <c r="G4261" s="3">
        <v>8.9899999999999994E-2</v>
      </c>
      <c r="H4261" s="3">
        <v>0.22550000000000001</v>
      </c>
      <c r="I4261" s="3">
        <v>0.33329999999999999</v>
      </c>
    </row>
    <row r="4262" spans="1:9" s="25" customFormat="1">
      <c r="A4262" s="25" t="s">
        <v>195</v>
      </c>
      <c r="B4262" s="25" t="s">
        <v>306</v>
      </c>
      <c r="C4262" s="25">
        <v>5</v>
      </c>
      <c r="D4262" s="25" t="s">
        <v>194</v>
      </c>
      <c r="E4262" s="25">
        <v>2665</v>
      </c>
      <c r="F4262" s="26">
        <v>1.46E-2</v>
      </c>
      <c r="G4262" s="26">
        <v>0.3367</v>
      </c>
      <c r="H4262" s="26">
        <v>0.312</v>
      </c>
      <c r="I4262" s="26">
        <v>0.3367</v>
      </c>
    </row>
    <row r="4263" spans="1:9">
      <c r="A4263" t="s">
        <v>195</v>
      </c>
      <c r="B4263" t="s">
        <v>307</v>
      </c>
      <c r="C4263">
        <v>556</v>
      </c>
      <c r="D4263" t="s">
        <v>194</v>
      </c>
      <c r="E4263">
        <v>2665</v>
      </c>
      <c r="F4263" s="3">
        <v>0.33550000000000002</v>
      </c>
      <c r="G4263" s="3">
        <v>6.1499999999999999E-2</v>
      </c>
      <c r="H4263" s="3">
        <v>0.32179999999999997</v>
      </c>
      <c r="I4263" s="3">
        <v>0.28110000000000002</v>
      </c>
    </row>
    <row r="4264" spans="1:9">
      <c r="A4264" t="s">
        <v>199</v>
      </c>
      <c r="B4264" t="s">
        <v>304</v>
      </c>
      <c r="C4264">
        <v>94</v>
      </c>
      <c r="D4264" t="s">
        <v>194</v>
      </c>
      <c r="E4264">
        <v>2665</v>
      </c>
      <c r="F4264" s="3">
        <v>0.13669999999999999</v>
      </c>
      <c r="G4264" s="3">
        <v>7.2300000000000003E-2</v>
      </c>
      <c r="H4264" s="3">
        <v>0.5917</v>
      </c>
      <c r="I4264" s="3">
        <v>0.1993</v>
      </c>
    </row>
    <row r="4265" spans="1:9">
      <c r="A4265" t="s">
        <v>199</v>
      </c>
      <c r="B4265" t="s">
        <v>305</v>
      </c>
      <c r="C4265">
        <v>672</v>
      </c>
      <c r="D4265" t="s">
        <v>194</v>
      </c>
      <c r="E4265">
        <v>2665</v>
      </c>
      <c r="F4265" s="3">
        <v>0.14760000000000001</v>
      </c>
      <c r="G4265" s="3">
        <v>2.1999999999999999E-2</v>
      </c>
      <c r="H4265" s="3">
        <v>0.59719999999999995</v>
      </c>
      <c r="I4265" s="3">
        <v>0.23330000000000001</v>
      </c>
    </row>
    <row r="4266" spans="1:9" s="25" customFormat="1">
      <c r="A4266" s="25" t="s">
        <v>199</v>
      </c>
      <c r="B4266" s="25" t="s">
        <v>306</v>
      </c>
      <c r="C4266" s="25">
        <v>4</v>
      </c>
      <c r="D4266" s="25" t="s">
        <v>194</v>
      </c>
      <c r="E4266" s="25">
        <v>2665</v>
      </c>
      <c r="F4266" s="26">
        <v>0.33079999999999998</v>
      </c>
      <c r="G4266" s="26">
        <v>0.26840000000000003</v>
      </c>
      <c r="H4266" s="26">
        <v>0.40079999999999999</v>
      </c>
    </row>
    <row r="4267" spans="1:9">
      <c r="A4267" t="s">
        <v>199</v>
      </c>
      <c r="B4267" t="s">
        <v>307</v>
      </c>
      <c r="C4267">
        <v>713</v>
      </c>
      <c r="D4267" t="s">
        <v>194</v>
      </c>
      <c r="E4267">
        <v>2665</v>
      </c>
      <c r="F4267" s="3">
        <v>0.1789</v>
      </c>
      <c r="G4267" s="3">
        <v>4.4999999999999998E-2</v>
      </c>
      <c r="H4267" s="3">
        <v>0.57489999999999997</v>
      </c>
      <c r="I4267" s="3">
        <v>0.20130000000000001</v>
      </c>
    </row>
    <row r="4268" spans="1:9">
      <c r="A4268" t="s">
        <v>200</v>
      </c>
      <c r="B4268" t="s">
        <v>200</v>
      </c>
      <c r="C4268">
        <v>2665</v>
      </c>
      <c r="D4268" t="s">
        <v>200</v>
      </c>
      <c r="E4268">
        <v>2665</v>
      </c>
      <c r="F4268" s="3">
        <v>0.24490000000000001</v>
      </c>
      <c r="G4268" s="3">
        <v>5.2999999999999999E-2</v>
      </c>
      <c r="H4268" s="3">
        <v>0.45019999999999999</v>
      </c>
      <c r="I4268" s="3">
        <v>0.25190000000000001</v>
      </c>
    </row>
    <row r="4270" spans="1:9" ht="45">
      <c r="A4270" s="22" t="s">
        <v>1049</v>
      </c>
    </row>
    <row r="4271" spans="1:9">
      <c r="A4271" t="s">
        <v>185</v>
      </c>
      <c r="B4271" t="s">
        <v>186</v>
      </c>
      <c r="C4271" t="s">
        <v>192</v>
      </c>
      <c r="D4271" t="s">
        <v>184</v>
      </c>
      <c r="E4271" t="s">
        <v>193</v>
      </c>
      <c r="F4271" t="s">
        <v>1039</v>
      </c>
      <c r="G4271" t="s">
        <v>1040</v>
      </c>
      <c r="H4271" t="s">
        <v>1041</v>
      </c>
      <c r="I4271" t="s">
        <v>1042</v>
      </c>
    </row>
    <row r="4272" spans="1:9">
      <c r="A4272" t="s">
        <v>195</v>
      </c>
      <c r="B4272" t="s">
        <v>217</v>
      </c>
      <c r="C4272">
        <v>497</v>
      </c>
      <c r="D4272" t="s">
        <v>194</v>
      </c>
      <c r="E4272">
        <v>2665</v>
      </c>
      <c r="F4272" s="3">
        <v>0.34229999999999999</v>
      </c>
      <c r="G4272" s="3">
        <v>7.6799999999999993E-2</v>
      </c>
      <c r="H4272" s="3">
        <v>0.2676</v>
      </c>
      <c r="I4272" s="3">
        <v>0.31330000000000002</v>
      </c>
    </row>
    <row r="4273" spans="1:24">
      <c r="A4273" t="s">
        <v>195</v>
      </c>
      <c r="B4273" t="s">
        <v>219</v>
      </c>
      <c r="C4273">
        <v>502</v>
      </c>
      <c r="D4273" t="s">
        <v>194</v>
      </c>
      <c r="E4273">
        <v>2665</v>
      </c>
      <c r="F4273" s="3">
        <v>0.39079999999999998</v>
      </c>
      <c r="G4273" s="3">
        <v>6.3899999999999998E-2</v>
      </c>
      <c r="H4273" s="3">
        <v>0.2641</v>
      </c>
      <c r="I4273" s="3">
        <v>0.28120000000000001</v>
      </c>
    </row>
    <row r="4274" spans="1:24">
      <c r="A4274" t="s">
        <v>195</v>
      </c>
      <c r="B4274" t="s">
        <v>220</v>
      </c>
      <c r="C4274">
        <v>182</v>
      </c>
      <c r="D4274" t="s">
        <v>194</v>
      </c>
      <c r="E4274">
        <v>2665</v>
      </c>
      <c r="F4274" s="3">
        <v>0.27289999999999998</v>
      </c>
      <c r="G4274" s="3">
        <v>9.3799999999999994E-2</v>
      </c>
      <c r="H4274" s="3">
        <v>0.34210000000000002</v>
      </c>
      <c r="I4274" s="3">
        <v>0.2913</v>
      </c>
    </row>
    <row r="4275" spans="1:24">
      <c r="A4275" t="s">
        <v>199</v>
      </c>
      <c r="B4275" t="s">
        <v>217</v>
      </c>
      <c r="C4275">
        <v>813</v>
      </c>
      <c r="D4275" t="s">
        <v>194</v>
      </c>
      <c r="E4275">
        <v>2665</v>
      </c>
      <c r="F4275" s="3">
        <v>0.15040000000000001</v>
      </c>
      <c r="G4275" s="3">
        <v>3.3000000000000002E-2</v>
      </c>
      <c r="H4275" s="3">
        <v>0.60470000000000002</v>
      </c>
      <c r="I4275" s="3">
        <v>0.21190000000000001</v>
      </c>
    </row>
    <row r="4276" spans="1:24">
      <c r="A4276" t="s">
        <v>199</v>
      </c>
      <c r="B4276" t="s">
        <v>219</v>
      </c>
      <c r="C4276">
        <v>448</v>
      </c>
      <c r="D4276" t="s">
        <v>194</v>
      </c>
      <c r="E4276">
        <v>2665</v>
      </c>
      <c r="F4276" s="3">
        <v>0.217</v>
      </c>
      <c r="G4276" s="3">
        <v>2.3199999999999998E-2</v>
      </c>
      <c r="H4276" s="3">
        <v>0.56430000000000002</v>
      </c>
      <c r="I4276" s="3">
        <v>0.19550000000000001</v>
      </c>
    </row>
    <row r="4277" spans="1:24">
      <c r="A4277" t="s">
        <v>199</v>
      </c>
      <c r="B4277" t="s">
        <v>220</v>
      </c>
      <c r="C4277">
        <v>222</v>
      </c>
      <c r="D4277" t="s">
        <v>194</v>
      </c>
      <c r="E4277">
        <v>2665</v>
      </c>
      <c r="F4277" s="3">
        <v>0.12520000000000001</v>
      </c>
      <c r="G4277" s="3">
        <v>6.3500000000000001E-2</v>
      </c>
      <c r="H4277" s="3">
        <v>0.54749999999999999</v>
      </c>
      <c r="I4277" s="3">
        <v>0.26369999999999999</v>
      </c>
    </row>
    <row r="4278" spans="1:24">
      <c r="A4278" t="s">
        <v>200</v>
      </c>
      <c r="B4278" t="s">
        <v>200</v>
      </c>
      <c r="C4278">
        <v>2665</v>
      </c>
      <c r="D4278" t="s">
        <v>200</v>
      </c>
      <c r="E4278">
        <v>2665</v>
      </c>
      <c r="F4278" s="3">
        <v>0.24490000000000001</v>
      </c>
      <c r="G4278" s="3">
        <v>5.2999999999999999E-2</v>
      </c>
      <c r="H4278" s="3">
        <v>0.45019999999999999</v>
      </c>
      <c r="I4278" s="3">
        <v>0.25190000000000001</v>
      </c>
    </row>
    <row r="4280" spans="1:24" ht="45">
      <c r="A4280" s="22" t="s">
        <v>1050</v>
      </c>
    </row>
    <row r="4281" spans="1:24">
      <c r="A4281" t="s">
        <v>185</v>
      </c>
      <c r="B4281" t="s">
        <v>186</v>
      </c>
      <c r="C4281" t="s">
        <v>192</v>
      </c>
      <c r="D4281" t="s">
        <v>184</v>
      </c>
      <c r="E4281" t="s">
        <v>193</v>
      </c>
      <c r="F4281" t="s">
        <v>1051</v>
      </c>
      <c r="G4281" t="s">
        <v>1052</v>
      </c>
      <c r="H4281" t="s">
        <v>1053</v>
      </c>
      <c r="I4281" t="s">
        <v>257</v>
      </c>
      <c r="J4281" t="s">
        <v>1054</v>
      </c>
      <c r="K4281" t="s">
        <v>1055</v>
      </c>
      <c r="L4281" t="s">
        <v>1056</v>
      </c>
      <c r="M4281" t="s">
        <v>329</v>
      </c>
      <c r="N4281" t="s">
        <v>274</v>
      </c>
      <c r="O4281" t="s">
        <v>247</v>
      </c>
      <c r="P4281" t="s">
        <v>1057</v>
      </c>
      <c r="Q4281" t="s">
        <v>1058</v>
      </c>
      <c r="R4281" t="s">
        <v>1059</v>
      </c>
      <c r="S4281" t="s">
        <v>1060</v>
      </c>
      <c r="T4281" t="s">
        <v>1061</v>
      </c>
      <c r="U4281" t="s">
        <v>1062</v>
      </c>
      <c r="V4281" t="s">
        <v>1063</v>
      </c>
      <c r="W4281" t="s">
        <v>1064</v>
      </c>
      <c r="X4281" t="s">
        <v>1065</v>
      </c>
    </row>
    <row r="4282" spans="1:24">
      <c r="A4282" t="s">
        <v>195</v>
      </c>
      <c r="B4282" t="s">
        <v>222</v>
      </c>
      <c r="C4282">
        <v>247</v>
      </c>
      <c r="D4282" t="s">
        <v>194</v>
      </c>
      <c r="E4282">
        <v>2669</v>
      </c>
      <c r="F4282" s="3">
        <v>4.8500000000000001E-2</v>
      </c>
      <c r="G4282" s="3">
        <v>0.2059</v>
      </c>
      <c r="H4282" s="3">
        <v>2.2100000000000002E-2</v>
      </c>
      <c r="I4282" s="3">
        <v>3.6999999999999998E-2</v>
      </c>
      <c r="L4282" s="3">
        <v>2.3E-3</v>
      </c>
      <c r="M4282" s="3">
        <v>0.29570000000000002</v>
      </c>
      <c r="N4282" s="3">
        <v>2.5999999999999999E-3</v>
      </c>
      <c r="P4282" s="3">
        <v>1.7000000000000001E-2</v>
      </c>
      <c r="Q4282" s="3">
        <v>4.4699999999999997E-2</v>
      </c>
      <c r="R4282" s="3">
        <v>1.2500000000000001E-2</v>
      </c>
      <c r="S4282" s="3">
        <v>7.7999999999999996E-3</v>
      </c>
      <c r="T4282" s="3">
        <v>1.3899999999999999E-2</v>
      </c>
      <c r="U4282" s="3">
        <v>1.3899999999999999E-2</v>
      </c>
      <c r="V4282" s="3">
        <v>0.45200000000000001</v>
      </c>
      <c r="W4282" s="3">
        <v>0.4965</v>
      </c>
      <c r="X4282" s="3">
        <v>0.5121</v>
      </c>
    </row>
    <row r="4283" spans="1:24">
      <c r="A4283" t="s">
        <v>195</v>
      </c>
      <c r="B4283" t="s">
        <v>224</v>
      </c>
      <c r="C4283">
        <v>936</v>
      </c>
      <c r="D4283" t="s">
        <v>194</v>
      </c>
      <c r="E4283">
        <v>2669</v>
      </c>
      <c r="F4283" s="3">
        <v>1.5100000000000001E-2</v>
      </c>
      <c r="G4283" s="3">
        <v>7.3800000000000004E-2</v>
      </c>
      <c r="H4283" s="3">
        <v>0.02</v>
      </c>
      <c r="I4283" s="3">
        <v>1.2800000000000001E-2</v>
      </c>
      <c r="J4283" s="3">
        <v>2.0999999999999999E-3</v>
      </c>
      <c r="K4283" s="3">
        <v>0</v>
      </c>
      <c r="L4283" s="3">
        <v>1.29E-2</v>
      </c>
      <c r="M4283" s="3">
        <v>0.27860000000000001</v>
      </c>
      <c r="N4283" s="3">
        <v>1.2999999999999999E-3</v>
      </c>
      <c r="O4283" s="3">
        <v>9.5999999999999992E-3</v>
      </c>
      <c r="P4283" s="3">
        <v>7.4000000000000003E-3</v>
      </c>
      <c r="Q4283" s="3">
        <v>3.4599999999999999E-2</v>
      </c>
      <c r="R4283" s="3">
        <v>1.04E-2</v>
      </c>
      <c r="S4283" s="3">
        <v>1.3599999999999999E-2</v>
      </c>
      <c r="T4283" s="3">
        <v>6.6E-3</v>
      </c>
      <c r="U4283" s="3">
        <v>3.3999999999999998E-3</v>
      </c>
      <c r="V4283" s="3">
        <v>0.54249999999999998</v>
      </c>
      <c r="W4283" s="3">
        <v>0.59260000000000002</v>
      </c>
      <c r="X4283" s="3">
        <v>0.57930000000000004</v>
      </c>
    </row>
    <row r="4284" spans="1:24">
      <c r="A4284" t="s">
        <v>199</v>
      </c>
      <c r="B4284" t="s">
        <v>222</v>
      </c>
      <c r="C4284">
        <v>389</v>
      </c>
      <c r="D4284" t="s">
        <v>194</v>
      </c>
      <c r="E4284">
        <v>2669</v>
      </c>
      <c r="F4284" s="3">
        <v>6.54E-2</v>
      </c>
      <c r="G4284" s="3">
        <v>0.24610000000000001</v>
      </c>
      <c r="H4284" s="3">
        <v>2.8999999999999998E-3</v>
      </c>
      <c r="I4284" s="3">
        <v>6.4000000000000003E-3</v>
      </c>
      <c r="K4284" s="3">
        <v>1.2999999999999999E-2</v>
      </c>
      <c r="L4284" s="3">
        <v>1.32E-2</v>
      </c>
      <c r="M4284" s="3">
        <v>0.26729999999999998</v>
      </c>
      <c r="N4284" s="3">
        <v>2.0299999999999999E-2</v>
      </c>
      <c r="O4284" s="3">
        <v>1.4E-3</v>
      </c>
      <c r="P4284" s="3">
        <v>2.5700000000000001E-2</v>
      </c>
      <c r="Q4284" s="3">
        <v>5.8299999999999998E-2</v>
      </c>
      <c r="R4284" s="3">
        <v>9.1999999999999998E-3</v>
      </c>
      <c r="S4284" s="3">
        <v>8.2000000000000007E-3</v>
      </c>
      <c r="T4284" s="3">
        <v>1.4E-3</v>
      </c>
      <c r="U4284" s="3">
        <v>4.1000000000000003E-3</v>
      </c>
      <c r="V4284" s="3">
        <v>0.47189999999999999</v>
      </c>
      <c r="W4284" s="3">
        <v>0.56169999999999998</v>
      </c>
      <c r="X4284" s="3">
        <v>0.52569999999999995</v>
      </c>
    </row>
    <row r="4285" spans="1:24">
      <c r="A4285" t="s">
        <v>199</v>
      </c>
      <c r="B4285" t="s">
        <v>224</v>
      </c>
      <c r="C4285">
        <v>1097</v>
      </c>
      <c r="D4285" t="s">
        <v>194</v>
      </c>
      <c r="E4285">
        <v>2669</v>
      </c>
      <c r="F4285" s="3">
        <v>2.3300000000000001E-2</v>
      </c>
      <c r="G4285" s="3">
        <v>0.12280000000000001</v>
      </c>
      <c r="H4285" s="3">
        <v>1.84E-2</v>
      </c>
      <c r="I4285" s="3">
        <v>4.5999999999999999E-3</v>
      </c>
      <c r="L4285" s="3">
        <v>5.8999999999999999E-3</v>
      </c>
      <c r="M4285" s="3">
        <v>0.2074</v>
      </c>
      <c r="N4285" s="3">
        <v>7.3000000000000001E-3</v>
      </c>
      <c r="P4285" s="3">
        <v>3.44E-2</v>
      </c>
      <c r="Q4285" s="3">
        <v>4.9299999999999997E-2</v>
      </c>
      <c r="R4285" s="3">
        <v>1.7299999999999999E-2</v>
      </c>
      <c r="S4285" s="3">
        <v>1.9599999999999999E-2</v>
      </c>
      <c r="T4285" s="3">
        <v>1.01E-2</v>
      </c>
      <c r="U4285" s="3">
        <v>3.5099999999999999E-2</v>
      </c>
      <c r="V4285" s="3">
        <v>0.57989999999999997</v>
      </c>
      <c r="W4285" s="3">
        <v>0.60550000000000004</v>
      </c>
      <c r="X4285" s="3">
        <v>0.58520000000000005</v>
      </c>
    </row>
    <row r="4286" spans="1:24">
      <c r="A4286" t="s">
        <v>200</v>
      </c>
      <c r="B4286" t="s">
        <v>200</v>
      </c>
      <c r="C4286">
        <v>2669</v>
      </c>
      <c r="D4286" t="s">
        <v>200</v>
      </c>
      <c r="E4286">
        <v>2669</v>
      </c>
      <c r="F4286" s="3">
        <v>3.04E-2</v>
      </c>
      <c r="G4286" s="3">
        <v>0.13619999999999999</v>
      </c>
      <c r="H4286" s="3">
        <v>1.67E-2</v>
      </c>
      <c r="I4286" s="3">
        <v>1.11E-2</v>
      </c>
      <c r="J4286" s="3">
        <v>6.9999999999999999E-4</v>
      </c>
      <c r="K4286" s="3">
        <v>2.2000000000000001E-3</v>
      </c>
      <c r="L4286" s="3">
        <v>9.1000000000000004E-3</v>
      </c>
      <c r="M4286" s="3">
        <v>0.251</v>
      </c>
      <c r="N4286" s="3">
        <v>7.0000000000000001E-3</v>
      </c>
      <c r="O4286" s="3">
        <v>3.5000000000000001E-3</v>
      </c>
      <c r="P4286" s="3">
        <v>2.1899999999999999E-2</v>
      </c>
      <c r="Q4286" s="3">
        <v>4.5400000000000003E-2</v>
      </c>
      <c r="R4286" s="3">
        <v>1.3100000000000001E-2</v>
      </c>
      <c r="S4286" s="3">
        <v>1.44E-2</v>
      </c>
      <c r="T4286" s="3">
        <v>7.7999999999999996E-3</v>
      </c>
      <c r="U4286" s="3">
        <v>1.6899999999999998E-2</v>
      </c>
      <c r="V4286" s="3">
        <v>0.53520000000000001</v>
      </c>
      <c r="W4286" s="3">
        <v>0.58199999999999996</v>
      </c>
      <c r="X4286" s="3">
        <v>0.56520000000000004</v>
      </c>
    </row>
    <row r="4288" spans="1:24" ht="45">
      <c r="A4288" s="22" t="s">
        <v>1066</v>
      </c>
    </row>
    <row r="4289" spans="1:24">
      <c r="A4289" t="s">
        <v>185</v>
      </c>
      <c r="B4289" t="s">
        <v>186</v>
      </c>
      <c r="C4289" t="s">
        <v>192</v>
      </c>
      <c r="D4289" t="s">
        <v>184</v>
      </c>
      <c r="E4289" t="s">
        <v>193</v>
      </c>
      <c r="F4289" t="s">
        <v>1051</v>
      </c>
      <c r="G4289" t="s">
        <v>1052</v>
      </c>
      <c r="H4289" t="s">
        <v>1053</v>
      </c>
      <c r="I4289" t="s">
        <v>257</v>
      </c>
      <c r="J4289" t="s">
        <v>1054</v>
      </c>
      <c r="K4289" t="s">
        <v>1055</v>
      </c>
      <c r="L4289" t="s">
        <v>1056</v>
      </c>
      <c r="M4289" t="s">
        <v>329</v>
      </c>
      <c r="N4289" t="s">
        <v>274</v>
      </c>
      <c r="O4289" t="s">
        <v>247</v>
      </c>
      <c r="P4289" t="s">
        <v>1057</v>
      </c>
      <c r="Q4289" t="s">
        <v>1058</v>
      </c>
      <c r="R4289" t="s">
        <v>1059</v>
      </c>
      <c r="S4289" t="s">
        <v>1060</v>
      </c>
      <c r="T4289" t="s">
        <v>1061</v>
      </c>
      <c r="U4289" t="s">
        <v>1062</v>
      </c>
      <c r="V4289" t="s">
        <v>1063</v>
      </c>
      <c r="W4289" t="s">
        <v>1064</v>
      </c>
      <c r="X4289" t="s">
        <v>1065</v>
      </c>
    </row>
    <row r="4290" spans="1:24">
      <c r="A4290" t="s">
        <v>195</v>
      </c>
      <c r="B4290" t="s">
        <v>229</v>
      </c>
      <c r="C4290">
        <v>130</v>
      </c>
      <c r="D4290" t="s">
        <v>194</v>
      </c>
      <c r="E4290">
        <v>2669</v>
      </c>
      <c r="F4290" s="3">
        <v>2.0299999999999999E-2</v>
      </c>
      <c r="G4290" s="3">
        <v>0.23319999999999999</v>
      </c>
      <c r="I4290" s="3">
        <v>4.6600000000000003E-2</v>
      </c>
      <c r="L4290" s="3">
        <v>3.2000000000000002E-3</v>
      </c>
      <c r="M4290" s="3">
        <v>0.31169999999999998</v>
      </c>
      <c r="P4290" s="3">
        <v>6.3E-3</v>
      </c>
      <c r="Q4290" s="3">
        <v>2.7099999999999999E-2</v>
      </c>
      <c r="R4290" s="3">
        <v>8.2000000000000007E-3</v>
      </c>
      <c r="S4290" s="3">
        <v>1.8100000000000002E-2</v>
      </c>
      <c r="T4290" s="3">
        <v>8.6999999999999994E-3</v>
      </c>
      <c r="U4290" s="3">
        <v>1.0800000000000001E-2</v>
      </c>
      <c r="V4290" s="3">
        <v>0.49980000000000002</v>
      </c>
      <c r="W4290" s="3">
        <v>0.45329999999999998</v>
      </c>
      <c r="X4290" s="3">
        <v>0.46350000000000002</v>
      </c>
    </row>
    <row r="4291" spans="1:24">
      <c r="A4291" t="s">
        <v>195</v>
      </c>
      <c r="B4291" t="s">
        <v>230</v>
      </c>
      <c r="C4291">
        <v>482</v>
      </c>
      <c r="D4291" t="s">
        <v>194</v>
      </c>
      <c r="E4291">
        <v>2669</v>
      </c>
      <c r="F4291" s="3">
        <v>2.23E-2</v>
      </c>
      <c r="G4291" s="3">
        <v>0.1017</v>
      </c>
      <c r="H4291" s="3">
        <v>0.03</v>
      </c>
      <c r="I4291" s="3">
        <v>2.2100000000000002E-2</v>
      </c>
      <c r="K4291" s="3">
        <v>1E-4</v>
      </c>
      <c r="L4291" s="3">
        <v>1.38E-2</v>
      </c>
      <c r="M4291" s="3">
        <v>0.26640000000000003</v>
      </c>
      <c r="N4291" s="3">
        <v>1.6000000000000001E-3</v>
      </c>
      <c r="O4291" s="3">
        <v>1.3899999999999999E-2</v>
      </c>
      <c r="P4291" s="3">
        <v>1.5800000000000002E-2</v>
      </c>
      <c r="Q4291" s="3">
        <v>4.4400000000000002E-2</v>
      </c>
      <c r="R4291" s="3">
        <v>8.2000000000000007E-3</v>
      </c>
      <c r="S4291" s="3">
        <v>2.1100000000000001E-2</v>
      </c>
      <c r="T4291" s="3">
        <v>8.0999999999999996E-3</v>
      </c>
      <c r="V4291" s="3">
        <v>0.53939999999999999</v>
      </c>
      <c r="W4291" s="3">
        <v>0.59519999999999995</v>
      </c>
      <c r="X4291" s="3">
        <v>0.57789999999999997</v>
      </c>
    </row>
    <row r="4292" spans="1:24">
      <c r="A4292" t="s">
        <v>195</v>
      </c>
      <c r="B4292" t="s">
        <v>231</v>
      </c>
      <c r="C4292">
        <v>304</v>
      </c>
      <c r="D4292" t="s">
        <v>194</v>
      </c>
      <c r="E4292">
        <v>2669</v>
      </c>
      <c r="F4292" s="3">
        <v>4.1399999999999999E-2</v>
      </c>
      <c r="G4292" s="3">
        <v>9.7699999999999995E-2</v>
      </c>
      <c r="H4292" s="3">
        <v>3.3700000000000001E-2</v>
      </c>
      <c r="I4292" s="3">
        <v>1.03E-2</v>
      </c>
      <c r="J4292" s="3">
        <v>6.4999999999999997E-3</v>
      </c>
      <c r="L4292" s="3">
        <v>1E-4</v>
      </c>
      <c r="M4292" s="3">
        <v>0.26989999999999997</v>
      </c>
      <c r="N4292" s="3">
        <v>4.0000000000000001E-3</v>
      </c>
      <c r="O4292" s="3">
        <v>7.4000000000000003E-3</v>
      </c>
      <c r="P4292" s="3">
        <v>8.3999999999999995E-3</v>
      </c>
      <c r="Q4292" s="3">
        <v>4.1200000000000001E-2</v>
      </c>
      <c r="R4292" s="3">
        <v>1.26E-2</v>
      </c>
      <c r="S4292" s="3">
        <v>5.0000000000000001E-4</v>
      </c>
      <c r="T4292" s="3">
        <v>1.38E-2</v>
      </c>
      <c r="U4292" s="3">
        <v>1.78E-2</v>
      </c>
      <c r="V4292" s="3">
        <v>0.48699999999999999</v>
      </c>
      <c r="W4292" s="3">
        <v>0.58579999999999999</v>
      </c>
      <c r="X4292" s="3">
        <v>0.59009999999999996</v>
      </c>
    </row>
    <row r="4293" spans="1:24">
      <c r="A4293" t="s">
        <v>195</v>
      </c>
      <c r="B4293" t="s">
        <v>232</v>
      </c>
      <c r="C4293">
        <v>267</v>
      </c>
      <c r="D4293" t="s">
        <v>194</v>
      </c>
      <c r="E4293">
        <v>2669</v>
      </c>
      <c r="F4293" s="3">
        <v>5.8999999999999999E-3</v>
      </c>
      <c r="G4293" s="3">
        <v>3.1899999999999998E-2</v>
      </c>
      <c r="H4293" s="3">
        <v>2.2000000000000001E-3</v>
      </c>
      <c r="I4293" s="3">
        <v>1.8E-3</v>
      </c>
      <c r="L4293" s="3">
        <v>2.06E-2</v>
      </c>
      <c r="M4293" s="3">
        <v>0.307</v>
      </c>
      <c r="P4293" s="3">
        <v>2.2000000000000001E-3</v>
      </c>
      <c r="Q4293" s="3">
        <v>2.5600000000000001E-2</v>
      </c>
      <c r="R4293" s="3">
        <v>1.5800000000000002E-2</v>
      </c>
      <c r="S4293" s="3">
        <v>5.1000000000000004E-3</v>
      </c>
      <c r="T4293" s="3">
        <v>2.5999999999999999E-3</v>
      </c>
      <c r="V4293" s="3">
        <v>0.53920000000000001</v>
      </c>
      <c r="W4293" s="3">
        <v>0.58499999999999996</v>
      </c>
      <c r="X4293" s="3">
        <v>0.57520000000000004</v>
      </c>
    </row>
    <row r="4294" spans="1:24">
      <c r="A4294" t="s">
        <v>199</v>
      </c>
      <c r="B4294" t="s">
        <v>229</v>
      </c>
      <c r="C4294">
        <v>149</v>
      </c>
      <c r="D4294" t="s">
        <v>194</v>
      </c>
      <c r="E4294">
        <v>2669</v>
      </c>
      <c r="F4294" s="3">
        <v>4.9299999999999997E-2</v>
      </c>
      <c r="G4294" s="3">
        <v>0.13109999999999999</v>
      </c>
      <c r="H4294" s="3">
        <v>3.9399999999999998E-2</v>
      </c>
      <c r="I4294" s="3">
        <v>2.8E-3</v>
      </c>
      <c r="L4294" s="3">
        <v>1.7399999999999999E-2</v>
      </c>
      <c r="M4294" s="3">
        <v>0.23519999999999999</v>
      </c>
      <c r="P4294" s="3">
        <v>8.8000000000000005E-3</v>
      </c>
      <c r="Q4294" s="3">
        <v>2.5000000000000001E-2</v>
      </c>
      <c r="R4294" s="3">
        <v>5.5999999999999999E-3</v>
      </c>
      <c r="S4294" s="3">
        <v>3.4000000000000002E-2</v>
      </c>
      <c r="T4294" s="3">
        <v>3.32E-2</v>
      </c>
      <c r="U4294" s="3">
        <v>6.0499999999999998E-2</v>
      </c>
      <c r="V4294" s="3">
        <v>0.59130000000000005</v>
      </c>
      <c r="W4294" s="3">
        <v>0.59230000000000005</v>
      </c>
      <c r="X4294" s="3">
        <v>0.45540000000000003</v>
      </c>
    </row>
    <row r="4295" spans="1:24">
      <c r="A4295" t="s">
        <v>199</v>
      </c>
      <c r="B4295" t="s">
        <v>230</v>
      </c>
      <c r="C4295">
        <v>701</v>
      </c>
      <c r="D4295" t="s">
        <v>194</v>
      </c>
      <c r="E4295">
        <v>2669</v>
      </c>
      <c r="F4295" s="3">
        <v>4.2000000000000003E-2</v>
      </c>
      <c r="G4295" s="3">
        <v>0.22409999999999999</v>
      </c>
      <c r="H4295" s="3">
        <v>1.17E-2</v>
      </c>
      <c r="I4295" s="3">
        <v>7.1999999999999998E-3</v>
      </c>
      <c r="K4295" s="3">
        <v>8.3000000000000001E-3</v>
      </c>
      <c r="L4295" s="3">
        <v>9.9000000000000008E-3</v>
      </c>
      <c r="M4295" s="3">
        <v>0.19800000000000001</v>
      </c>
      <c r="N4295" s="3">
        <v>1.9400000000000001E-2</v>
      </c>
      <c r="O4295" s="3">
        <v>2.9999999999999997E-4</v>
      </c>
      <c r="P4295" s="3">
        <v>2.5899999999999999E-2</v>
      </c>
      <c r="Q4295" s="3">
        <v>6.7000000000000004E-2</v>
      </c>
      <c r="R4295" s="3">
        <v>1.6400000000000001E-2</v>
      </c>
      <c r="S4295" s="3">
        <v>1.4200000000000001E-2</v>
      </c>
      <c r="T4295" s="3">
        <v>2.0000000000000001E-4</v>
      </c>
      <c r="U4295" s="3">
        <v>2.47E-2</v>
      </c>
      <c r="V4295" s="3">
        <v>0.53839999999999999</v>
      </c>
      <c r="W4295" s="3">
        <v>0.59470000000000001</v>
      </c>
      <c r="X4295" s="3">
        <v>0.5897</v>
      </c>
    </row>
    <row r="4296" spans="1:24">
      <c r="A4296" t="s">
        <v>199</v>
      </c>
      <c r="B4296" t="s">
        <v>231</v>
      </c>
      <c r="C4296">
        <v>396</v>
      </c>
      <c r="D4296" t="s">
        <v>194</v>
      </c>
      <c r="E4296">
        <v>2669</v>
      </c>
      <c r="F4296" s="3">
        <v>4.0800000000000003E-2</v>
      </c>
      <c r="G4296" s="3">
        <v>0.1225</v>
      </c>
      <c r="H4296" s="3">
        <v>6.4000000000000003E-3</v>
      </c>
      <c r="I4296" s="3">
        <v>4.1999999999999997E-3</v>
      </c>
      <c r="K4296" s="3">
        <v>6.9999999999999999E-4</v>
      </c>
      <c r="L4296" s="3">
        <v>8.0000000000000004E-4</v>
      </c>
      <c r="M4296" s="3">
        <v>0.20080000000000001</v>
      </c>
      <c r="N4296" s="3">
        <v>5.7000000000000002E-3</v>
      </c>
      <c r="O4296" s="3">
        <v>1.5E-3</v>
      </c>
      <c r="P4296" s="3">
        <v>5.1499999999999997E-2</v>
      </c>
      <c r="Q4296" s="3">
        <v>5.7700000000000001E-2</v>
      </c>
      <c r="R4296" s="3">
        <v>2.12E-2</v>
      </c>
      <c r="S4296" s="3">
        <v>1.24E-2</v>
      </c>
      <c r="U4296" s="3">
        <v>6.8999999999999999E-3</v>
      </c>
      <c r="V4296" s="3">
        <v>0.5524</v>
      </c>
      <c r="W4296" s="3">
        <v>0.60089999999999999</v>
      </c>
      <c r="X4296" s="3">
        <v>0.60450000000000004</v>
      </c>
    </row>
    <row r="4297" spans="1:24">
      <c r="A4297" t="s">
        <v>199</v>
      </c>
      <c r="B4297" t="s">
        <v>232</v>
      </c>
      <c r="C4297">
        <v>240</v>
      </c>
      <c r="D4297" t="s">
        <v>194</v>
      </c>
      <c r="E4297">
        <v>2669</v>
      </c>
      <c r="F4297" s="3">
        <v>1.1999999999999999E-3</v>
      </c>
      <c r="G4297" s="3">
        <v>5.6300000000000003E-2</v>
      </c>
      <c r="I4297" s="3">
        <v>3.0000000000000001E-3</v>
      </c>
      <c r="L4297" s="3">
        <v>1.2999999999999999E-3</v>
      </c>
      <c r="M4297" s="3">
        <v>0.32090000000000002</v>
      </c>
      <c r="N4297" s="3">
        <v>6.6E-3</v>
      </c>
      <c r="P4297" s="3">
        <v>5.0200000000000002E-2</v>
      </c>
      <c r="Q4297" s="3">
        <v>3.2500000000000001E-2</v>
      </c>
      <c r="R4297" s="3">
        <v>1.3299999999999999E-2</v>
      </c>
      <c r="S4297" s="3">
        <v>6.7999999999999996E-3</v>
      </c>
      <c r="T4297" s="3">
        <v>8.5000000000000006E-3</v>
      </c>
      <c r="U4297" s="3">
        <v>1.2200000000000001E-2</v>
      </c>
      <c r="V4297" s="3">
        <v>0.51739999999999997</v>
      </c>
      <c r="W4297" s="3">
        <v>0.57489999999999997</v>
      </c>
      <c r="X4297" s="3">
        <v>0.57950000000000002</v>
      </c>
    </row>
    <row r="4298" spans="1:24">
      <c r="A4298" t="s">
        <v>200</v>
      </c>
      <c r="B4298" t="s">
        <v>200</v>
      </c>
      <c r="C4298">
        <v>2669</v>
      </c>
      <c r="D4298" t="s">
        <v>200</v>
      </c>
      <c r="E4298">
        <v>2669</v>
      </c>
      <c r="F4298" s="3">
        <v>3.04E-2</v>
      </c>
      <c r="G4298" s="3">
        <v>0.13619999999999999</v>
      </c>
      <c r="H4298" s="3">
        <v>1.67E-2</v>
      </c>
      <c r="I4298" s="3">
        <v>1.11E-2</v>
      </c>
      <c r="J4298" s="3">
        <v>6.9999999999999999E-4</v>
      </c>
      <c r="K4298" s="3">
        <v>2.2000000000000001E-3</v>
      </c>
      <c r="L4298" s="3">
        <v>9.1000000000000004E-3</v>
      </c>
      <c r="M4298" s="3">
        <v>0.251</v>
      </c>
      <c r="N4298" s="3">
        <v>7.0000000000000001E-3</v>
      </c>
      <c r="O4298" s="3">
        <v>3.5000000000000001E-3</v>
      </c>
      <c r="P4298" s="3">
        <v>2.1899999999999999E-2</v>
      </c>
      <c r="Q4298" s="3">
        <v>4.5400000000000003E-2</v>
      </c>
      <c r="R4298" s="3">
        <v>1.3100000000000001E-2</v>
      </c>
      <c r="S4298" s="3">
        <v>1.44E-2</v>
      </c>
      <c r="T4298" s="3">
        <v>7.7999999999999996E-3</v>
      </c>
      <c r="U4298" s="3">
        <v>1.6899999999999998E-2</v>
      </c>
      <c r="V4298" s="3">
        <v>0.53520000000000001</v>
      </c>
      <c r="W4298" s="3">
        <v>0.58199999999999996</v>
      </c>
      <c r="X4298" s="3">
        <v>0.56520000000000004</v>
      </c>
    </row>
    <row r="4300" spans="1:24" ht="45">
      <c r="A4300" s="22" t="s">
        <v>1067</v>
      </c>
    </row>
    <row r="4301" spans="1:24">
      <c r="A4301" t="s">
        <v>185</v>
      </c>
      <c r="B4301" t="s">
        <v>186</v>
      </c>
      <c r="C4301" t="s">
        <v>192</v>
      </c>
      <c r="D4301" t="s">
        <v>184</v>
      </c>
      <c r="E4301" t="s">
        <v>193</v>
      </c>
      <c r="F4301" t="s">
        <v>1051</v>
      </c>
      <c r="G4301" t="s">
        <v>1052</v>
      </c>
      <c r="H4301" t="s">
        <v>1053</v>
      </c>
      <c r="I4301" t="s">
        <v>257</v>
      </c>
      <c r="J4301" t="s">
        <v>1054</v>
      </c>
      <c r="K4301" t="s">
        <v>1055</v>
      </c>
      <c r="L4301" t="s">
        <v>1056</v>
      </c>
      <c r="M4301" t="s">
        <v>329</v>
      </c>
      <c r="N4301" t="s">
        <v>274</v>
      </c>
      <c r="O4301" t="s">
        <v>247</v>
      </c>
      <c r="P4301" t="s">
        <v>1057</v>
      </c>
      <c r="Q4301" t="s">
        <v>1058</v>
      </c>
      <c r="R4301" t="s">
        <v>1059</v>
      </c>
      <c r="S4301" t="s">
        <v>1060</v>
      </c>
      <c r="T4301" t="s">
        <v>1061</v>
      </c>
      <c r="U4301" t="s">
        <v>1062</v>
      </c>
      <c r="V4301" t="s">
        <v>1063</v>
      </c>
      <c r="W4301" t="s">
        <v>1064</v>
      </c>
      <c r="X4301" t="s">
        <v>1065</v>
      </c>
    </row>
    <row r="4302" spans="1:24">
      <c r="A4302" t="s">
        <v>195</v>
      </c>
      <c r="B4302" t="s">
        <v>196</v>
      </c>
      <c r="C4302">
        <v>410</v>
      </c>
      <c r="D4302" t="s">
        <v>194</v>
      </c>
      <c r="E4302">
        <v>2669</v>
      </c>
      <c r="F4302" s="3">
        <v>4.1200000000000001E-2</v>
      </c>
      <c r="G4302" s="3">
        <v>9.6199999999999994E-2</v>
      </c>
      <c r="H4302" s="3">
        <v>1.9400000000000001E-2</v>
      </c>
      <c r="I4302" s="3">
        <v>3.2300000000000002E-2</v>
      </c>
      <c r="L4302" s="3">
        <v>8.3999999999999995E-3</v>
      </c>
      <c r="M4302" s="3">
        <v>0.3755</v>
      </c>
      <c r="O4302" s="3">
        <v>2.2599999999999999E-2</v>
      </c>
      <c r="P4302" s="3">
        <v>1.18E-2</v>
      </c>
      <c r="Q4302" s="3">
        <v>3.7900000000000003E-2</v>
      </c>
      <c r="R4302" s="3">
        <v>3.3999999999999998E-3</v>
      </c>
      <c r="S4302" s="3">
        <v>8.0000000000000004E-4</v>
      </c>
      <c r="T4302" s="3">
        <v>1.26E-2</v>
      </c>
      <c r="U4302" s="3">
        <v>1.26E-2</v>
      </c>
      <c r="V4302" s="3">
        <v>0.40639999999999998</v>
      </c>
      <c r="W4302" s="3">
        <v>0.47749999999999998</v>
      </c>
      <c r="X4302" s="3">
        <v>0.4713</v>
      </c>
    </row>
    <row r="4303" spans="1:24">
      <c r="A4303" t="s">
        <v>195</v>
      </c>
      <c r="B4303" t="s">
        <v>198</v>
      </c>
      <c r="C4303">
        <v>752</v>
      </c>
      <c r="D4303" t="s">
        <v>194</v>
      </c>
      <c r="E4303">
        <v>2669</v>
      </c>
      <c r="F4303" s="3">
        <v>1.67E-2</v>
      </c>
      <c r="G4303" s="3">
        <v>0.10979999999999999</v>
      </c>
      <c r="H4303" s="3">
        <v>2.1000000000000001E-2</v>
      </c>
      <c r="I4303" s="3">
        <v>1.3299999999999999E-2</v>
      </c>
      <c r="J4303" s="3">
        <v>2.2000000000000001E-3</v>
      </c>
      <c r="K4303" s="3">
        <v>0</v>
      </c>
      <c r="L4303" s="3">
        <v>1.11E-2</v>
      </c>
      <c r="M4303" s="3">
        <v>0.2505</v>
      </c>
      <c r="N4303" s="3">
        <v>1.4E-3</v>
      </c>
      <c r="O4303" s="3">
        <v>1.6999999999999999E-3</v>
      </c>
      <c r="P4303" s="3">
        <v>8.8999999999999999E-3</v>
      </c>
      <c r="Q4303" s="3">
        <v>3.6999999999999998E-2</v>
      </c>
      <c r="R4303" s="3">
        <v>1.37E-2</v>
      </c>
      <c r="S4303" s="3">
        <v>1.6400000000000001E-2</v>
      </c>
      <c r="T4303" s="3">
        <v>6.8999999999999999E-3</v>
      </c>
      <c r="U4303" s="3">
        <v>3.5000000000000001E-3</v>
      </c>
      <c r="V4303" s="3">
        <v>0.56040000000000001</v>
      </c>
      <c r="W4303" s="3">
        <v>0.60150000000000003</v>
      </c>
      <c r="X4303" s="3">
        <v>0.59509999999999996</v>
      </c>
    </row>
    <row r="4304" spans="1:24">
      <c r="A4304" t="s">
        <v>199</v>
      </c>
      <c r="B4304" t="s">
        <v>196</v>
      </c>
      <c r="C4304">
        <v>525</v>
      </c>
      <c r="D4304" t="s">
        <v>194</v>
      </c>
      <c r="E4304">
        <v>2669</v>
      </c>
      <c r="F4304" s="3">
        <v>1.61E-2</v>
      </c>
      <c r="G4304" s="3">
        <v>0.1009</v>
      </c>
      <c r="H4304" s="3">
        <v>1.8E-3</v>
      </c>
      <c r="I4304" s="3">
        <v>1.06E-2</v>
      </c>
      <c r="K4304" s="3">
        <v>1.04E-2</v>
      </c>
      <c r="L4304" s="3">
        <v>3.0999999999999999E-3</v>
      </c>
      <c r="M4304" s="3">
        <v>0.2782</v>
      </c>
      <c r="N4304" s="3">
        <v>1.0500000000000001E-2</v>
      </c>
      <c r="O4304" s="3">
        <v>6.9999999999999999E-4</v>
      </c>
      <c r="P4304" s="3">
        <v>5.8900000000000001E-2</v>
      </c>
      <c r="Q4304" s="3">
        <v>5.4800000000000001E-2</v>
      </c>
      <c r="R4304" s="3">
        <v>2.5999999999999999E-3</v>
      </c>
      <c r="S4304" s="3">
        <v>2.2700000000000001E-2</v>
      </c>
      <c r="T4304" s="3">
        <v>1.8E-3</v>
      </c>
      <c r="U4304" s="3">
        <v>2.06E-2</v>
      </c>
      <c r="V4304" s="3">
        <v>0.4763</v>
      </c>
      <c r="W4304" s="3">
        <v>0.55100000000000005</v>
      </c>
      <c r="X4304" s="3">
        <v>0.49309999999999998</v>
      </c>
    </row>
    <row r="4305" spans="1:24">
      <c r="A4305" t="s">
        <v>199</v>
      </c>
      <c r="B4305" t="s">
        <v>198</v>
      </c>
      <c r="C4305">
        <v>943</v>
      </c>
      <c r="D4305" t="s">
        <v>194</v>
      </c>
      <c r="E4305">
        <v>2669</v>
      </c>
      <c r="F4305" s="3">
        <v>4.0800000000000003E-2</v>
      </c>
      <c r="G4305" s="3">
        <v>0.17449999999999999</v>
      </c>
      <c r="H4305" s="3">
        <v>1.6299999999999999E-2</v>
      </c>
      <c r="I4305" s="3">
        <v>3.8999999999999998E-3</v>
      </c>
      <c r="K4305" s="3">
        <v>2.5000000000000001E-3</v>
      </c>
      <c r="L4305" s="3">
        <v>9.2999999999999992E-3</v>
      </c>
      <c r="M4305" s="3">
        <v>0.21410000000000001</v>
      </c>
      <c r="N4305" s="3">
        <v>1.15E-2</v>
      </c>
      <c r="O4305" s="3">
        <v>2.9999999999999997E-4</v>
      </c>
      <c r="P4305" s="3">
        <v>2.5600000000000001E-2</v>
      </c>
      <c r="Q4305" s="3">
        <v>5.1499999999999997E-2</v>
      </c>
      <c r="R4305" s="3">
        <v>1.77E-2</v>
      </c>
      <c r="S4305" s="3">
        <v>1.47E-2</v>
      </c>
      <c r="T4305" s="3">
        <v>8.6999999999999994E-3</v>
      </c>
      <c r="U4305" s="3">
        <v>2.6800000000000001E-2</v>
      </c>
      <c r="V4305" s="3">
        <v>0.56230000000000002</v>
      </c>
      <c r="W4305" s="3">
        <v>0.6008</v>
      </c>
      <c r="X4305" s="3">
        <v>0.58309999999999995</v>
      </c>
    </row>
    <row r="4306" spans="1:24">
      <c r="A4306" t="s">
        <v>200</v>
      </c>
      <c r="B4306" t="s">
        <v>200</v>
      </c>
      <c r="C4306">
        <v>2669</v>
      </c>
      <c r="D4306" t="s">
        <v>200</v>
      </c>
      <c r="E4306">
        <v>2669</v>
      </c>
      <c r="F4306" s="3">
        <v>3.04E-2</v>
      </c>
      <c r="G4306" s="3">
        <v>0.13619999999999999</v>
      </c>
      <c r="H4306" s="3">
        <v>1.67E-2</v>
      </c>
      <c r="I4306" s="3">
        <v>1.11E-2</v>
      </c>
      <c r="J4306" s="3">
        <v>6.9999999999999999E-4</v>
      </c>
      <c r="K4306" s="3">
        <v>2.2000000000000001E-3</v>
      </c>
      <c r="L4306" s="3">
        <v>9.1000000000000004E-3</v>
      </c>
      <c r="M4306" s="3">
        <v>0.251</v>
      </c>
      <c r="N4306" s="3">
        <v>7.0000000000000001E-3</v>
      </c>
      <c r="O4306" s="3">
        <v>3.5000000000000001E-3</v>
      </c>
      <c r="P4306" s="3">
        <v>2.1899999999999999E-2</v>
      </c>
      <c r="Q4306" s="3">
        <v>4.5400000000000003E-2</v>
      </c>
      <c r="R4306" s="3">
        <v>1.3100000000000001E-2</v>
      </c>
      <c r="S4306" s="3">
        <v>1.44E-2</v>
      </c>
      <c r="T4306" s="3">
        <v>7.7999999999999996E-3</v>
      </c>
      <c r="U4306" s="3">
        <v>1.6899999999999998E-2</v>
      </c>
      <c r="V4306" s="3">
        <v>0.53520000000000001</v>
      </c>
      <c r="W4306" s="3">
        <v>0.58199999999999996</v>
      </c>
      <c r="X4306" s="3">
        <v>0.56520000000000004</v>
      </c>
    </row>
    <row r="4308" spans="1:24" ht="45">
      <c r="A4308" s="22" t="s">
        <v>1068</v>
      </c>
    </row>
    <row r="4309" spans="1:24">
      <c r="A4309" t="s">
        <v>185</v>
      </c>
      <c r="B4309" t="s">
        <v>186</v>
      </c>
      <c r="C4309" t="s">
        <v>192</v>
      </c>
      <c r="D4309" t="s">
        <v>184</v>
      </c>
      <c r="E4309" t="s">
        <v>193</v>
      </c>
      <c r="F4309" t="s">
        <v>1051</v>
      </c>
      <c r="G4309" t="s">
        <v>1052</v>
      </c>
      <c r="H4309" t="s">
        <v>1053</v>
      </c>
      <c r="I4309" t="s">
        <v>257</v>
      </c>
      <c r="J4309" t="s">
        <v>1054</v>
      </c>
      <c r="K4309" t="s">
        <v>1055</v>
      </c>
      <c r="L4309" t="s">
        <v>1056</v>
      </c>
      <c r="M4309" t="s">
        <v>329</v>
      </c>
      <c r="N4309" t="s">
        <v>274</v>
      </c>
      <c r="O4309" t="s">
        <v>247</v>
      </c>
      <c r="P4309" t="s">
        <v>1057</v>
      </c>
      <c r="Q4309" t="s">
        <v>1058</v>
      </c>
      <c r="R4309" t="s">
        <v>1059</v>
      </c>
      <c r="S4309" t="s">
        <v>1060</v>
      </c>
      <c r="T4309" t="s">
        <v>1061</v>
      </c>
      <c r="U4309" t="s">
        <v>1062</v>
      </c>
      <c r="V4309" t="s">
        <v>1063</v>
      </c>
      <c r="W4309" t="s">
        <v>1064</v>
      </c>
      <c r="X4309" t="s">
        <v>1065</v>
      </c>
    </row>
    <row r="4310" spans="1:24">
      <c r="A4310" t="s">
        <v>195</v>
      </c>
      <c r="B4310" t="s">
        <v>202</v>
      </c>
      <c r="C4310">
        <v>531</v>
      </c>
      <c r="D4310" t="s">
        <v>194</v>
      </c>
      <c r="E4310">
        <v>2669</v>
      </c>
      <c r="F4310" s="3">
        <v>1.23E-2</v>
      </c>
      <c r="G4310" s="3">
        <v>6.9000000000000006E-2</v>
      </c>
      <c r="H4310" s="3">
        <v>2.7300000000000001E-2</v>
      </c>
      <c r="I4310" s="3">
        <v>2.1600000000000001E-2</v>
      </c>
      <c r="J4310" s="3">
        <v>2.3999999999999998E-3</v>
      </c>
      <c r="L4310" s="3">
        <v>1.4200000000000001E-2</v>
      </c>
      <c r="M4310" s="3">
        <v>0.35970000000000002</v>
      </c>
      <c r="O4310" s="3">
        <v>1.09E-2</v>
      </c>
      <c r="P4310" s="3">
        <v>7.7999999999999996E-3</v>
      </c>
      <c r="Q4310" s="3">
        <v>1.89E-2</v>
      </c>
      <c r="R4310" s="3">
        <v>1.03E-2</v>
      </c>
      <c r="S4310" s="3">
        <v>9.1999999999999998E-3</v>
      </c>
      <c r="T4310" s="3">
        <v>1.01E-2</v>
      </c>
      <c r="U4310" s="3">
        <v>7.1999999999999998E-3</v>
      </c>
      <c r="V4310" s="3">
        <v>0.42859999999999998</v>
      </c>
      <c r="W4310" s="3">
        <v>0.47539999999999999</v>
      </c>
      <c r="X4310" s="3">
        <v>0.48280000000000001</v>
      </c>
    </row>
    <row r="4311" spans="1:24">
      <c r="A4311" t="s">
        <v>195</v>
      </c>
      <c r="B4311" t="s">
        <v>204</v>
      </c>
      <c r="C4311">
        <v>300</v>
      </c>
      <c r="D4311" t="s">
        <v>194</v>
      </c>
      <c r="E4311">
        <v>2669</v>
      </c>
      <c r="F4311" s="3">
        <v>6.9099999999999995E-2</v>
      </c>
      <c r="G4311" s="3">
        <v>0.15160000000000001</v>
      </c>
      <c r="H4311" s="3">
        <v>9.4999999999999998E-3</v>
      </c>
      <c r="I4311" s="3">
        <v>5.7999999999999996E-3</v>
      </c>
      <c r="K4311" s="3">
        <v>1E-4</v>
      </c>
      <c r="L4311" s="3">
        <v>2.3999999999999998E-3</v>
      </c>
      <c r="M4311" s="3">
        <v>0.18720000000000001</v>
      </c>
      <c r="N4311" s="3">
        <v>3.0000000000000001E-3</v>
      </c>
      <c r="O4311" s="3">
        <v>1.1000000000000001E-3</v>
      </c>
      <c r="P4311" s="3">
        <v>1.21E-2</v>
      </c>
      <c r="Q4311" s="3">
        <v>6.88E-2</v>
      </c>
      <c r="R4311" s="3">
        <v>1.17E-2</v>
      </c>
      <c r="S4311" s="3">
        <v>2.46E-2</v>
      </c>
      <c r="T4311" s="3">
        <v>6.1000000000000004E-3</v>
      </c>
      <c r="U4311" s="3">
        <v>6.1000000000000004E-3</v>
      </c>
      <c r="V4311" s="3">
        <v>0.61729999999999996</v>
      </c>
      <c r="W4311" s="3">
        <v>0.65949999999999998</v>
      </c>
      <c r="X4311" s="3">
        <v>0.62980000000000003</v>
      </c>
    </row>
    <row r="4312" spans="1:24">
      <c r="A4312" t="s">
        <v>195</v>
      </c>
      <c r="B4312" t="s">
        <v>205</v>
      </c>
      <c r="C4312">
        <v>331</v>
      </c>
      <c r="D4312" t="s">
        <v>194</v>
      </c>
      <c r="E4312">
        <v>2669</v>
      </c>
      <c r="F4312" s="3">
        <v>2.5999999999999999E-3</v>
      </c>
      <c r="G4312" s="3">
        <v>0.2122</v>
      </c>
      <c r="H4312" s="3">
        <v>6.0000000000000001E-3</v>
      </c>
      <c r="I4312" s="3">
        <v>2.2599999999999999E-2</v>
      </c>
      <c r="L4312" s="3">
        <v>4.7000000000000002E-3</v>
      </c>
      <c r="M4312" s="3">
        <v>7.3700000000000002E-2</v>
      </c>
      <c r="N4312" s="3">
        <v>2.5999999999999999E-3</v>
      </c>
      <c r="P4312" s="3">
        <v>1.47E-2</v>
      </c>
      <c r="Q4312" s="3">
        <v>7.51E-2</v>
      </c>
      <c r="R4312" s="3">
        <v>1.2500000000000001E-2</v>
      </c>
      <c r="S4312" s="3">
        <v>6.8999999999999999E-3</v>
      </c>
      <c r="T4312" s="3">
        <v>4.1000000000000003E-3</v>
      </c>
      <c r="V4312" s="3">
        <v>0.79830000000000001</v>
      </c>
      <c r="W4312" s="3">
        <v>0.86950000000000005</v>
      </c>
      <c r="X4312" s="3">
        <v>0.83440000000000003</v>
      </c>
    </row>
    <row r="4313" spans="1:24">
      <c r="A4313" t="s">
        <v>199</v>
      </c>
      <c r="B4313" t="s">
        <v>202</v>
      </c>
      <c r="C4313">
        <v>537</v>
      </c>
      <c r="D4313" t="s">
        <v>194</v>
      </c>
      <c r="E4313">
        <v>2669</v>
      </c>
      <c r="F4313" s="3">
        <v>2.35E-2</v>
      </c>
      <c r="G4313" s="3">
        <v>0.1366</v>
      </c>
      <c r="H4313" s="3">
        <v>2.0199999999999999E-2</v>
      </c>
      <c r="I4313" s="3">
        <v>5.7000000000000002E-3</v>
      </c>
      <c r="L4313" s="3">
        <v>5.8999999999999999E-3</v>
      </c>
      <c r="M4313" s="3">
        <v>0.32519999999999999</v>
      </c>
      <c r="N4313" s="3">
        <v>1.5699999999999999E-2</v>
      </c>
      <c r="P4313" s="3">
        <v>3.4200000000000001E-2</v>
      </c>
      <c r="Q4313" s="3">
        <v>4.2999999999999997E-2</v>
      </c>
      <c r="R4313" s="3">
        <v>4.7999999999999996E-3</v>
      </c>
      <c r="S4313" s="3">
        <v>1.29E-2</v>
      </c>
      <c r="T4313" s="3">
        <v>1.04E-2</v>
      </c>
      <c r="U4313" s="3">
        <v>2.63E-2</v>
      </c>
      <c r="V4313" s="3">
        <v>0.39550000000000002</v>
      </c>
      <c r="W4313" s="3">
        <v>0.45469999999999999</v>
      </c>
      <c r="X4313" s="3">
        <v>0.44140000000000001</v>
      </c>
    </row>
    <row r="4314" spans="1:24">
      <c r="A4314" t="s">
        <v>199</v>
      </c>
      <c r="B4314" t="s">
        <v>204</v>
      </c>
      <c r="C4314">
        <v>426</v>
      </c>
      <c r="D4314" t="s">
        <v>194</v>
      </c>
      <c r="E4314">
        <v>2669</v>
      </c>
      <c r="F4314" s="3">
        <v>5.8799999999999998E-2</v>
      </c>
      <c r="G4314" s="3">
        <v>0.2324</v>
      </c>
      <c r="H4314" s="3">
        <v>2.0999999999999999E-3</v>
      </c>
      <c r="I4314" s="3">
        <v>1.5E-3</v>
      </c>
      <c r="K4314" s="3">
        <v>0.01</v>
      </c>
      <c r="L4314" s="3">
        <v>9.5999999999999992E-3</v>
      </c>
      <c r="M4314" s="3">
        <v>7.8899999999999998E-2</v>
      </c>
      <c r="N4314" s="3">
        <v>6.9999999999999999E-4</v>
      </c>
      <c r="O4314" s="3">
        <v>6.9999999999999999E-4</v>
      </c>
      <c r="P4314" s="3">
        <v>1.3599999999999999E-2</v>
      </c>
      <c r="Q4314" s="3">
        <v>4.0300000000000002E-2</v>
      </c>
      <c r="R4314" s="3">
        <v>2.07E-2</v>
      </c>
      <c r="S4314" s="3">
        <v>1.9400000000000001E-2</v>
      </c>
      <c r="T4314" s="3">
        <v>3.3999999999999998E-3</v>
      </c>
      <c r="U4314" s="3">
        <v>4.5199999999999997E-2</v>
      </c>
      <c r="V4314" s="3">
        <v>0.76319999999999999</v>
      </c>
      <c r="W4314" s="3">
        <v>0.74229999999999996</v>
      </c>
      <c r="X4314" s="3">
        <v>0.65600000000000003</v>
      </c>
    </row>
    <row r="4315" spans="1:24">
      <c r="A4315" t="s">
        <v>199</v>
      </c>
      <c r="B4315" t="s">
        <v>205</v>
      </c>
      <c r="C4315">
        <v>505</v>
      </c>
      <c r="D4315" t="s">
        <v>194</v>
      </c>
      <c r="E4315">
        <v>2669</v>
      </c>
      <c r="F4315" s="3">
        <v>5.8099999999999999E-2</v>
      </c>
      <c r="G4315" s="3">
        <v>0.1694</v>
      </c>
      <c r="H4315" s="3">
        <v>2.0999999999999999E-3</v>
      </c>
      <c r="I4315" s="3">
        <v>7.1000000000000004E-3</v>
      </c>
      <c r="K4315" s="3">
        <v>1.2200000000000001E-2</v>
      </c>
      <c r="L4315" s="3">
        <v>1.46E-2</v>
      </c>
      <c r="M4315" s="3">
        <v>2.23E-2</v>
      </c>
      <c r="N4315" s="3">
        <v>6.8999999999999999E-3</v>
      </c>
      <c r="O4315" s="3">
        <v>1.6000000000000001E-3</v>
      </c>
      <c r="P4315" s="3">
        <v>4.36E-2</v>
      </c>
      <c r="Q4315" s="3">
        <v>9.9900000000000003E-2</v>
      </c>
      <c r="R4315" s="3">
        <v>4.6100000000000002E-2</v>
      </c>
      <c r="S4315" s="3">
        <v>2.4799999999999999E-2</v>
      </c>
      <c r="T4315" s="3">
        <v>5.9999999999999995E-4</v>
      </c>
      <c r="U4315" s="3">
        <v>5.9999999999999995E-4</v>
      </c>
      <c r="V4315" s="3">
        <v>0.86450000000000005</v>
      </c>
      <c r="W4315" s="3">
        <v>0.93279999999999996</v>
      </c>
      <c r="X4315" s="3">
        <v>0.93340000000000001</v>
      </c>
    </row>
    <row r="4316" spans="1:24">
      <c r="A4316" t="s">
        <v>200</v>
      </c>
      <c r="B4316" t="s">
        <v>200</v>
      </c>
      <c r="C4316">
        <v>2669</v>
      </c>
      <c r="D4316" t="s">
        <v>200</v>
      </c>
      <c r="E4316">
        <v>2669</v>
      </c>
      <c r="F4316" s="3">
        <v>3.04E-2</v>
      </c>
      <c r="G4316" s="3">
        <v>0.13619999999999999</v>
      </c>
      <c r="H4316" s="3">
        <v>1.67E-2</v>
      </c>
      <c r="I4316" s="3">
        <v>1.11E-2</v>
      </c>
      <c r="J4316" s="3">
        <v>6.9999999999999999E-4</v>
      </c>
      <c r="K4316" s="3">
        <v>2.2000000000000001E-3</v>
      </c>
      <c r="L4316" s="3">
        <v>9.1000000000000004E-3</v>
      </c>
      <c r="M4316" s="3">
        <v>0.251</v>
      </c>
      <c r="N4316" s="3">
        <v>7.0000000000000001E-3</v>
      </c>
      <c r="O4316" s="3">
        <v>3.5000000000000001E-3</v>
      </c>
      <c r="P4316" s="3">
        <v>2.1899999999999999E-2</v>
      </c>
      <c r="Q4316" s="3">
        <v>4.5400000000000003E-2</v>
      </c>
      <c r="R4316" s="3">
        <v>1.3100000000000001E-2</v>
      </c>
      <c r="S4316" s="3">
        <v>1.44E-2</v>
      </c>
      <c r="T4316" s="3">
        <v>7.7999999999999996E-3</v>
      </c>
      <c r="U4316" s="3">
        <v>1.6899999999999998E-2</v>
      </c>
      <c r="V4316" s="3">
        <v>0.53520000000000001</v>
      </c>
      <c r="W4316" s="3">
        <v>0.58199999999999996</v>
      </c>
      <c r="X4316" s="3">
        <v>0.56520000000000004</v>
      </c>
    </row>
    <row r="4318" spans="1:24" ht="45">
      <c r="A4318" s="22" t="s">
        <v>1069</v>
      </c>
    </row>
    <row r="4319" spans="1:24">
      <c r="A4319" t="s">
        <v>185</v>
      </c>
      <c r="B4319" t="s">
        <v>186</v>
      </c>
      <c r="C4319" t="s">
        <v>192</v>
      </c>
      <c r="D4319" t="s">
        <v>184</v>
      </c>
      <c r="E4319" t="s">
        <v>193</v>
      </c>
      <c r="F4319" t="s">
        <v>1051</v>
      </c>
      <c r="G4319" t="s">
        <v>1052</v>
      </c>
      <c r="H4319" t="s">
        <v>1053</v>
      </c>
      <c r="I4319" t="s">
        <v>257</v>
      </c>
      <c r="J4319" t="s">
        <v>1054</v>
      </c>
      <c r="K4319" t="s">
        <v>1055</v>
      </c>
      <c r="L4319" t="s">
        <v>1056</v>
      </c>
      <c r="M4319" t="s">
        <v>329</v>
      </c>
      <c r="N4319" t="s">
        <v>274</v>
      </c>
      <c r="O4319" t="s">
        <v>247</v>
      </c>
      <c r="P4319" t="s">
        <v>1057</v>
      </c>
      <c r="Q4319" t="s">
        <v>1058</v>
      </c>
      <c r="R4319" t="s">
        <v>1059</v>
      </c>
      <c r="S4319" t="s">
        <v>1060</v>
      </c>
      <c r="T4319" t="s">
        <v>1061</v>
      </c>
      <c r="U4319" t="s">
        <v>1062</v>
      </c>
      <c r="V4319" t="s">
        <v>1063</v>
      </c>
      <c r="W4319" t="s">
        <v>1064</v>
      </c>
      <c r="X4319" t="s">
        <v>1065</v>
      </c>
    </row>
    <row r="4320" spans="1:24">
      <c r="A4320" t="s">
        <v>195</v>
      </c>
      <c r="B4320" t="s">
        <v>207</v>
      </c>
      <c r="C4320">
        <v>321</v>
      </c>
      <c r="D4320" t="s">
        <v>194</v>
      </c>
      <c r="E4320">
        <v>2669</v>
      </c>
      <c r="F4320" s="3">
        <v>7.6E-3</v>
      </c>
      <c r="G4320" s="3">
        <v>6.2E-2</v>
      </c>
      <c r="H4320" s="3">
        <v>1.4999999999999999E-2</v>
      </c>
      <c r="I4320" s="3">
        <v>1.6E-2</v>
      </c>
      <c r="K4320" s="3">
        <v>1E-4</v>
      </c>
      <c r="L4320" s="3">
        <v>6.7999999999999996E-3</v>
      </c>
      <c r="M4320" s="3">
        <v>0.3337</v>
      </c>
      <c r="N4320" s="3">
        <v>1.5E-3</v>
      </c>
      <c r="O4320" s="3">
        <v>6.8999999999999999E-3</v>
      </c>
      <c r="P4320" s="3">
        <v>8.3000000000000001E-3</v>
      </c>
      <c r="Q4320" s="3">
        <v>2.35E-2</v>
      </c>
      <c r="R4320" s="3">
        <v>1.55E-2</v>
      </c>
      <c r="S4320" s="3">
        <v>2.7000000000000001E-3</v>
      </c>
      <c r="T4320" s="3">
        <v>5.7999999999999996E-3</v>
      </c>
      <c r="U4320" s="3">
        <v>3.7000000000000002E-3</v>
      </c>
      <c r="V4320" s="3">
        <v>0.45400000000000001</v>
      </c>
      <c r="W4320" s="3">
        <v>0.52449999999999997</v>
      </c>
      <c r="X4320" s="3">
        <v>0.5071</v>
      </c>
    </row>
    <row r="4321" spans="1:24">
      <c r="A4321" t="s">
        <v>195</v>
      </c>
      <c r="B4321" t="s">
        <v>209</v>
      </c>
      <c r="C4321">
        <v>862</v>
      </c>
      <c r="D4321" t="s">
        <v>194</v>
      </c>
      <c r="E4321">
        <v>2669</v>
      </c>
      <c r="F4321" s="3">
        <v>2.8500000000000001E-2</v>
      </c>
      <c r="G4321" s="3">
        <v>0.1208</v>
      </c>
      <c r="H4321" s="3">
        <v>2.24E-2</v>
      </c>
      <c r="I4321" s="3">
        <v>1.95E-2</v>
      </c>
      <c r="J4321" s="3">
        <v>2.0999999999999999E-3</v>
      </c>
      <c r="L4321" s="3">
        <v>1.1599999999999999E-2</v>
      </c>
      <c r="M4321" s="3">
        <v>0.26500000000000001</v>
      </c>
      <c r="N4321" s="3">
        <v>1.6999999999999999E-3</v>
      </c>
      <c r="O4321" s="3">
        <v>7.4000000000000003E-3</v>
      </c>
      <c r="P4321" s="3">
        <v>1.0200000000000001E-2</v>
      </c>
      <c r="Q4321" s="3">
        <v>4.1700000000000001E-2</v>
      </c>
      <c r="R4321" s="3">
        <v>9.2999999999999992E-3</v>
      </c>
      <c r="S4321" s="3">
        <v>1.55E-2</v>
      </c>
      <c r="T4321" s="3">
        <v>9.2999999999999992E-3</v>
      </c>
      <c r="U4321" s="3">
        <v>6.7000000000000002E-3</v>
      </c>
      <c r="V4321" s="3">
        <v>0.54379999999999995</v>
      </c>
      <c r="W4321" s="3">
        <v>0.58499999999999996</v>
      </c>
      <c r="X4321" s="3">
        <v>0.58260000000000001</v>
      </c>
    </row>
    <row r="4322" spans="1:24">
      <c r="A4322" t="s">
        <v>199</v>
      </c>
      <c r="B4322" t="s">
        <v>207</v>
      </c>
      <c r="C4322">
        <v>283</v>
      </c>
      <c r="D4322" t="s">
        <v>194</v>
      </c>
      <c r="E4322">
        <v>2669</v>
      </c>
      <c r="F4322" s="3">
        <v>1.6999999999999999E-3</v>
      </c>
      <c r="G4322" s="3">
        <v>0.12870000000000001</v>
      </c>
      <c r="H4322" s="3">
        <v>1.9E-3</v>
      </c>
      <c r="I4322" s="3">
        <v>1.3299999999999999E-2</v>
      </c>
      <c r="L4322" s="3">
        <v>7.9000000000000008E-3</v>
      </c>
      <c r="M4322" s="3">
        <v>0.19070000000000001</v>
      </c>
      <c r="N4322" s="3">
        <v>6.3E-3</v>
      </c>
      <c r="O4322" s="3">
        <v>2.3E-3</v>
      </c>
      <c r="P4322" s="3">
        <v>0.125</v>
      </c>
      <c r="Q4322" s="3">
        <v>4.6899999999999997E-2</v>
      </c>
      <c r="R4322" s="3">
        <v>4.5499999999999999E-2</v>
      </c>
      <c r="S4322" s="3">
        <v>2.46E-2</v>
      </c>
      <c r="T4322" s="3">
        <v>5.1999999999999998E-3</v>
      </c>
      <c r="U4322" s="3">
        <v>2.5100000000000001E-2</v>
      </c>
      <c r="V4322" s="3">
        <v>0.60460000000000003</v>
      </c>
      <c r="W4322" s="3">
        <v>0.68459999999999999</v>
      </c>
      <c r="X4322" s="3">
        <v>0.74919999999999998</v>
      </c>
    </row>
    <row r="4323" spans="1:24">
      <c r="A4323" t="s">
        <v>199</v>
      </c>
      <c r="B4323" t="s">
        <v>209</v>
      </c>
      <c r="C4323">
        <v>1203</v>
      </c>
      <c r="D4323" t="s">
        <v>194</v>
      </c>
      <c r="E4323">
        <v>2669</v>
      </c>
      <c r="F4323" s="3">
        <v>4.1000000000000002E-2</v>
      </c>
      <c r="G4323" s="3">
        <v>0.16500000000000001</v>
      </c>
      <c r="H4323" s="3">
        <v>1.52E-2</v>
      </c>
      <c r="I4323" s="3">
        <v>4.0000000000000001E-3</v>
      </c>
      <c r="K4323" s="3">
        <v>4.5999999999999999E-3</v>
      </c>
      <c r="L4323" s="3">
        <v>8.0999999999999996E-3</v>
      </c>
      <c r="M4323" s="3">
        <v>0.2306</v>
      </c>
      <c r="N4323" s="3">
        <v>1.2E-2</v>
      </c>
      <c r="O4323" s="3">
        <v>2.0000000000000001E-4</v>
      </c>
      <c r="P4323" s="3">
        <v>1.8700000000000001E-2</v>
      </c>
      <c r="Q4323" s="3">
        <v>5.28E-2</v>
      </c>
      <c r="R4323" s="3">
        <v>1.06E-2</v>
      </c>
      <c r="S4323" s="3">
        <v>1.4999999999999999E-2</v>
      </c>
      <c r="T4323" s="3">
        <v>7.7000000000000002E-3</v>
      </c>
      <c r="U4323" s="3">
        <v>2.5700000000000001E-2</v>
      </c>
      <c r="V4323" s="3">
        <v>0.53869999999999996</v>
      </c>
      <c r="W4323" s="3">
        <v>0.57920000000000005</v>
      </c>
      <c r="X4323" s="3">
        <v>0.54159999999999997</v>
      </c>
    </row>
    <row r="4324" spans="1:24">
      <c r="A4324" t="s">
        <v>200</v>
      </c>
      <c r="B4324" t="s">
        <v>200</v>
      </c>
      <c r="C4324">
        <v>2669</v>
      </c>
      <c r="D4324" t="s">
        <v>200</v>
      </c>
      <c r="E4324">
        <v>2669</v>
      </c>
      <c r="F4324" s="3">
        <v>3.04E-2</v>
      </c>
      <c r="G4324" s="3">
        <v>0.13619999999999999</v>
      </c>
      <c r="H4324" s="3">
        <v>1.67E-2</v>
      </c>
      <c r="I4324" s="3">
        <v>1.11E-2</v>
      </c>
      <c r="J4324" s="3">
        <v>6.9999999999999999E-4</v>
      </c>
      <c r="K4324" s="3">
        <v>2.2000000000000001E-3</v>
      </c>
      <c r="L4324" s="3">
        <v>9.1000000000000004E-3</v>
      </c>
      <c r="M4324" s="3">
        <v>0.251</v>
      </c>
      <c r="N4324" s="3">
        <v>7.0000000000000001E-3</v>
      </c>
      <c r="O4324" s="3">
        <v>3.5000000000000001E-3</v>
      </c>
      <c r="P4324" s="3">
        <v>2.1899999999999999E-2</v>
      </c>
      <c r="Q4324" s="3">
        <v>4.5400000000000003E-2</v>
      </c>
      <c r="R4324" s="3">
        <v>1.3100000000000001E-2</v>
      </c>
      <c r="S4324" s="3">
        <v>1.44E-2</v>
      </c>
      <c r="T4324" s="3">
        <v>7.7999999999999996E-3</v>
      </c>
      <c r="U4324" s="3">
        <v>1.6899999999999998E-2</v>
      </c>
      <c r="V4324" s="3">
        <v>0.53520000000000001</v>
      </c>
      <c r="W4324" s="3">
        <v>0.58199999999999996</v>
      </c>
      <c r="X4324" s="3">
        <v>0.56520000000000004</v>
      </c>
    </row>
    <row r="4326" spans="1:24" ht="45">
      <c r="A4326" s="22" t="s">
        <v>1070</v>
      </c>
    </row>
    <row r="4327" spans="1:24">
      <c r="A4327" t="s">
        <v>185</v>
      </c>
      <c r="B4327" t="s">
        <v>192</v>
      </c>
      <c r="C4327" t="s">
        <v>184</v>
      </c>
      <c r="D4327" t="s">
        <v>193</v>
      </c>
      <c r="E4327" t="s">
        <v>1051</v>
      </c>
      <c r="F4327" t="s">
        <v>1052</v>
      </c>
      <c r="G4327" t="s">
        <v>1053</v>
      </c>
      <c r="H4327" t="s">
        <v>257</v>
      </c>
      <c r="I4327" t="s">
        <v>1054</v>
      </c>
      <c r="J4327" t="s">
        <v>1055</v>
      </c>
      <c r="K4327" t="s">
        <v>1056</v>
      </c>
      <c r="L4327" t="s">
        <v>329</v>
      </c>
      <c r="M4327" t="s">
        <v>274</v>
      </c>
      <c r="N4327" t="s">
        <v>247</v>
      </c>
      <c r="O4327" t="s">
        <v>1057</v>
      </c>
      <c r="P4327" t="s">
        <v>1058</v>
      </c>
      <c r="Q4327" t="s">
        <v>1059</v>
      </c>
      <c r="R4327" t="s">
        <v>1060</v>
      </c>
      <c r="S4327" t="s">
        <v>1061</v>
      </c>
      <c r="T4327" t="s">
        <v>1062</v>
      </c>
      <c r="U4327" t="s">
        <v>1063</v>
      </c>
      <c r="V4327" t="s">
        <v>1064</v>
      </c>
      <c r="W4327" t="s">
        <v>1065</v>
      </c>
    </row>
    <row r="4328" spans="1:24">
      <c r="A4328" t="s">
        <v>195</v>
      </c>
      <c r="B4328">
        <v>1183</v>
      </c>
      <c r="C4328" t="s">
        <v>194</v>
      </c>
      <c r="D4328">
        <v>2669</v>
      </c>
      <c r="E4328" s="3">
        <v>2.3099999999999999E-2</v>
      </c>
      <c r="F4328" s="3">
        <v>0.1056</v>
      </c>
      <c r="G4328" s="3">
        <v>2.0500000000000001E-2</v>
      </c>
      <c r="H4328" s="3">
        <v>1.8599999999999998E-2</v>
      </c>
      <c r="I4328" s="3">
        <v>1.6000000000000001E-3</v>
      </c>
      <c r="J4328" s="3">
        <v>0</v>
      </c>
      <c r="K4328" s="3">
        <v>1.03E-2</v>
      </c>
      <c r="L4328" s="3">
        <v>0.28270000000000001</v>
      </c>
      <c r="M4328" s="3">
        <v>1.6000000000000001E-3</v>
      </c>
      <c r="N4328" s="3">
        <v>7.3000000000000001E-3</v>
      </c>
      <c r="O4328" s="3">
        <v>9.7000000000000003E-3</v>
      </c>
      <c r="P4328" s="3">
        <v>3.6999999999999998E-2</v>
      </c>
      <c r="Q4328" s="3">
        <v>1.09E-2</v>
      </c>
      <c r="R4328" s="3">
        <v>1.2200000000000001E-2</v>
      </c>
      <c r="S4328" s="3">
        <v>8.3999999999999995E-3</v>
      </c>
      <c r="T4328" s="3">
        <v>5.8999999999999999E-3</v>
      </c>
      <c r="U4328" s="3">
        <v>0.52070000000000005</v>
      </c>
      <c r="V4328" s="3">
        <v>0.56940000000000002</v>
      </c>
      <c r="W4328" s="3">
        <v>0.56310000000000004</v>
      </c>
    </row>
    <row r="4329" spans="1:24">
      <c r="A4329" t="s">
        <v>199</v>
      </c>
      <c r="B4329">
        <v>1486</v>
      </c>
      <c r="C4329" t="s">
        <v>194</v>
      </c>
      <c r="D4329">
        <v>2669</v>
      </c>
      <c r="E4329" s="3">
        <v>3.6200000000000003E-2</v>
      </c>
      <c r="F4329" s="3">
        <v>0.16059999999999999</v>
      </c>
      <c r="G4329" s="3">
        <v>1.3599999999999999E-2</v>
      </c>
      <c r="H4329" s="3">
        <v>5.1000000000000004E-3</v>
      </c>
      <c r="J4329" s="3">
        <v>4.0000000000000001E-3</v>
      </c>
      <c r="K4329" s="3">
        <v>8.0999999999999996E-3</v>
      </c>
      <c r="L4329" s="3">
        <v>0.2258</v>
      </c>
      <c r="M4329" s="3">
        <v>1.1299999999999999E-2</v>
      </c>
      <c r="N4329" s="3">
        <v>4.0000000000000002E-4</v>
      </c>
      <c r="O4329" s="3">
        <v>3.1699999999999999E-2</v>
      </c>
      <c r="P4329" s="3">
        <v>5.1999999999999998E-2</v>
      </c>
      <c r="Q4329" s="3">
        <v>1.4800000000000001E-2</v>
      </c>
      <c r="R4329" s="3">
        <v>1.61E-2</v>
      </c>
      <c r="S4329" s="3">
        <v>7.4000000000000003E-3</v>
      </c>
      <c r="T4329" s="3">
        <v>2.5600000000000001E-2</v>
      </c>
      <c r="U4329" s="3">
        <v>0.54679999999999995</v>
      </c>
      <c r="V4329" s="3">
        <v>0.59209999999999996</v>
      </c>
      <c r="W4329" s="3">
        <v>0.56689999999999996</v>
      </c>
    </row>
    <row r="4330" spans="1:24">
      <c r="A4330" t="s">
        <v>200</v>
      </c>
      <c r="B4330">
        <v>2669</v>
      </c>
      <c r="C4330" t="s">
        <v>200</v>
      </c>
      <c r="D4330">
        <v>2669</v>
      </c>
      <c r="E4330" s="3">
        <v>3.04E-2</v>
      </c>
      <c r="F4330" s="3">
        <v>0.13619999999999999</v>
      </c>
      <c r="G4330" s="3">
        <v>1.67E-2</v>
      </c>
      <c r="H4330" s="3">
        <v>1.11E-2</v>
      </c>
      <c r="I4330" s="3">
        <v>6.9999999999999999E-4</v>
      </c>
      <c r="J4330" s="3">
        <v>2.2000000000000001E-3</v>
      </c>
      <c r="K4330" s="3">
        <v>9.1000000000000004E-3</v>
      </c>
      <c r="L4330" s="3">
        <v>0.251</v>
      </c>
      <c r="M4330" s="3">
        <v>7.0000000000000001E-3</v>
      </c>
      <c r="N4330" s="3">
        <v>3.5000000000000001E-3</v>
      </c>
      <c r="O4330" s="3">
        <v>2.1899999999999999E-2</v>
      </c>
      <c r="P4330" s="3">
        <v>4.5400000000000003E-2</v>
      </c>
      <c r="Q4330" s="3">
        <v>1.3100000000000001E-2</v>
      </c>
      <c r="R4330" s="3">
        <v>1.44E-2</v>
      </c>
      <c r="S4330" s="3">
        <v>7.7999999999999996E-3</v>
      </c>
      <c r="T4330" s="3">
        <v>1.6899999999999998E-2</v>
      </c>
      <c r="U4330" s="3">
        <v>0.53520000000000001</v>
      </c>
      <c r="V4330" s="3">
        <v>0.58199999999999996</v>
      </c>
      <c r="W4330" s="3">
        <v>0.56520000000000004</v>
      </c>
    </row>
    <row r="4332" spans="1:24" ht="45">
      <c r="A4332" s="22" t="s">
        <v>1071</v>
      </c>
    </row>
    <row r="4333" spans="1:24">
      <c r="A4333" t="s">
        <v>185</v>
      </c>
      <c r="B4333" t="s">
        <v>186</v>
      </c>
      <c r="C4333" t="s">
        <v>192</v>
      </c>
      <c r="D4333" t="s">
        <v>184</v>
      </c>
      <c r="E4333" t="s">
        <v>193</v>
      </c>
      <c r="F4333" t="s">
        <v>1051</v>
      </c>
      <c r="G4333" t="s">
        <v>1052</v>
      </c>
      <c r="H4333" t="s">
        <v>1053</v>
      </c>
      <c r="I4333" t="s">
        <v>257</v>
      </c>
      <c r="J4333" t="s">
        <v>1054</v>
      </c>
      <c r="K4333" t="s">
        <v>1055</v>
      </c>
      <c r="L4333" t="s">
        <v>1056</v>
      </c>
      <c r="M4333" t="s">
        <v>329</v>
      </c>
      <c r="N4333" t="s">
        <v>274</v>
      </c>
      <c r="O4333" t="s">
        <v>247</v>
      </c>
      <c r="P4333" t="s">
        <v>1057</v>
      </c>
      <c r="Q4333" t="s">
        <v>1058</v>
      </c>
      <c r="R4333" t="s">
        <v>1059</v>
      </c>
      <c r="S4333" t="s">
        <v>1060</v>
      </c>
      <c r="T4333" t="s">
        <v>1061</v>
      </c>
      <c r="U4333" t="s">
        <v>1062</v>
      </c>
      <c r="V4333" t="s">
        <v>1063</v>
      </c>
      <c r="W4333" t="s">
        <v>1064</v>
      </c>
      <c r="X4333" t="s">
        <v>1065</v>
      </c>
    </row>
    <row r="4334" spans="1:24">
      <c r="A4334" t="s">
        <v>195</v>
      </c>
      <c r="B4334" t="s">
        <v>212</v>
      </c>
      <c r="C4334">
        <v>869</v>
      </c>
      <c r="D4334" t="s">
        <v>194</v>
      </c>
      <c r="E4334">
        <v>2669</v>
      </c>
      <c r="F4334" s="3">
        <v>2.47E-2</v>
      </c>
      <c r="G4334" s="3">
        <v>0.1099</v>
      </c>
      <c r="H4334" s="3">
        <v>1.6400000000000001E-2</v>
      </c>
      <c r="I4334" s="3">
        <v>1.95E-2</v>
      </c>
      <c r="J4334" s="3">
        <v>2.0999999999999999E-3</v>
      </c>
      <c r="K4334" s="3">
        <v>0</v>
      </c>
      <c r="L4334" s="3">
        <v>1.06E-2</v>
      </c>
      <c r="M4334" s="3">
        <v>0.29330000000000001</v>
      </c>
      <c r="N4334" s="3">
        <v>1.2999999999999999E-3</v>
      </c>
      <c r="O4334" s="3">
        <v>9.4000000000000004E-3</v>
      </c>
      <c r="P4334" s="3">
        <v>1.03E-2</v>
      </c>
      <c r="Q4334" s="3">
        <v>3.4799999999999998E-2</v>
      </c>
      <c r="R4334" s="3">
        <v>1.21E-2</v>
      </c>
      <c r="S4334" s="3">
        <v>1.46E-2</v>
      </c>
      <c r="T4334" s="3">
        <v>6.7000000000000002E-3</v>
      </c>
      <c r="U4334" s="3">
        <v>3.3E-3</v>
      </c>
      <c r="V4334" s="3">
        <v>0.51449999999999996</v>
      </c>
      <c r="W4334" s="3">
        <v>0.55310000000000004</v>
      </c>
      <c r="X4334" s="3">
        <v>0.55110000000000003</v>
      </c>
    </row>
    <row r="4335" spans="1:24">
      <c r="A4335" t="s">
        <v>195</v>
      </c>
      <c r="B4335" t="s">
        <v>214</v>
      </c>
      <c r="C4335">
        <v>180</v>
      </c>
      <c r="D4335" t="s">
        <v>194</v>
      </c>
      <c r="E4335">
        <v>2669</v>
      </c>
      <c r="F4335" s="3">
        <v>2.6700000000000002E-2</v>
      </c>
      <c r="G4335" s="3">
        <v>0.1227</v>
      </c>
      <c r="H4335" s="3">
        <v>2.0400000000000001E-2</v>
      </c>
      <c r="I4335" s="3">
        <v>1.15E-2</v>
      </c>
      <c r="L4335" s="3">
        <v>6.7999999999999996E-3</v>
      </c>
      <c r="M4335" s="3">
        <v>0.2409</v>
      </c>
      <c r="N4335" s="3">
        <v>3.8E-3</v>
      </c>
      <c r="Q4335" s="3">
        <v>6.5000000000000002E-2</v>
      </c>
      <c r="R4335" s="3">
        <v>6.1999999999999998E-3</v>
      </c>
      <c r="S4335" s="3">
        <v>6.4999999999999997E-3</v>
      </c>
      <c r="T4335" s="3">
        <v>2.0400000000000001E-2</v>
      </c>
      <c r="U4335" s="3">
        <v>2.0400000000000001E-2</v>
      </c>
      <c r="V4335" s="3">
        <v>0.5635</v>
      </c>
      <c r="W4335" s="3">
        <v>0.62819999999999998</v>
      </c>
      <c r="X4335" s="3">
        <v>0.58489999999999998</v>
      </c>
    </row>
    <row r="4336" spans="1:24">
      <c r="A4336" t="s">
        <v>195</v>
      </c>
      <c r="B4336" t="s">
        <v>215</v>
      </c>
      <c r="C4336">
        <v>134</v>
      </c>
      <c r="D4336" t="s">
        <v>194</v>
      </c>
      <c r="E4336">
        <v>2669</v>
      </c>
      <c r="F4336" s="3">
        <v>1.5E-3</v>
      </c>
      <c r="G4336" s="3">
        <v>3.3799999999999997E-2</v>
      </c>
      <c r="H4336" s="3">
        <v>5.74E-2</v>
      </c>
      <c r="I4336" s="3">
        <v>2.4299999999999999E-2</v>
      </c>
      <c r="L4336" s="3">
        <v>1.46E-2</v>
      </c>
      <c r="M4336" s="3">
        <v>0.27010000000000001</v>
      </c>
      <c r="O4336" s="3">
        <v>2.8999999999999998E-3</v>
      </c>
      <c r="P4336" s="3">
        <v>2.3099999999999999E-2</v>
      </c>
      <c r="Q4336" s="3">
        <v>2E-3</v>
      </c>
      <c r="R4336" s="3">
        <v>9.1000000000000004E-3</v>
      </c>
      <c r="S4336" s="3">
        <v>2.3999999999999998E-3</v>
      </c>
      <c r="U4336" s="3">
        <v>1.5E-3</v>
      </c>
      <c r="V4336" s="3">
        <v>0.4919</v>
      </c>
      <c r="W4336" s="3">
        <v>0.60019999999999996</v>
      </c>
      <c r="X4336" s="3">
        <v>0.62819999999999998</v>
      </c>
    </row>
    <row r="4337" spans="1:24">
      <c r="A4337" t="s">
        <v>199</v>
      </c>
      <c r="B4337" t="s">
        <v>212</v>
      </c>
      <c r="C4337">
        <v>1116</v>
      </c>
      <c r="D4337" t="s">
        <v>194</v>
      </c>
      <c r="E4337">
        <v>2669</v>
      </c>
      <c r="F4337" s="3">
        <v>3.6499999999999998E-2</v>
      </c>
      <c r="G4337" s="3">
        <v>0.1888</v>
      </c>
      <c r="H4337" s="3">
        <v>8.0000000000000002E-3</v>
      </c>
      <c r="I4337" s="3">
        <v>5.7000000000000002E-3</v>
      </c>
      <c r="K4337" s="3">
        <v>5.1999999999999998E-3</v>
      </c>
      <c r="L4337" s="3">
        <v>8.2000000000000007E-3</v>
      </c>
      <c r="M4337" s="3">
        <v>0.2228</v>
      </c>
      <c r="N4337" s="3">
        <v>1.24E-2</v>
      </c>
      <c r="O4337" s="3">
        <v>5.0000000000000001E-4</v>
      </c>
      <c r="P4337" s="3">
        <v>2.24E-2</v>
      </c>
      <c r="Q4337" s="3">
        <v>5.3900000000000003E-2</v>
      </c>
      <c r="R4337" s="3">
        <v>1.2999999999999999E-2</v>
      </c>
      <c r="S4337" s="3">
        <v>1.83E-2</v>
      </c>
      <c r="T4337" s="3">
        <v>4.1000000000000003E-3</v>
      </c>
      <c r="U4337" s="3">
        <v>2.7199999999999998E-2</v>
      </c>
      <c r="V4337" s="3">
        <v>0.54930000000000001</v>
      </c>
      <c r="W4337" s="3">
        <v>0.57940000000000003</v>
      </c>
      <c r="X4337" s="3">
        <v>0.56179999999999997</v>
      </c>
    </row>
    <row r="4338" spans="1:24">
      <c r="A4338" t="s">
        <v>199</v>
      </c>
      <c r="B4338" t="s">
        <v>214</v>
      </c>
      <c r="C4338">
        <v>197</v>
      </c>
      <c r="D4338" t="s">
        <v>194</v>
      </c>
      <c r="E4338">
        <v>2669</v>
      </c>
      <c r="F4338" s="3">
        <v>5.33E-2</v>
      </c>
      <c r="G4338" s="3">
        <v>8.7300000000000003E-2</v>
      </c>
      <c r="H4338" s="3">
        <v>4.5100000000000001E-2</v>
      </c>
      <c r="I4338" s="3">
        <v>4.4000000000000003E-3</v>
      </c>
      <c r="L4338" s="3">
        <v>1.21E-2</v>
      </c>
      <c r="M4338" s="3">
        <v>0.25729999999999997</v>
      </c>
      <c r="N4338" s="3">
        <v>7.0000000000000001E-3</v>
      </c>
      <c r="P4338" s="3">
        <v>5.6599999999999998E-2</v>
      </c>
      <c r="Q4338" s="3">
        <v>5.6000000000000001E-2</v>
      </c>
      <c r="R4338" s="3">
        <v>2.2200000000000001E-2</v>
      </c>
      <c r="S4338" s="3">
        <v>4.3E-3</v>
      </c>
      <c r="T4338" s="3">
        <v>2.81E-2</v>
      </c>
      <c r="U4338" s="3">
        <v>1.7999999999999999E-2</v>
      </c>
      <c r="V4338" s="3">
        <v>0.5161</v>
      </c>
      <c r="W4338" s="3">
        <v>0.57589999999999997</v>
      </c>
      <c r="X4338" s="3">
        <v>0.54359999999999997</v>
      </c>
    </row>
    <row r="4339" spans="1:24">
      <c r="A4339" t="s">
        <v>199</v>
      </c>
      <c r="B4339" t="s">
        <v>215</v>
      </c>
      <c r="C4339">
        <v>173</v>
      </c>
      <c r="D4339" t="s">
        <v>194</v>
      </c>
      <c r="E4339">
        <v>2669</v>
      </c>
      <c r="F4339" s="3">
        <v>2.0999999999999999E-3</v>
      </c>
      <c r="G4339" s="3">
        <v>3.6600000000000001E-2</v>
      </c>
      <c r="H4339" s="3">
        <v>7.7999999999999996E-3</v>
      </c>
      <c r="I4339" s="3">
        <v>1.6000000000000001E-3</v>
      </c>
      <c r="M4339" s="3">
        <v>0.19570000000000001</v>
      </c>
      <c r="N4339" s="3">
        <v>8.8999999999999999E-3</v>
      </c>
      <c r="P4339" s="3">
        <v>7.0999999999999994E-2</v>
      </c>
      <c r="Q4339" s="3">
        <v>2.8400000000000002E-2</v>
      </c>
      <c r="R4339" s="3">
        <v>1.83E-2</v>
      </c>
      <c r="S4339" s="3">
        <v>1.8200000000000001E-2</v>
      </c>
      <c r="U4339" s="3">
        <v>2.52E-2</v>
      </c>
      <c r="V4339" s="3">
        <v>0.57920000000000005</v>
      </c>
      <c r="W4339" s="3">
        <v>0.73670000000000002</v>
      </c>
      <c r="X4339" s="3">
        <v>0.65539999999999998</v>
      </c>
    </row>
    <row r="4340" spans="1:24">
      <c r="A4340" t="s">
        <v>200</v>
      </c>
      <c r="B4340" t="s">
        <v>200</v>
      </c>
      <c r="C4340">
        <v>2669</v>
      </c>
      <c r="D4340" t="s">
        <v>200</v>
      </c>
      <c r="E4340">
        <v>2669</v>
      </c>
      <c r="F4340" s="3">
        <v>3.04E-2</v>
      </c>
      <c r="G4340" s="3">
        <v>0.13619999999999999</v>
      </c>
      <c r="H4340" s="3">
        <v>1.67E-2</v>
      </c>
      <c r="I4340" s="3">
        <v>1.11E-2</v>
      </c>
      <c r="J4340" s="3">
        <v>6.9999999999999999E-4</v>
      </c>
      <c r="K4340" s="3">
        <v>2.2000000000000001E-3</v>
      </c>
      <c r="L4340" s="3">
        <v>9.1000000000000004E-3</v>
      </c>
      <c r="M4340" s="3">
        <v>0.251</v>
      </c>
      <c r="N4340" s="3">
        <v>7.0000000000000001E-3</v>
      </c>
      <c r="O4340" s="3">
        <v>3.5000000000000001E-3</v>
      </c>
      <c r="P4340" s="3">
        <v>2.1899999999999999E-2</v>
      </c>
      <c r="Q4340" s="3">
        <v>4.5400000000000003E-2</v>
      </c>
      <c r="R4340" s="3">
        <v>1.3100000000000001E-2</v>
      </c>
      <c r="S4340" s="3">
        <v>1.44E-2</v>
      </c>
      <c r="T4340" s="3">
        <v>7.7999999999999996E-3</v>
      </c>
      <c r="U4340" s="3">
        <v>1.6899999999999998E-2</v>
      </c>
      <c r="V4340" s="3">
        <v>0.53520000000000001</v>
      </c>
      <c r="W4340" s="3">
        <v>0.58199999999999996</v>
      </c>
      <c r="X4340" s="3">
        <v>0.56520000000000004</v>
      </c>
    </row>
    <row r="4342" spans="1:24" ht="45">
      <c r="A4342" s="22" t="s">
        <v>1072</v>
      </c>
    </row>
    <row r="4343" spans="1:24">
      <c r="A4343" t="s">
        <v>185</v>
      </c>
      <c r="B4343" t="s">
        <v>186</v>
      </c>
      <c r="C4343" t="s">
        <v>192</v>
      </c>
      <c r="D4343" t="s">
        <v>184</v>
      </c>
      <c r="E4343" t="s">
        <v>193</v>
      </c>
      <c r="F4343" t="s">
        <v>1051</v>
      </c>
      <c r="G4343" t="s">
        <v>1052</v>
      </c>
      <c r="H4343" t="s">
        <v>1053</v>
      </c>
      <c r="I4343" t="s">
        <v>257</v>
      </c>
      <c r="J4343" t="s">
        <v>1054</v>
      </c>
      <c r="K4343" t="s">
        <v>1055</v>
      </c>
      <c r="L4343" t="s">
        <v>1056</v>
      </c>
      <c r="M4343" t="s">
        <v>329</v>
      </c>
      <c r="N4343" t="s">
        <v>274</v>
      </c>
      <c r="O4343" t="s">
        <v>247</v>
      </c>
      <c r="P4343" t="s">
        <v>1057</v>
      </c>
      <c r="Q4343" t="s">
        <v>1058</v>
      </c>
      <c r="R4343" t="s">
        <v>1059</v>
      </c>
      <c r="S4343" t="s">
        <v>1060</v>
      </c>
      <c r="T4343" t="s">
        <v>1061</v>
      </c>
      <c r="U4343" t="s">
        <v>1062</v>
      </c>
      <c r="V4343" t="s">
        <v>1063</v>
      </c>
      <c r="W4343" t="s">
        <v>1064</v>
      </c>
      <c r="X4343" t="s">
        <v>1065</v>
      </c>
    </row>
    <row r="4344" spans="1:24">
      <c r="A4344" t="s">
        <v>195</v>
      </c>
      <c r="B4344" t="s">
        <v>217</v>
      </c>
      <c r="C4344">
        <v>497</v>
      </c>
      <c r="D4344" t="s">
        <v>194</v>
      </c>
      <c r="E4344">
        <v>2669</v>
      </c>
      <c r="F4344" s="3">
        <v>4.1300000000000003E-2</v>
      </c>
      <c r="G4344" s="3">
        <v>0.13700000000000001</v>
      </c>
      <c r="H4344" s="3">
        <v>2.8000000000000001E-2</v>
      </c>
      <c r="I4344" s="3">
        <v>8.0000000000000002E-3</v>
      </c>
      <c r="L4344" s="3">
        <v>1.29E-2</v>
      </c>
      <c r="M4344" s="3">
        <v>0.28810000000000002</v>
      </c>
      <c r="N4344" s="3">
        <v>8.0000000000000004E-4</v>
      </c>
      <c r="O4344" s="3">
        <v>5.9999999999999995E-4</v>
      </c>
      <c r="P4344" s="3">
        <v>1.7600000000000001E-2</v>
      </c>
      <c r="Q4344" s="3">
        <v>5.5800000000000002E-2</v>
      </c>
      <c r="R4344" s="3">
        <v>9.5999999999999992E-3</v>
      </c>
      <c r="S4344" s="3">
        <v>1.4E-2</v>
      </c>
      <c r="U4344" s="3">
        <v>2.9999999999999997E-4</v>
      </c>
      <c r="V4344" s="3">
        <v>0.54010000000000002</v>
      </c>
      <c r="W4344" s="3">
        <v>0.56459999999999999</v>
      </c>
      <c r="X4344" s="3">
        <v>0.58609999999999995</v>
      </c>
    </row>
    <row r="4345" spans="1:24">
      <c r="A4345" t="s">
        <v>195</v>
      </c>
      <c r="B4345" t="s">
        <v>219</v>
      </c>
      <c r="C4345">
        <v>503</v>
      </c>
      <c r="D4345" t="s">
        <v>194</v>
      </c>
      <c r="E4345">
        <v>2669</v>
      </c>
      <c r="G4345" s="3">
        <v>3.2399999999999998E-2</v>
      </c>
      <c r="H4345" s="3">
        <v>8.6E-3</v>
      </c>
      <c r="I4345" s="3">
        <v>1.5699999999999999E-2</v>
      </c>
      <c r="J4345" s="3">
        <v>4.0000000000000001E-3</v>
      </c>
      <c r="K4345" s="3">
        <v>1E-4</v>
      </c>
      <c r="L4345" s="3">
        <v>1.23E-2</v>
      </c>
      <c r="M4345" s="3">
        <v>0.2999</v>
      </c>
      <c r="N4345" s="3">
        <v>1.6999999999999999E-3</v>
      </c>
      <c r="O4345" s="3">
        <v>1.7999999999999999E-2</v>
      </c>
      <c r="P4345" s="3">
        <v>1.2999999999999999E-3</v>
      </c>
      <c r="Q4345" s="3">
        <v>1.8700000000000001E-2</v>
      </c>
      <c r="R4345" s="3">
        <v>1.4E-2</v>
      </c>
      <c r="S4345" s="3">
        <v>3.8E-3</v>
      </c>
      <c r="T4345" s="3">
        <v>1.2E-2</v>
      </c>
      <c r="U4345" s="3">
        <v>2.3999999999999998E-3</v>
      </c>
      <c r="V4345" s="3">
        <v>0.50509999999999999</v>
      </c>
      <c r="W4345" s="3">
        <v>0.58350000000000002</v>
      </c>
      <c r="X4345" s="3">
        <v>0.54579999999999995</v>
      </c>
    </row>
    <row r="4346" spans="1:24">
      <c r="A4346" t="s">
        <v>195</v>
      </c>
      <c r="B4346" t="s">
        <v>220</v>
      </c>
      <c r="C4346">
        <v>182</v>
      </c>
      <c r="D4346" t="s">
        <v>194</v>
      </c>
      <c r="E4346">
        <v>2669</v>
      </c>
      <c r="F4346" s="3">
        <v>3.0499999999999999E-2</v>
      </c>
      <c r="G4346" s="3">
        <v>0.18709999999999999</v>
      </c>
      <c r="H4346" s="3">
        <v>2.8199999999999999E-2</v>
      </c>
      <c r="I4346" s="3">
        <v>4.8300000000000003E-2</v>
      </c>
      <c r="L4346" s="3">
        <v>5.0000000000000001E-4</v>
      </c>
      <c r="M4346" s="3">
        <v>0.23519999999999999</v>
      </c>
      <c r="N4346" s="3">
        <v>3.3E-3</v>
      </c>
      <c r="P4346" s="3">
        <v>9.4000000000000004E-3</v>
      </c>
      <c r="Q4346" s="3">
        <v>3.3099999999999997E-2</v>
      </c>
      <c r="R4346" s="3">
        <v>7.1999999999999998E-3</v>
      </c>
      <c r="S4346" s="3">
        <v>2.58E-2</v>
      </c>
      <c r="T4346" s="3">
        <v>1.9699999999999999E-2</v>
      </c>
      <c r="U4346" s="3">
        <v>2.5700000000000001E-2</v>
      </c>
      <c r="V4346" s="3">
        <v>0.50949999999999995</v>
      </c>
      <c r="W4346" s="3">
        <v>0.55110000000000003</v>
      </c>
      <c r="X4346" s="3">
        <v>0.54769999999999996</v>
      </c>
    </row>
    <row r="4347" spans="1:24">
      <c r="A4347" t="s">
        <v>199</v>
      </c>
      <c r="B4347" t="s">
        <v>217</v>
      </c>
      <c r="C4347">
        <v>812</v>
      </c>
      <c r="D4347" t="s">
        <v>194</v>
      </c>
      <c r="E4347">
        <v>2669</v>
      </c>
      <c r="F4347" s="3">
        <v>3.8100000000000002E-2</v>
      </c>
      <c r="G4347" s="3">
        <v>0.18210000000000001</v>
      </c>
      <c r="H4347" s="3">
        <v>1.0999999999999999E-2</v>
      </c>
      <c r="I4347" s="3">
        <v>5.5999999999999999E-3</v>
      </c>
      <c r="K4347" s="3">
        <v>3.3E-3</v>
      </c>
      <c r="L4347" s="3">
        <v>7.4999999999999997E-3</v>
      </c>
      <c r="M4347" s="3">
        <v>0.2243</v>
      </c>
      <c r="N4347" s="3">
        <v>1.3899999999999999E-2</v>
      </c>
      <c r="O4347" s="3">
        <v>6.9999999999999999E-4</v>
      </c>
      <c r="P4347" s="3">
        <v>3.5700000000000003E-2</v>
      </c>
      <c r="Q4347" s="3">
        <v>5.2499999999999998E-2</v>
      </c>
      <c r="R4347" s="3">
        <v>1.7500000000000002E-2</v>
      </c>
      <c r="S4347" s="3">
        <v>1.8100000000000002E-2</v>
      </c>
      <c r="T4347" s="3">
        <v>3.8E-3</v>
      </c>
      <c r="U4347" s="3">
        <v>3.0300000000000001E-2</v>
      </c>
      <c r="V4347" s="3">
        <v>0.55549999999999999</v>
      </c>
      <c r="W4347" s="3">
        <v>0.59079999999999999</v>
      </c>
      <c r="X4347" s="3">
        <v>0.57469999999999999</v>
      </c>
    </row>
    <row r="4348" spans="1:24">
      <c r="A4348" t="s">
        <v>199</v>
      </c>
      <c r="B4348" t="s">
        <v>219</v>
      </c>
      <c r="C4348">
        <v>451</v>
      </c>
      <c r="D4348" t="s">
        <v>194</v>
      </c>
      <c r="E4348">
        <v>2669</v>
      </c>
      <c r="F4348" s="3">
        <v>8.6E-3</v>
      </c>
      <c r="G4348" s="3">
        <v>7.8200000000000006E-2</v>
      </c>
      <c r="H4348" s="3">
        <v>2.8199999999999999E-2</v>
      </c>
      <c r="I4348" s="3">
        <v>5.1000000000000004E-3</v>
      </c>
      <c r="L4348" s="3">
        <v>1.29E-2</v>
      </c>
      <c r="M4348" s="3">
        <v>0.23</v>
      </c>
      <c r="N4348" s="3">
        <v>1.18E-2</v>
      </c>
      <c r="P4348" s="3">
        <v>3.5900000000000001E-2</v>
      </c>
      <c r="Q4348" s="3">
        <v>4.2799999999999998E-2</v>
      </c>
      <c r="R4348" s="3">
        <v>1.1299999999999999E-2</v>
      </c>
      <c r="S4348" s="3">
        <v>1.11E-2</v>
      </c>
      <c r="T4348" s="3">
        <v>1.9E-2</v>
      </c>
      <c r="U4348" s="3">
        <v>2.8899999999999999E-2</v>
      </c>
      <c r="V4348" s="3">
        <v>0.52680000000000005</v>
      </c>
      <c r="W4348" s="3">
        <v>0.61839999999999995</v>
      </c>
      <c r="X4348" s="3">
        <v>0.57379999999999998</v>
      </c>
    </row>
    <row r="4349" spans="1:24">
      <c r="A4349" t="s">
        <v>199</v>
      </c>
      <c r="B4349" t="s">
        <v>220</v>
      </c>
      <c r="C4349">
        <v>223</v>
      </c>
      <c r="D4349" t="s">
        <v>194</v>
      </c>
      <c r="E4349">
        <v>2669</v>
      </c>
      <c r="F4349" s="3">
        <v>7.2300000000000003E-2</v>
      </c>
      <c r="G4349" s="3">
        <v>0.20880000000000001</v>
      </c>
      <c r="H4349" s="3">
        <v>6.9999999999999999E-4</v>
      </c>
      <c r="I4349" s="3">
        <v>3.5999999999999999E-3</v>
      </c>
      <c r="K4349" s="3">
        <v>1.3100000000000001E-2</v>
      </c>
      <c r="L4349" s="3">
        <v>3.0000000000000001E-3</v>
      </c>
      <c r="M4349" s="3">
        <v>0.22450000000000001</v>
      </c>
      <c r="N4349" s="3">
        <v>4.0000000000000002E-4</v>
      </c>
      <c r="P4349" s="3">
        <v>0.01</v>
      </c>
      <c r="Q4349" s="3">
        <v>6.5000000000000002E-2</v>
      </c>
      <c r="R4349" s="3">
        <v>1.04E-2</v>
      </c>
      <c r="S4349" s="3">
        <v>1.6799999999999999E-2</v>
      </c>
      <c r="T4349" s="3">
        <v>2.8E-3</v>
      </c>
      <c r="U4349" s="3">
        <v>2.8E-3</v>
      </c>
      <c r="V4349" s="3">
        <v>0.54520000000000002</v>
      </c>
      <c r="W4349" s="3">
        <v>0.55569999999999997</v>
      </c>
      <c r="X4349" s="3">
        <v>0.52649999999999997</v>
      </c>
    </row>
    <row r="4350" spans="1:24">
      <c r="A4350" t="s">
        <v>200</v>
      </c>
      <c r="B4350" t="s">
        <v>200</v>
      </c>
      <c r="C4350">
        <v>2669</v>
      </c>
      <c r="D4350" t="s">
        <v>200</v>
      </c>
      <c r="E4350">
        <v>2669</v>
      </c>
      <c r="F4350" s="3">
        <v>3.04E-2</v>
      </c>
      <c r="G4350" s="3">
        <v>0.13619999999999999</v>
      </c>
      <c r="H4350" s="3">
        <v>1.67E-2</v>
      </c>
      <c r="I4350" s="3">
        <v>1.11E-2</v>
      </c>
      <c r="J4350" s="3">
        <v>6.9999999999999999E-4</v>
      </c>
      <c r="K4350" s="3">
        <v>2.2000000000000001E-3</v>
      </c>
      <c r="L4350" s="3">
        <v>9.1000000000000004E-3</v>
      </c>
      <c r="M4350" s="3">
        <v>0.251</v>
      </c>
      <c r="N4350" s="3">
        <v>7.0000000000000001E-3</v>
      </c>
      <c r="O4350" s="3">
        <v>3.5000000000000001E-3</v>
      </c>
      <c r="P4350" s="3">
        <v>2.1899999999999999E-2</v>
      </c>
      <c r="Q4350" s="3">
        <v>4.5400000000000003E-2</v>
      </c>
      <c r="R4350" s="3">
        <v>1.3100000000000001E-2</v>
      </c>
      <c r="S4350" s="3">
        <v>1.44E-2</v>
      </c>
      <c r="T4350" s="3">
        <v>7.7999999999999996E-3</v>
      </c>
      <c r="U4350" s="3">
        <v>1.6899999999999998E-2</v>
      </c>
      <c r="V4350" s="3">
        <v>0.53520000000000001</v>
      </c>
      <c r="W4350" s="3">
        <v>0.58199999999999996</v>
      </c>
      <c r="X4350" s="3">
        <v>0.56520000000000004</v>
      </c>
    </row>
    <row r="4352" spans="1:24" ht="45">
      <c r="A4352" s="22" t="s">
        <v>1073</v>
      </c>
    </row>
    <row r="4353" spans="1:18">
      <c r="A4353" t="s">
        <v>185</v>
      </c>
      <c r="B4353" t="s">
        <v>186</v>
      </c>
      <c r="C4353" t="s">
        <v>192</v>
      </c>
      <c r="D4353" t="s">
        <v>184</v>
      </c>
      <c r="E4353" t="s">
        <v>193</v>
      </c>
      <c r="F4353" t="s">
        <v>1074</v>
      </c>
      <c r="G4353" t="s">
        <v>1075</v>
      </c>
      <c r="H4353" t="s">
        <v>1076</v>
      </c>
      <c r="I4353" t="s">
        <v>1077</v>
      </c>
      <c r="J4353" t="s">
        <v>1078</v>
      </c>
      <c r="K4353" t="s">
        <v>1079</v>
      </c>
      <c r="L4353" t="s">
        <v>1080</v>
      </c>
      <c r="M4353" t="s">
        <v>1081</v>
      </c>
      <c r="N4353" t="s">
        <v>1082</v>
      </c>
      <c r="O4353" t="s">
        <v>1083</v>
      </c>
      <c r="P4353" t="s">
        <v>247</v>
      </c>
      <c r="Q4353" t="s">
        <v>1084</v>
      </c>
      <c r="R4353" t="s">
        <v>1085</v>
      </c>
    </row>
    <row r="4354" spans="1:18" s="25" customFormat="1">
      <c r="A4354" s="25" t="s">
        <v>195</v>
      </c>
      <c r="B4354" s="25" t="s">
        <v>222</v>
      </c>
      <c r="C4354" s="25">
        <v>9</v>
      </c>
      <c r="D4354" s="25" t="s">
        <v>194</v>
      </c>
      <c r="E4354" s="25">
        <v>60</v>
      </c>
      <c r="G4354" s="26">
        <v>0.114</v>
      </c>
      <c r="H4354" s="26">
        <v>2.87E-2</v>
      </c>
      <c r="I4354" s="26">
        <v>0.114</v>
      </c>
      <c r="J4354" s="26">
        <v>0.42959999999999998</v>
      </c>
      <c r="L4354" s="26">
        <v>1.01E-2</v>
      </c>
      <c r="M4354" s="26">
        <v>0.64900000000000002</v>
      </c>
      <c r="O4354" s="26">
        <v>3.5700000000000003E-2</v>
      </c>
    </row>
    <row r="4355" spans="1:18" s="25" customFormat="1">
      <c r="A4355" s="25" t="s">
        <v>195</v>
      </c>
      <c r="B4355" s="25" t="s">
        <v>224</v>
      </c>
      <c r="C4355" s="25">
        <v>14</v>
      </c>
      <c r="D4355" s="25" t="s">
        <v>194</v>
      </c>
      <c r="E4355" s="25">
        <v>60</v>
      </c>
      <c r="G4355" s="26">
        <v>2.2100000000000002E-2</v>
      </c>
      <c r="I4355" s="26">
        <v>3.4299999999999997E-2</v>
      </c>
      <c r="J4355" s="26">
        <v>0.95779999999999998</v>
      </c>
      <c r="M4355" s="26">
        <v>0.47970000000000002</v>
      </c>
      <c r="O4355" s="26">
        <v>6.4299999999999996E-2</v>
      </c>
    </row>
    <row r="4356" spans="1:18" s="25" customFormat="1">
      <c r="A4356" s="25" t="s">
        <v>199</v>
      </c>
      <c r="B4356" s="25" t="s">
        <v>222</v>
      </c>
      <c r="C4356" s="25">
        <v>8</v>
      </c>
      <c r="D4356" s="25" t="s">
        <v>194</v>
      </c>
      <c r="E4356" s="25">
        <v>60</v>
      </c>
      <c r="K4356" s="26">
        <v>0.219</v>
      </c>
      <c r="L4356" s="26">
        <v>0.2077</v>
      </c>
      <c r="M4356" s="26">
        <v>0.47549999999999998</v>
      </c>
      <c r="N4356" s="26">
        <v>0.17649999999999999</v>
      </c>
      <c r="O4356" s="26">
        <v>0.36549999999999999</v>
      </c>
      <c r="Q4356" s="26">
        <v>0.2676</v>
      </c>
    </row>
    <row r="4357" spans="1:18" s="25" customFormat="1">
      <c r="A4357" s="25" t="s">
        <v>199</v>
      </c>
      <c r="B4357" s="25" t="s">
        <v>224</v>
      </c>
      <c r="C4357" s="25">
        <v>29</v>
      </c>
      <c r="D4357" s="25" t="s">
        <v>194</v>
      </c>
      <c r="E4357" s="25">
        <v>60</v>
      </c>
      <c r="F4357" s="26">
        <v>1.6799999999999999E-2</v>
      </c>
      <c r="G4357" s="26">
        <v>3.3599999999999998E-2</v>
      </c>
      <c r="I4357" s="26">
        <v>7.9699999999999993E-2</v>
      </c>
      <c r="J4357" s="26">
        <v>6.5000000000000002E-2</v>
      </c>
      <c r="K4357" s="26">
        <v>5.4999999999999997E-3</v>
      </c>
      <c r="L4357" s="26">
        <v>2.2800000000000001E-2</v>
      </c>
      <c r="M4357" s="26">
        <v>0.49769999999999998</v>
      </c>
      <c r="N4357" s="26">
        <v>1.9800000000000002E-2</v>
      </c>
      <c r="O4357" s="26">
        <v>0.19040000000000001</v>
      </c>
      <c r="P4357" s="26">
        <v>0.11990000000000001</v>
      </c>
      <c r="R4357" s="26">
        <v>6.7000000000000004E-2</v>
      </c>
    </row>
    <row r="4358" spans="1:18">
      <c r="A4358" t="s">
        <v>200</v>
      </c>
      <c r="B4358" t="s">
        <v>200</v>
      </c>
      <c r="C4358">
        <v>60</v>
      </c>
      <c r="D4358" t="s">
        <v>200</v>
      </c>
      <c r="E4358">
        <v>60</v>
      </c>
      <c r="F4358" s="3">
        <v>7.9000000000000008E-3</v>
      </c>
      <c r="G4358" s="3">
        <v>3.7699999999999997E-2</v>
      </c>
      <c r="H4358" s="3">
        <v>3.7000000000000002E-3</v>
      </c>
      <c r="I4358" s="3">
        <v>6.3399999999999998E-2</v>
      </c>
      <c r="J4358" s="3">
        <v>0.4032</v>
      </c>
      <c r="K4358" s="3">
        <v>1.83E-2</v>
      </c>
      <c r="L4358" s="3">
        <v>2.69E-2</v>
      </c>
      <c r="M4358" s="3">
        <v>0.50949999999999995</v>
      </c>
      <c r="N4358" s="3">
        <v>2.1899999999999999E-2</v>
      </c>
      <c r="O4358" s="3">
        <v>0.14130000000000001</v>
      </c>
      <c r="P4358" s="3">
        <v>5.6099999999999997E-2</v>
      </c>
      <c r="Q4358" s="3">
        <v>1.9199999999999998E-2</v>
      </c>
      <c r="R4358" s="3">
        <v>3.1399999999999997E-2</v>
      </c>
    </row>
    <row r="4360" spans="1:18" ht="45">
      <c r="A4360" s="22" t="s">
        <v>1086</v>
      </c>
    </row>
    <row r="4361" spans="1:18">
      <c r="A4361" t="s">
        <v>185</v>
      </c>
      <c r="B4361" t="s">
        <v>186</v>
      </c>
      <c r="C4361" t="s">
        <v>192</v>
      </c>
      <c r="D4361" t="s">
        <v>184</v>
      </c>
      <c r="E4361" t="s">
        <v>193</v>
      </c>
      <c r="F4361" t="s">
        <v>1074</v>
      </c>
      <c r="G4361" t="s">
        <v>1075</v>
      </c>
      <c r="H4361" t="s">
        <v>1076</v>
      </c>
      <c r="I4361" t="s">
        <v>1077</v>
      </c>
      <c r="J4361" t="s">
        <v>1078</v>
      </c>
      <c r="K4361" t="s">
        <v>1079</v>
      </c>
      <c r="L4361" t="s">
        <v>1080</v>
      </c>
      <c r="M4361" t="s">
        <v>1081</v>
      </c>
      <c r="N4361" t="s">
        <v>1082</v>
      </c>
      <c r="O4361" t="s">
        <v>1083</v>
      </c>
      <c r="P4361" t="s">
        <v>247</v>
      </c>
      <c r="Q4361" t="s">
        <v>1084</v>
      </c>
      <c r="R4361" t="s">
        <v>1085</v>
      </c>
    </row>
    <row r="4362" spans="1:18" s="25" customFormat="1">
      <c r="A4362" s="25" t="s">
        <v>195</v>
      </c>
      <c r="B4362" s="25" t="s">
        <v>229</v>
      </c>
      <c r="C4362" s="25">
        <v>3</v>
      </c>
      <c r="D4362" s="25" t="s">
        <v>194</v>
      </c>
      <c r="E4362" s="25">
        <v>60</v>
      </c>
      <c r="J4362" s="26">
        <v>0.44829999999999998</v>
      </c>
      <c r="M4362" s="26">
        <v>0.44829999999999998</v>
      </c>
      <c r="O4362" s="26">
        <v>0.55169999999999997</v>
      </c>
    </row>
    <row r="4363" spans="1:18" s="25" customFormat="1">
      <c r="A4363" s="25" t="s">
        <v>195</v>
      </c>
      <c r="B4363" s="25" t="s">
        <v>230</v>
      </c>
      <c r="C4363" s="25">
        <v>10</v>
      </c>
      <c r="D4363" s="25" t="s">
        <v>194</v>
      </c>
      <c r="E4363" s="25">
        <v>60</v>
      </c>
      <c r="H4363" s="26">
        <v>4.7999999999999996E-3</v>
      </c>
      <c r="I4363" s="26">
        <v>1.8499999999999999E-2</v>
      </c>
      <c r="J4363" s="26">
        <v>0.96379999999999999</v>
      </c>
      <c r="L4363" s="26">
        <v>6.0000000000000001E-3</v>
      </c>
      <c r="M4363" s="26">
        <v>0.58560000000000001</v>
      </c>
      <c r="O4363" s="26">
        <v>2.5399999999999999E-2</v>
      </c>
    </row>
    <row r="4364" spans="1:18" s="25" customFormat="1">
      <c r="A4364" s="25" t="s">
        <v>195</v>
      </c>
      <c r="B4364" s="25" t="s">
        <v>231</v>
      </c>
      <c r="C4364" s="25">
        <v>7</v>
      </c>
      <c r="D4364" s="25" t="s">
        <v>194</v>
      </c>
      <c r="E4364" s="25">
        <v>60</v>
      </c>
      <c r="G4364" s="26">
        <v>8.5400000000000004E-2</v>
      </c>
      <c r="I4364" s="26">
        <v>8.5400000000000004E-2</v>
      </c>
      <c r="J4364" s="26">
        <v>0.61299999999999999</v>
      </c>
      <c r="M4364" s="26">
        <v>0.62029999999999996</v>
      </c>
    </row>
    <row r="4365" spans="1:18" s="25" customFormat="1">
      <c r="A4365" s="25" t="s">
        <v>195</v>
      </c>
      <c r="B4365" s="25" t="s">
        <v>232</v>
      </c>
      <c r="C4365" s="25">
        <v>3</v>
      </c>
      <c r="D4365" s="25" t="s">
        <v>194</v>
      </c>
      <c r="E4365" s="25">
        <v>60</v>
      </c>
      <c r="G4365" s="26">
        <v>0.14169999999999999</v>
      </c>
      <c r="H4365" s="26">
        <v>5.0999999999999997E-2</v>
      </c>
      <c r="I4365" s="26">
        <v>0.14169999999999999</v>
      </c>
      <c r="J4365" s="26">
        <v>0.94899999999999995</v>
      </c>
      <c r="O4365" s="26">
        <v>0.19270000000000001</v>
      </c>
    </row>
    <row r="4366" spans="1:18" s="25" customFormat="1">
      <c r="A4366" s="25" t="s">
        <v>199</v>
      </c>
      <c r="B4366" s="25" t="s">
        <v>229</v>
      </c>
      <c r="C4366" s="25">
        <v>5</v>
      </c>
      <c r="D4366" s="25" t="s">
        <v>194</v>
      </c>
      <c r="E4366" s="25">
        <v>60</v>
      </c>
      <c r="L4366" s="26">
        <v>5.4899999999999997E-2</v>
      </c>
      <c r="M4366" s="26">
        <v>0.61629999999999996</v>
      </c>
      <c r="O4366" s="26">
        <v>8.2600000000000007E-2</v>
      </c>
      <c r="P4366" s="26">
        <v>4.1399999999999999E-2</v>
      </c>
      <c r="R4366" s="26">
        <v>0.2049</v>
      </c>
    </row>
    <row r="4367" spans="1:18" s="25" customFormat="1">
      <c r="A4367" s="25" t="s">
        <v>199</v>
      </c>
      <c r="B4367" s="25" t="s">
        <v>230</v>
      </c>
      <c r="C4367" s="25">
        <v>18</v>
      </c>
      <c r="D4367" s="25" t="s">
        <v>194</v>
      </c>
      <c r="E4367" s="25">
        <v>60</v>
      </c>
      <c r="G4367" s="26">
        <v>1.5800000000000002E-2</v>
      </c>
      <c r="J4367" s="26">
        <v>1.7299999999999999E-2</v>
      </c>
      <c r="K4367" s="26">
        <v>5.5999999999999999E-3</v>
      </c>
      <c r="L4367" s="26">
        <v>8.9999999999999993E-3</v>
      </c>
      <c r="M4367" s="26">
        <v>0.5827</v>
      </c>
      <c r="N4367" s="26">
        <v>7.22E-2</v>
      </c>
      <c r="O4367" s="26">
        <v>0.31409999999999999</v>
      </c>
      <c r="P4367" s="26">
        <v>0.1595</v>
      </c>
      <c r="Q4367" s="26">
        <v>1.7299999999999999E-2</v>
      </c>
    </row>
    <row r="4368" spans="1:18" s="25" customFormat="1">
      <c r="A4368" s="25" t="s">
        <v>199</v>
      </c>
      <c r="B4368" s="25" t="s">
        <v>231</v>
      </c>
      <c r="C4368" s="25">
        <v>11</v>
      </c>
      <c r="D4368" s="25" t="s">
        <v>194</v>
      </c>
      <c r="E4368" s="25">
        <v>60</v>
      </c>
      <c r="F4368" s="26">
        <v>8.3199999999999996E-2</v>
      </c>
      <c r="G4368" s="26">
        <v>0.12479999999999999</v>
      </c>
      <c r="J4368" s="26">
        <v>0.21560000000000001</v>
      </c>
      <c r="K4368" s="26">
        <v>0.1787</v>
      </c>
      <c r="L4368" s="26">
        <v>0.15759999999999999</v>
      </c>
      <c r="M4368" s="26">
        <v>0.29149999999999998</v>
      </c>
      <c r="N4368" s="26">
        <v>4.1599999999999998E-2</v>
      </c>
      <c r="O4368" s="26">
        <v>0.21709999999999999</v>
      </c>
      <c r="P4368" s="26">
        <v>0.10630000000000001</v>
      </c>
      <c r="Q4368" s="26">
        <v>0.15759999999999999</v>
      </c>
    </row>
    <row r="4369" spans="1:18" s="25" customFormat="1">
      <c r="A4369" s="25" t="s">
        <v>199</v>
      </c>
      <c r="B4369" s="25" t="s">
        <v>232</v>
      </c>
      <c r="C4369" s="25">
        <v>3</v>
      </c>
      <c r="D4369" s="25" t="s">
        <v>194</v>
      </c>
      <c r="E4369" s="25">
        <v>60</v>
      </c>
      <c r="I4369" s="26">
        <v>0.86619999999999997</v>
      </c>
      <c r="J4369" s="26">
        <v>0.1338</v>
      </c>
      <c r="O4369" s="26">
        <v>9.1200000000000003E-2</v>
      </c>
    </row>
    <row r="4370" spans="1:18">
      <c r="A4370" t="s">
        <v>200</v>
      </c>
      <c r="B4370" t="s">
        <v>200</v>
      </c>
      <c r="C4370">
        <v>60</v>
      </c>
      <c r="D4370" t="s">
        <v>200</v>
      </c>
      <c r="E4370">
        <v>60</v>
      </c>
      <c r="F4370" s="3">
        <v>7.9000000000000008E-3</v>
      </c>
      <c r="G4370" s="3">
        <v>3.7699999999999997E-2</v>
      </c>
      <c r="H4370" s="3">
        <v>3.7000000000000002E-3</v>
      </c>
      <c r="I4370" s="3">
        <v>6.3399999999999998E-2</v>
      </c>
      <c r="J4370" s="3">
        <v>0.4032</v>
      </c>
      <c r="K4370" s="3">
        <v>1.83E-2</v>
      </c>
      <c r="L4370" s="3">
        <v>2.69E-2</v>
      </c>
      <c r="M4370" s="3">
        <v>0.50949999999999995</v>
      </c>
      <c r="N4370" s="3">
        <v>2.1899999999999999E-2</v>
      </c>
      <c r="O4370" s="3">
        <v>0.14130000000000001</v>
      </c>
      <c r="P4370" s="3">
        <v>5.6099999999999997E-2</v>
      </c>
      <c r="Q4370" s="3">
        <v>1.9199999999999998E-2</v>
      </c>
      <c r="R4370" s="3">
        <v>3.1399999999999997E-2</v>
      </c>
    </row>
    <row r="4372" spans="1:18" ht="45">
      <c r="A4372" s="22" t="s">
        <v>1087</v>
      </c>
    </row>
    <row r="4373" spans="1:18">
      <c r="A4373" t="s">
        <v>185</v>
      </c>
      <c r="B4373" t="s">
        <v>186</v>
      </c>
      <c r="C4373" t="s">
        <v>192</v>
      </c>
      <c r="D4373" t="s">
        <v>184</v>
      </c>
      <c r="E4373" t="s">
        <v>193</v>
      </c>
      <c r="F4373" t="s">
        <v>1074</v>
      </c>
      <c r="G4373" t="s">
        <v>1075</v>
      </c>
      <c r="H4373" t="s">
        <v>1076</v>
      </c>
      <c r="I4373" t="s">
        <v>1077</v>
      </c>
      <c r="J4373" t="s">
        <v>1078</v>
      </c>
      <c r="K4373" t="s">
        <v>1079</v>
      </c>
      <c r="L4373" t="s">
        <v>1080</v>
      </c>
      <c r="M4373" t="s">
        <v>1081</v>
      </c>
      <c r="N4373" t="s">
        <v>1082</v>
      </c>
      <c r="O4373" t="s">
        <v>1083</v>
      </c>
      <c r="P4373" t="s">
        <v>247</v>
      </c>
      <c r="Q4373" t="s">
        <v>1084</v>
      </c>
      <c r="R4373" t="s">
        <v>1085</v>
      </c>
    </row>
    <row r="4374" spans="1:18" s="25" customFormat="1">
      <c r="A4374" s="25" t="s">
        <v>195</v>
      </c>
      <c r="B4374" s="25" t="s">
        <v>196</v>
      </c>
      <c r="C4374" s="25">
        <v>5</v>
      </c>
      <c r="D4374" s="25" t="s">
        <v>194</v>
      </c>
      <c r="E4374" s="25">
        <v>60</v>
      </c>
      <c r="J4374" s="26">
        <v>0.44650000000000001</v>
      </c>
      <c r="M4374" s="26">
        <v>0.55349999999999999</v>
      </c>
    </row>
    <row r="4375" spans="1:18" s="25" customFormat="1">
      <c r="A4375" s="25" t="s">
        <v>195</v>
      </c>
      <c r="B4375" s="25" t="s">
        <v>198</v>
      </c>
      <c r="C4375" s="25">
        <v>18</v>
      </c>
      <c r="D4375" s="25" t="s">
        <v>194</v>
      </c>
      <c r="E4375" s="25">
        <v>60</v>
      </c>
      <c r="G4375" s="26">
        <v>5.9900000000000002E-2</v>
      </c>
      <c r="H4375" s="26">
        <v>1.01E-2</v>
      </c>
      <c r="I4375" s="26">
        <v>7.0900000000000005E-2</v>
      </c>
      <c r="J4375" s="26">
        <v>0.90300000000000002</v>
      </c>
      <c r="L4375" s="26">
        <v>3.5999999999999999E-3</v>
      </c>
      <c r="M4375" s="26">
        <v>0.5202</v>
      </c>
      <c r="O4375" s="26">
        <v>7.0699999999999999E-2</v>
      </c>
    </row>
    <row r="4376" spans="1:18" s="25" customFormat="1">
      <c r="A4376" s="25" t="s">
        <v>199</v>
      </c>
      <c r="B4376" s="25" t="s">
        <v>196</v>
      </c>
      <c r="C4376" s="25">
        <v>4</v>
      </c>
      <c r="D4376" s="25" t="s">
        <v>194</v>
      </c>
      <c r="E4376" s="25">
        <v>60</v>
      </c>
      <c r="J4376" s="26">
        <v>0.44729999999999998</v>
      </c>
      <c r="M4376" s="26">
        <v>0.1641</v>
      </c>
      <c r="O4376" s="26">
        <v>0.3886</v>
      </c>
    </row>
    <row r="4377" spans="1:18">
      <c r="A4377" t="s">
        <v>199</v>
      </c>
      <c r="B4377" t="s">
        <v>198</v>
      </c>
      <c r="C4377">
        <v>33</v>
      </c>
      <c r="D4377" t="s">
        <v>194</v>
      </c>
      <c r="E4377">
        <v>60</v>
      </c>
      <c r="F4377" s="3">
        <v>1.49E-2</v>
      </c>
      <c r="G4377" s="3">
        <v>2.9899999999999999E-2</v>
      </c>
      <c r="I4377" s="3">
        <v>7.0999999999999994E-2</v>
      </c>
      <c r="J4377" s="3">
        <v>4.6199999999999998E-2</v>
      </c>
      <c r="K4377" s="3">
        <v>3.4799999999999998E-2</v>
      </c>
      <c r="L4377" s="3">
        <v>4.8599999999999997E-2</v>
      </c>
      <c r="M4377" s="3">
        <v>0.50329999999999997</v>
      </c>
      <c r="N4377" s="3">
        <v>4.1700000000000001E-2</v>
      </c>
      <c r="O4377" s="3">
        <v>0.20910000000000001</v>
      </c>
      <c r="P4377" s="3">
        <v>0.1067</v>
      </c>
      <c r="Q4377" s="3">
        <v>3.6499999999999998E-2</v>
      </c>
      <c r="R4377" s="3">
        <v>5.96E-2</v>
      </c>
    </row>
    <row r="4378" spans="1:18">
      <c r="A4378" t="s">
        <v>200</v>
      </c>
      <c r="B4378" t="s">
        <v>200</v>
      </c>
      <c r="C4378">
        <v>60</v>
      </c>
      <c r="D4378" t="s">
        <v>200</v>
      </c>
      <c r="E4378">
        <v>60</v>
      </c>
      <c r="F4378" s="3">
        <v>7.9000000000000008E-3</v>
      </c>
      <c r="G4378" s="3">
        <v>3.7699999999999997E-2</v>
      </c>
      <c r="H4378" s="3">
        <v>3.7000000000000002E-3</v>
      </c>
      <c r="I4378" s="3">
        <v>6.3399999999999998E-2</v>
      </c>
      <c r="J4378" s="3">
        <v>0.4032</v>
      </c>
      <c r="K4378" s="3">
        <v>1.83E-2</v>
      </c>
      <c r="L4378" s="3">
        <v>2.69E-2</v>
      </c>
      <c r="M4378" s="3">
        <v>0.50949999999999995</v>
      </c>
      <c r="N4378" s="3">
        <v>2.1899999999999999E-2</v>
      </c>
      <c r="O4378" s="3">
        <v>0.14130000000000001</v>
      </c>
      <c r="P4378" s="3">
        <v>5.6099999999999997E-2</v>
      </c>
      <c r="Q4378" s="3">
        <v>1.9199999999999998E-2</v>
      </c>
      <c r="R4378" s="3">
        <v>3.1399999999999997E-2</v>
      </c>
    </row>
    <row r="4380" spans="1:18" ht="45">
      <c r="A4380" s="22" t="s">
        <v>1088</v>
      </c>
    </row>
    <row r="4381" spans="1:18">
      <c r="A4381" t="s">
        <v>185</v>
      </c>
      <c r="B4381" t="s">
        <v>186</v>
      </c>
      <c r="C4381" t="s">
        <v>192</v>
      </c>
      <c r="D4381" t="s">
        <v>184</v>
      </c>
      <c r="E4381" t="s">
        <v>193</v>
      </c>
      <c r="F4381" t="s">
        <v>1074</v>
      </c>
      <c r="G4381" t="s">
        <v>1075</v>
      </c>
      <c r="H4381" t="s">
        <v>1076</v>
      </c>
      <c r="I4381" t="s">
        <v>1077</v>
      </c>
      <c r="J4381" t="s">
        <v>1078</v>
      </c>
      <c r="K4381" t="s">
        <v>1079</v>
      </c>
      <c r="L4381" t="s">
        <v>1080</v>
      </c>
      <c r="M4381" t="s">
        <v>1081</v>
      </c>
      <c r="N4381" t="s">
        <v>1082</v>
      </c>
      <c r="O4381" t="s">
        <v>1083</v>
      </c>
      <c r="P4381" t="s">
        <v>247</v>
      </c>
      <c r="Q4381" t="s">
        <v>1084</v>
      </c>
      <c r="R4381" t="s">
        <v>1085</v>
      </c>
    </row>
    <row r="4382" spans="1:18" s="25" customFormat="1">
      <c r="A4382" s="25" t="s">
        <v>195</v>
      </c>
      <c r="B4382" s="25" t="s">
        <v>202</v>
      </c>
      <c r="C4382" s="25">
        <v>10</v>
      </c>
      <c r="D4382" s="25" t="s">
        <v>194</v>
      </c>
      <c r="E4382" s="25">
        <v>60</v>
      </c>
      <c r="J4382" s="26">
        <v>0.85119999999999996</v>
      </c>
      <c r="M4382" s="26">
        <v>0.64570000000000005</v>
      </c>
      <c r="O4382" s="26">
        <v>5.4000000000000003E-3</v>
      </c>
    </row>
    <row r="4383" spans="1:18" s="25" customFormat="1">
      <c r="A4383" s="25" t="s">
        <v>195</v>
      </c>
      <c r="B4383" s="25" t="s">
        <v>204</v>
      </c>
      <c r="C4383" s="25">
        <v>6</v>
      </c>
      <c r="D4383" s="25" t="s">
        <v>194</v>
      </c>
      <c r="E4383" s="25">
        <v>60</v>
      </c>
      <c r="G4383" s="26">
        <v>0.35089999999999999</v>
      </c>
      <c r="H4383" s="26">
        <v>4.2200000000000001E-2</v>
      </c>
      <c r="I4383" s="26">
        <v>0.35089999999999999</v>
      </c>
      <c r="J4383" s="26">
        <v>0.63570000000000004</v>
      </c>
      <c r="O4383" s="26">
        <v>0.24790000000000001</v>
      </c>
    </row>
    <row r="4384" spans="1:18" s="25" customFormat="1">
      <c r="A4384" s="25" t="s">
        <v>195</v>
      </c>
      <c r="B4384" s="25" t="s">
        <v>205</v>
      </c>
      <c r="C4384" s="25">
        <v>7</v>
      </c>
      <c r="D4384" s="25" t="s">
        <v>194</v>
      </c>
      <c r="E4384" s="25">
        <v>60</v>
      </c>
      <c r="H4384" s="26">
        <v>2.8299999999999999E-2</v>
      </c>
      <c r="I4384" s="26">
        <v>0.10879999999999999</v>
      </c>
      <c r="J4384" s="26">
        <v>0.70879999999999999</v>
      </c>
      <c r="L4384" s="26">
        <v>3.5200000000000002E-2</v>
      </c>
      <c r="M4384" s="26">
        <v>0.26290000000000002</v>
      </c>
      <c r="O4384" s="26">
        <v>0.2278</v>
      </c>
    </row>
    <row r="4385" spans="1:18" s="25" customFormat="1">
      <c r="A4385" s="25" t="s">
        <v>199</v>
      </c>
      <c r="B4385" s="25" t="s">
        <v>202</v>
      </c>
      <c r="C4385" s="25">
        <v>12</v>
      </c>
      <c r="D4385" s="25" t="s">
        <v>194</v>
      </c>
      <c r="E4385" s="25">
        <v>60</v>
      </c>
      <c r="J4385" s="26">
        <v>8.6599999999999996E-2</v>
      </c>
      <c r="K4385" s="26">
        <v>5.1299999999999998E-2</v>
      </c>
      <c r="L4385" s="26">
        <v>7.6100000000000001E-2</v>
      </c>
      <c r="M4385" s="26">
        <v>0.67879999999999996</v>
      </c>
      <c r="O4385" s="26">
        <v>1.4E-2</v>
      </c>
      <c r="P4385" s="26">
        <v>5.3499999999999999E-2</v>
      </c>
      <c r="Q4385" s="26">
        <v>6.2700000000000006E-2</v>
      </c>
      <c r="R4385" s="26">
        <v>0.1024</v>
      </c>
    </row>
    <row r="4386" spans="1:18" s="25" customFormat="1">
      <c r="A4386" s="25" t="s">
        <v>199</v>
      </c>
      <c r="B4386" s="25" t="s">
        <v>204</v>
      </c>
      <c r="C4386" s="25">
        <v>13</v>
      </c>
      <c r="D4386" s="25" t="s">
        <v>194</v>
      </c>
      <c r="E4386" s="25">
        <v>60</v>
      </c>
      <c r="F4386" s="26">
        <v>9.6699999999999994E-2</v>
      </c>
      <c r="G4386" s="26">
        <v>0.19350000000000001</v>
      </c>
      <c r="J4386" s="26">
        <v>4.8399999999999999E-2</v>
      </c>
      <c r="K4386" s="26">
        <v>9.4000000000000004E-3</v>
      </c>
      <c r="M4386" s="26">
        <v>0.15570000000000001</v>
      </c>
      <c r="N4386" s="26">
        <v>0.2041</v>
      </c>
      <c r="O4386" s="26">
        <v>0.6119</v>
      </c>
      <c r="P4386" s="26">
        <v>2.9499999999999998E-2</v>
      </c>
    </row>
    <row r="4387" spans="1:18" s="25" customFormat="1">
      <c r="A4387" s="25" t="s">
        <v>199</v>
      </c>
      <c r="B4387" s="25" t="s">
        <v>205</v>
      </c>
      <c r="C4387" s="25">
        <v>12</v>
      </c>
      <c r="D4387" s="25" t="s">
        <v>194</v>
      </c>
      <c r="E4387" s="25">
        <v>60</v>
      </c>
      <c r="I4387" s="26">
        <v>0.2452</v>
      </c>
      <c r="K4387" s="26">
        <v>1.1900000000000001E-2</v>
      </c>
      <c r="L4387" s="26">
        <v>1.4800000000000001E-2</v>
      </c>
      <c r="M4387" s="26">
        <v>0.30530000000000002</v>
      </c>
      <c r="N4387" s="26">
        <v>3.5000000000000003E-2</v>
      </c>
      <c r="O4387" s="26">
        <v>0.40260000000000001</v>
      </c>
      <c r="P4387" s="26">
        <v>0.2452</v>
      </c>
    </row>
    <row r="4388" spans="1:18">
      <c r="A4388" t="s">
        <v>200</v>
      </c>
      <c r="B4388" t="s">
        <v>200</v>
      </c>
      <c r="C4388">
        <v>60</v>
      </c>
      <c r="D4388" t="s">
        <v>200</v>
      </c>
      <c r="E4388">
        <v>60</v>
      </c>
      <c r="F4388" s="3">
        <v>7.9000000000000008E-3</v>
      </c>
      <c r="G4388" s="3">
        <v>3.7699999999999997E-2</v>
      </c>
      <c r="H4388" s="3">
        <v>3.7000000000000002E-3</v>
      </c>
      <c r="I4388" s="3">
        <v>6.3399999999999998E-2</v>
      </c>
      <c r="J4388" s="3">
        <v>0.4032</v>
      </c>
      <c r="K4388" s="3">
        <v>1.83E-2</v>
      </c>
      <c r="L4388" s="3">
        <v>2.69E-2</v>
      </c>
      <c r="M4388" s="3">
        <v>0.50949999999999995</v>
      </c>
      <c r="N4388" s="3">
        <v>2.1899999999999999E-2</v>
      </c>
      <c r="O4388" s="3">
        <v>0.14130000000000001</v>
      </c>
      <c r="P4388" s="3">
        <v>5.6099999999999997E-2</v>
      </c>
      <c r="Q4388" s="3">
        <v>1.9199999999999998E-2</v>
      </c>
      <c r="R4388" s="3">
        <v>3.1399999999999997E-2</v>
      </c>
    </row>
    <row r="4390" spans="1:18" ht="45">
      <c r="A4390" s="22" t="s">
        <v>1089</v>
      </c>
    </row>
    <row r="4391" spans="1:18">
      <c r="A4391" t="s">
        <v>185</v>
      </c>
      <c r="B4391" t="s">
        <v>186</v>
      </c>
      <c r="C4391" t="s">
        <v>192</v>
      </c>
      <c r="D4391" t="s">
        <v>184</v>
      </c>
      <c r="E4391" t="s">
        <v>193</v>
      </c>
      <c r="F4391" t="s">
        <v>1074</v>
      </c>
      <c r="G4391" t="s">
        <v>1075</v>
      </c>
      <c r="H4391" t="s">
        <v>1076</v>
      </c>
      <c r="I4391" t="s">
        <v>1077</v>
      </c>
      <c r="J4391" t="s">
        <v>1078</v>
      </c>
      <c r="K4391" t="s">
        <v>1079</v>
      </c>
      <c r="L4391" t="s">
        <v>1080</v>
      </c>
      <c r="M4391" t="s">
        <v>1081</v>
      </c>
      <c r="N4391" t="s">
        <v>1082</v>
      </c>
      <c r="O4391" t="s">
        <v>1083</v>
      </c>
      <c r="P4391" t="s">
        <v>247</v>
      </c>
      <c r="Q4391" t="s">
        <v>1084</v>
      </c>
      <c r="R4391" t="s">
        <v>1085</v>
      </c>
    </row>
    <row r="4392" spans="1:18" s="25" customFormat="1">
      <c r="A4392" s="25" t="s">
        <v>195</v>
      </c>
      <c r="B4392" s="25" t="s">
        <v>207</v>
      </c>
      <c r="C4392" s="25">
        <v>8</v>
      </c>
      <c r="D4392" s="25" t="s">
        <v>194</v>
      </c>
      <c r="E4392" s="25">
        <v>60</v>
      </c>
      <c r="G4392" s="26">
        <v>0.19359999999999999</v>
      </c>
      <c r="I4392" s="26">
        <v>0.19359999999999999</v>
      </c>
      <c r="J4392" s="26">
        <v>0.87109999999999999</v>
      </c>
      <c r="M4392" s="26">
        <v>0.2135</v>
      </c>
      <c r="O4392" s="26">
        <v>6.4699999999999994E-2</v>
      </c>
    </row>
    <row r="4393" spans="1:18" s="25" customFormat="1">
      <c r="A4393" s="25" t="s">
        <v>195</v>
      </c>
      <c r="B4393" s="25" t="s">
        <v>209</v>
      </c>
      <c r="C4393" s="25">
        <v>15</v>
      </c>
      <c r="D4393" s="25" t="s">
        <v>194</v>
      </c>
      <c r="E4393" s="25">
        <v>60</v>
      </c>
      <c r="H4393" s="26">
        <v>1.0699999999999999E-2</v>
      </c>
      <c r="I4393" s="26">
        <v>1.1599999999999999E-2</v>
      </c>
      <c r="J4393" s="26">
        <v>0.79039999999999999</v>
      </c>
      <c r="L4393" s="26">
        <v>3.8E-3</v>
      </c>
      <c r="M4393" s="26">
        <v>0.62970000000000004</v>
      </c>
      <c r="O4393" s="26">
        <v>5.3600000000000002E-2</v>
      </c>
    </row>
    <row r="4394" spans="1:18" s="25" customFormat="1">
      <c r="A4394" s="25" t="s">
        <v>199</v>
      </c>
      <c r="B4394" s="25" t="s">
        <v>207</v>
      </c>
      <c r="C4394" s="25">
        <v>7</v>
      </c>
      <c r="D4394" s="25" t="s">
        <v>194</v>
      </c>
      <c r="E4394" s="25">
        <v>60</v>
      </c>
      <c r="J4394" s="26">
        <v>0.1867</v>
      </c>
      <c r="M4394" s="26">
        <v>0.42259999999999998</v>
      </c>
      <c r="O4394" s="26">
        <v>0.43009999999999998</v>
      </c>
      <c r="P4394" s="26">
        <v>0.34200000000000003</v>
      </c>
      <c r="Q4394" s="26">
        <v>3.9399999999999998E-2</v>
      </c>
    </row>
    <row r="4395" spans="1:18">
      <c r="A4395" t="s">
        <v>199</v>
      </c>
      <c r="B4395" t="s">
        <v>209</v>
      </c>
      <c r="C4395">
        <v>30</v>
      </c>
      <c r="D4395" t="s">
        <v>194</v>
      </c>
      <c r="E4395">
        <v>60</v>
      </c>
      <c r="F4395" s="3">
        <v>1.83E-2</v>
      </c>
      <c r="G4395" s="3">
        <v>3.6499999999999998E-2</v>
      </c>
      <c r="I4395" s="3">
        <v>8.6699999999999999E-2</v>
      </c>
      <c r="J4395" s="3">
        <v>2.3400000000000001E-2</v>
      </c>
      <c r="K4395" s="3">
        <v>4.2500000000000003E-2</v>
      </c>
      <c r="L4395" s="3">
        <v>5.9299999999999999E-2</v>
      </c>
      <c r="M4395" s="3">
        <v>0.51300000000000001</v>
      </c>
      <c r="N4395" s="3">
        <v>5.0900000000000001E-2</v>
      </c>
      <c r="O4395" s="3">
        <v>0.1588</v>
      </c>
      <c r="P4395" s="3">
        <v>4.36E-2</v>
      </c>
      <c r="Q4395" s="3">
        <v>3.4599999999999999E-2</v>
      </c>
      <c r="R4395" s="3">
        <v>7.2800000000000004E-2</v>
      </c>
    </row>
    <row r="4396" spans="1:18">
      <c r="A4396" t="s">
        <v>200</v>
      </c>
      <c r="B4396" t="s">
        <v>200</v>
      </c>
      <c r="C4396">
        <v>60</v>
      </c>
      <c r="D4396" t="s">
        <v>200</v>
      </c>
      <c r="E4396">
        <v>60</v>
      </c>
      <c r="F4396" s="3">
        <v>7.9000000000000008E-3</v>
      </c>
      <c r="G4396" s="3">
        <v>3.7699999999999997E-2</v>
      </c>
      <c r="H4396" s="3">
        <v>3.7000000000000002E-3</v>
      </c>
      <c r="I4396" s="3">
        <v>6.3399999999999998E-2</v>
      </c>
      <c r="J4396" s="3">
        <v>0.4032</v>
      </c>
      <c r="K4396" s="3">
        <v>1.83E-2</v>
      </c>
      <c r="L4396" s="3">
        <v>2.69E-2</v>
      </c>
      <c r="M4396" s="3">
        <v>0.50949999999999995</v>
      </c>
      <c r="N4396" s="3">
        <v>2.1899999999999999E-2</v>
      </c>
      <c r="O4396" s="3">
        <v>0.14130000000000001</v>
      </c>
      <c r="P4396" s="3">
        <v>5.6099999999999997E-2</v>
      </c>
      <c r="Q4396" s="3">
        <v>1.9199999999999998E-2</v>
      </c>
      <c r="R4396" s="3">
        <v>3.1399999999999997E-2</v>
      </c>
    </row>
    <row r="4398" spans="1:18" ht="45">
      <c r="A4398" s="22" t="s">
        <v>1090</v>
      </c>
    </row>
    <row r="4399" spans="1:18">
      <c r="A4399" t="s">
        <v>185</v>
      </c>
      <c r="B4399" t="s">
        <v>192</v>
      </c>
      <c r="C4399" t="s">
        <v>184</v>
      </c>
      <c r="D4399" t="s">
        <v>193</v>
      </c>
      <c r="E4399" t="s">
        <v>1074</v>
      </c>
      <c r="F4399" t="s">
        <v>1075</v>
      </c>
      <c r="G4399" t="s">
        <v>1076</v>
      </c>
      <c r="H4399" t="s">
        <v>1077</v>
      </c>
      <c r="I4399" t="s">
        <v>1078</v>
      </c>
      <c r="J4399" t="s">
        <v>1079</v>
      </c>
      <c r="K4399" t="s">
        <v>1080</v>
      </c>
      <c r="L4399" t="s">
        <v>1081</v>
      </c>
      <c r="M4399" t="s">
        <v>1082</v>
      </c>
      <c r="N4399" t="s">
        <v>1083</v>
      </c>
      <c r="O4399" t="s">
        <v>247</v>
      </c>
      <c r="P4399" t="s">
        <v>1084</v>
      </c>
      <c r="Q4399" t="s">
        <v>1085</v>
      </c>
    </row>
    <row r="4400" spans="1:18" s="25" customFormat="1">
      <c r="A4400" s="25" t="s">
        <v>195</v>
      </c>
      <c r="B4400" s="25">
        <v>23</v>
      </c>
      <c r="C4400" s="25" t="s">
        <v>194</v>
      </c>
      <c r="D4400" s="25">
        <v>60</v>
      </c>
      <c r="F4400" s="26">
        <v>4.7800000000000002E-2</v>
      </c>
      <c r="G4400" s="26">
        <v>8.0000000000000002E-3</v>
      </c>
      <c r="H4400" s="26">
        <v>5.6500000000000002E-2</v>
      </c>
      <c r="I4400" s="26">
        <v>0.81030000000000002</v>
      </c>
      <c r="K4400" s="26">
        <v>2.8E-3</v>
      </c>
      <c r="L4400" s="26">
        <v>0.52690000000000003</v>
      </c>
      <c r="N4400" s="26">
        <v>5.6300000000000003E-2</v>
      </c>
    </row>
    <row r="4401" spans="1:18">
      <c r="A4401" t="s">
        <v>199</v>
      </c>
      <c r="B4401">
        <v>37</v>
      </c>
      <c r="C4401" t="s">
        <v>194</v>
      </c>
      <c r="D4401">
        <v>60</v>
      </c>
      <c r="E4401" s="3">
        <v>1.46E-2</v>
      </c>
      <c r="F4401" s="3">
        <v>2.9100000000000001E-2</v>
      </c>
      <c r="H4401" s="3">
        <v>6.9199999999999998E-2</v>
      </c>
      <c r="I4401" s="3">
        <v>5.6399999999999999E-2</v>
      </c>
      <c r="J4401" s="3">
        <v>3.39E-2</v>
      </c>
      <c r="K4401" s="3">
        <v>4.7300000000000002E-2</v>
      </c>
      <c r="L4401" s="3">
        <v>0.49469999999999997</v>
      </c>
      <c r="M4401" s="3">
        <v>4.0599999999999997E-2</v>
      </c>
      <c r="N4401" s="3">
        <v>0.2137</v>
      </c>
      <c r="O4401" s="3">
        <v>0.104</v>
      </c>
      <c r="P4401" s="3">
        <v>3.56E-2</v>
      </c>
      <c r="Q4401" s="3">
        <v>5.8099999999999999E-2</v>
      </c>
    </row>
    <row r="4402" spans="1:18">
      <c r="A4402" t="s">
        <v>200</v>
      </c>
      <c r="B4402">
        <v>60</v>
      </c>
      <c r="C4402" t="s">
        <v>200</v>
      </c>
      <c r="D4402">
        <v>60</v>
      </c>
      <c r="E4402" s="3">
        <v>7.9000000000000008E-3</v>
      </c>
      <c r="F4402" s="3">
        <v>3.7699999999999997E-2</v>
      </c>
      <c r="G4402" s="3">
        <v>3.7000000000000002E-3</v>
      </c>
      <c r="H4402" s="3">
        <v>6.3399999999999998E-2</v>
      </c>
      <c r="I4402" s="3">
        <v>0.4032</v>
      </c>
      <c r="J4402" s="3">
        <v>1.83E-2</v>
      </c>
      <c r="K4402" s="3">
        <v>2.69E-2</v>
      </c>
      <c r="L4402" s="3">
        <v>0.50949999999999995</v>
      </c>
      <c r="M4402" s="3">
        <v>2.1899999999999999E-2</v>
      </c>
      <c r="N4402" s="3">
        <v>0.14130000000000001</v>
      </c>
      <c r="O4402" s="3">
        <v>5.6099999999999997E-2</v>
      </c>
      <c r="P4402" s="3">
        <v>1.9199999999999998E-2</v>
      </c>
      <c r="Q4402" s="3">
        <v>3.1399999999999997E-2</v>
      </c>
    </row>
    <row r="4404" spans="1:18" ht="45">
      <c r="A4404" s="22" t="s">
        <v>1091</v>
      </c>
    </row>
    <row r="4405" spans="1:18">
      <c r="A4405" t="s">
        <v>185</v>
      </c>
      <c r="B4405" t="s">
        <v>186</v>
      </c>
      <c r="C4405" t="s">
        <v>192</v>
      </c>
      <c r="D4405" t="s">
        <v>184</v>
      </c>
      <c r="E4405" t="s">
        <v>193</v>
      </c>
      <c r="F4405" t="s">
        <v>1074</v>
      </c>
      <c r="G4405" t="s">
        <v>1075</v>
      </c>
      <c r="H4405" t="s">
        <v>1076</v>
      </c>
      <c r="I4405" t="s">
        <v>1077</v>
      </c>
      <c r="J4405" t="s">
        <v>1078</v>
      </c>
      <c r="K4405" t="s">
        <v>1079</v>
      </c>
      <c r="L4405" t="s">
        <v>1080</v>
      </c>
      <c r="M4405" t="s">
        <v>1081</v>
      </c>
      <c r="N4405" t="s">
        <v>1082</v>
      </c>
      <c r="O4405" t="s">
        <v>1083</v>
      </c>
      <c r="P4405" t="s">
        <v>247</v>
      </c>
      <c r="Q4405" t="s">
        <v>1084</v>
      </c>
      <c r="R4405" t="s">
        <v>1085</v>
      </c>
    </row>
    <row r="4406" spans="1:18" s="25" customFormat="1">
      <c r="A4406" s="25" t="s">
        <v>195</v>
      </c>
      <c r="B4406" s="25" t="s">
        <v>212</v>
      </c>
      <c r="C4406" s="25">
        <v>14</v>
      </c>
      <c r="D4406" s="25" t="s">
        <v>194</v>
      </c>
      <c r="E4406" s="25">
        <v>60</v>
      </c>
      <c r="G4406" s="26">
        <v>2.3900000000000001E-2</v>
      </c>
      <c r="H4406" s="26">
        <v>8.6E-3</v>
      </c>
      <c r="I4406" s="26">
        <v>3.7100000000000001E-2</v>
      </c>
      <c r="J4406" s="26">
        <v>0.94579999999999997</v>
      </c>
      <c r="M4406" s="26">
        <v>0.43930000000000002</v>
      </c>
      <c r="O4406" s="26">
        <v>7.8100000000000003E-2</v>
      </c>
    </row>
    <row r="4407" spans="1:18" s="25" customFormat="1">
      <c r="A4407" s="25" t="s">
        <v>195</v>
      </c>
      <c r="B4407" s="25" t="s">
        <v>214</v>
      </c>
      <c r="C4407" s="25">
        <v>3</v>
      </c>
      <c r="D4407" s="25" t="s">
        <v>194</v>
      </c>
      <c r="E4407" s="25">
        <v>60</v>
      </c>
      <c r="G4407" s="26">
        <v>0.21729999999999999</v>
      </c>
      <c r="H4407" s="26">
        <v>1.5599999999999999E-2</v>
      </c>
      <c r="I4407" s="26">
        <v>0.21729999999999999</v>
      </c>
      <c r="M4407" s="26">
        <v>0.76719999999999999</v>
      </c>
    </row>
    <row r="4408" spans="1:18" s="25" customFormat="1">
      <c r="A4408" s="25" t="s">
        <v>195</v>
      </c>
      <c r="B4408" s="25" t="s">
        <v>215</v>
      </c>
      <c r="C4408" s="25">
        <v>6</v>
      </c>
      <c r="D4408" s="25" t="s">
        <v>194</v>
      </c>
      <c r="E4408" s="25">
        <v>60</v>
      </c>
      <c r="J4408" s="26">
        <v>0.96209999999999996</v>
      </c>
      <c r="L4408" s="26">
        <v>1.52E-2</v>
      </c>
      <c r="M4408" s="26">
        <v>0.65200000000000002</v>
      </c>
      <c r="O4408" s="26">
        <v>2.2700000000000001E-2</v>
      </c>
    </row>
    <row r="4409" spans="1:18" s="25" customFormat="1">
      <c r="A4409" s="25" t="s">
        <v>199</v>
      </c>
      <c r="B4409" s="25" t="s">
        <v>212</v>
      </c>
      <c r="C4409" s="25">
        <v>23</v>
      </c>
      <c r="D4409" s="25" t="s">
        <v>194</v>
      </c>
      <c r="E4409" s="25">
        <v>60</v>
      </c>
      <c r="F4409" s="26">
        <v>1.2999999999999999E-2</v>
      </c>
      <c r="G4409" s="26">
        <v>3.8899999999999997E-2</v>
      </c>
      <c r="K4409" s="26">
        <v>8.5000000000000006E-3</v>
      </c>
      <c r="L4409" s="26">
        <v>4.9200000000000001E-2</v>
      </c>
      <c r="M4409" s="26">
        <v>0.56279999999999997</v>
      </c>
      <c r="N4409" s="26">
        <v>7.2400000000000006E-2</v>
      </c>
      <c r="O4409" s="26">
        <v>0.32429999999999998</v>
      </c>
      <c r="P4409" s="26">
        <v>0.18529999999999999</v>
      </c>
      <c r="Q4409" s="26">
        <v>6.3399999999999998E-2</v>
      </c>
    </row>
    <row r="4410" spans="1:18" s="25" customFormat="1">
      <c r="A4410" s="25" t="s">
        <v>199</v>
      </c>
      <c r="B4410" s="25" t="s">
        <v>214</v>
      </c>
      <c r="C4410" s="25">
        <v>9</v>
      </c>
      <c r="D4410" s="25" t="s">
        <v>194</v>
      </c>
      <c r="E4410" s="25">
        <v>60</v>
      </c>
      <c r="F4410" s="26">
        <v>2.0199999999999999E-2</v>
      </c>
      <c r="I4410" s="26">
        <v>0.1918</v>
      </c>
      <c r="J4410" s="26">
        <v>2.9600000000000001E-2</v>
      </c>
      <c r="K4410" s="26">
        <v>8.0699999999999994E-2</v>
      </c>
      <c r="L4410" s="26">
        <v>1.1599999999999999E-2</v>
      </c>
      <c r="M4410" s="26">
        <v>0.49640000000000001</v>
      </c>
      <c r="O4410" s="26">
        <v>4.0399999999999998E-2</v>
      </c>
      <c r="R4410" s="26">
        <v>0.16109999999999999</v>
      </c>
    </row>
    <row r="4411" spans="1:18" s="25" customFormat="1">
      <c r="A4411" s="25" t="s">
        <v>199</v>
      </c>
      <c r="B4411" s="25" t="s">
        <v>215</v>
      </c>
      <c r="C4411" s="25">
        <v>5</v>
      </c>
      <c r="D4411" s="25" t="s">
        <v>194</v>
      </c>
      <c r="E4411" s="25">
        <v>60</v>
      </c>
      <c r="G4411" s="26">
        <v>9.2799999999999994E-2</v>
      </c>
      <c r="J4411" s="26">
        <v>0.58279999999999998</v>
      </c>
      <c r="L4411" s="26">
        <v>0.19839999999999999</v>
      </c>
      <c r="O4411" s="26">
        <v>0.21870000000000001</v>
      </c>
    </row>
    <row r="4412" spans="1:18">
      <c r="A4412" t="s">
        <v>200</v>
      </c>
      <c r="B4412" t="s">
        <v>200</v>
      </c>
      <c r="C4412">
        <v>60</v>
      </c>
      <c r="D4412" t="s">
        <v>200</v>
      </c>
      <c r="E4412">
        <v>60</v>
      </c>
      <c r="F4412" s="3">
        <v>7.9000000000000008E-3</v>
      </c>
      <c r="G4412" s="3">
        <v>3.7699999999999997E-2</v>
      </c>
      <c r="H4412" s="3">
        <v>3.7000000000000002E-3</v>
      </c>
      <c r="I4412" s="3">
        <v>6.3399999999999998E-2</v>
      </c>
      <c r="J4412" s="3">
        <v>0.4032</v>
      </c>
      <c r="K4412" s="3">
        <v>1.83E-2</v>
      </c>
      <c r="L4412" s="3">
        <v>2.69E-2</v>
      </c>
      <c r="M4412" s="3">
        <v>0.50949999999999995</v>
      </c>
      <c r="N4412" s="3">
        <v>2.1899999999999999E-2</v>
      </c>
      <c r="O4412" s="3">
        <v>0.14130000000000001</v>
      </c>
      <c r="P4412" s="3">
        <v>5.6099999999999997E-2</v>
      </c>
      <c r="Q4412" s="3">
        <v>1.9199999999999998E-2</v>
      </c>
      <c r="R4412" s="3">
        <v>3.1399999999999997E-2</v>
      </c>
    </row>
    <row r="4414" spans="1:18" ht="45">
      <c r="A4414" s="22" t="s">
        <v>1092</v>
      </c>
    </row>
    <row r="4415" spans="1:18">
      <c r="A4415" t="s">
        <v>185</v>
      </c>
      <c r="B4415" t="s">
        <v>186</v>
      </c>
      <c r="C4415" t="s">
        <v>192</v>
      </c>
      <c r="D4415" t="s">
        <v>184</v>
      </c>
      <c r="E4415" t="s">
        <v>193</v>
      </c>
      <c r="F4415" t="s">
        <v>1074</v>
      </c>
      <c r="G4415" t="s">
        <v>1075</v>
      </c>
      <c r="H4415" t="s">
        <v>1076</v>
      </c>
      <c r="I4415" t="s">
        <v>1077</v>
      </c>
      <c r="J4415" t="s">
        <v>1078</v>
      </c>
      <c r="K4415" t="s">
        <v>1079</v>
      </c>
      <c r="L4415" t="s">
        <v>1080</v>
      </c>
      <c r="M4415" t="s">
        <v>1081</v>
      </c>
      <c r="N4415" t="s">
        <v>1082</v>
      </c>
      <c r="O4415" t="s">
        <v>1083</v>
      </c>
      <c r="P4415" t="s">
        <v>247</v>
      </c>
      <c r="Q4415" t="s">
        <v>1084</v>
      </c>
      <c r="R4415" t="s">
        <v>1085</v>
      </c>
    </row>
    <row r="4416" spans="1:18" s="25" customFormat="1">
      <c r="A4416" s="25" t="s">
        <v>195</v>
      </c>
      <c r="B4416" s="25" t="s">
        <v>217</v>
      </c>
      <c r="C4416" s="25">
        <v>10</v>
      </c>
      <c r="D4416" s="25" t="s">
        <v>194</v>
      </c>
      <c r="E4416" s="25">
        <v>60</v>
      </c>
      <c r="G4416" s="26">
        <v>3.3000000000000002E-2</v>
      </c>
      <c r="I4416" s="26">
        <v>5.1200000000000002E-2</v>
      </c>
      <c r="J4416" s="26">
        <v>0.92830000000000001</v>
      </c>
      <c r="M4416" s="26">
        <v>0.71589999999999998</v>
      </c>
      <c r="O4416" s="26">
        <v>0.1048</v>
      </c>
    </row>
    <row r="4417" spans="1:18" s="25" customFormat="1">
      <c r="A4417" s="25" t="s">
        <v>195</v>
      </c>
      <c r="B4417" s="25" t="s">
        <v>219</v>
      </c>
      <c r="C4417" s="25">
        <v>7</v>
      </c>
      <c r="D4417" s="25" t="s">
        <v>194</v>
      </c>
      <c r="E4417" s="25">
        <v>60</v>
      </c>
      <c r="J4417" s="26">
        <v>1</v>
      </c>
    </row>
    <row r="4418" spans="1:18" s="25" customFormat="1">
      <c r="A4418" s="25" t="s">
        <v>195</v>
      </c>
      <c r="B4418" s="25" t="s">
        <v>220</v>
      </c>
      <c r="C4418" s="25">
        <v>6</v>
      </c>
      <c r="D4418" s="25" t="s">
        <v>194</v>
      </c>
      <c r="E4418" s="25">
        <v>60</v>
      </c>
      <c r="G4418" s="26">
        <v>0.1439</v>
      </c>
      <c r="H4418" s="26">
        <v>3.6299999999999999E-2</v>
      </c>
      <c r="I4418" s="26">
        <v>0.1439</v>
      </c>
      <c r="J4418" s="26">
        <v>0.29870000000000002</v>
      </c>
      <c r="L4418" s="26">
        <v>1.2800000000000001E-2</v>
      </c>
      <c r="M4418" s="26">
        <v>0.81969999999999998</v>
      </c>
      <c r="O4418" s="26">
        <v>2.5999999999999999E-2</v>
      </c>
    </row>
    <row r="4419" spans="1:18" s="25" customFormat="1">
      <c r="A4419" s="25" t="s">
        <v>199</v>
      </c>
      <c r="B4419" s="25" t="s">
        <v>217</v>
      </c>
      <c r="C4419" s="25">
        <v>21</v>
      </c>
      <c r="D4419" s="25" t="s">
        <v>194</v>
      </c>
      <c r="E4419" s="25">
        <v>60</v>
      </c>
      <c r="F4419" s="26">
        <v>1.2200000000000001E-2</v>
      </c>
      <c r="G4419" s="26">
        <v>3.6600000000000001E-2</v>
      </c>
      <c r="J4419" s="26">
        <v>7.6499999999999999E-2</v>
      </c>
      <c r="K4419" s="26">
        <v>4.3E-3</v>
      </c>
      <c r="L4419" s="26">
        <v>7.22E-2</v>
      </c>
      <c r="M4419" s="26">
        <v>0.50119999999999998</v>
      </c>
      <c r="N4419" s="26">
        <v>6.8000000000000005E-2</v>
      </c>
      <c r="O4419" s="26">
        <v>0.31990000000000002</v>
      </c>
      <c r="P4419" s="26">
        <v>0.1469</v>
      </c>
      <c r="Q4419" s="26">
        <v>4.6199999999999998E-2</v>
      </c>
    </row>
    <row r="4420" spans="1:18" s="25" customFormat="1">
      <c r="A4420" s="25" t="s">
        <v>199</v>
      </c>
      <c r="B4420" s="25" t="s">
        <v>219</v>
      </c>
      <c r="C4420" s="25">
        <v>10</v>
      </c>
      <c r="D4420" s="25" t="s">
        <v>194</v>
      </c>
      <c r="E4420" s="25">
        <v>60</v>
      </c>
      <c r="F4420" s="26">
        <v>2.1399999999999999E-2</v>
      </c>
      <c r="G4420" s="26">
        <v>2.1399999999999999E-2</v>
      </c>
      <c r="I4420" s="26">
        <v>0.20330000000000001</v>
      </c>
      <c r="J4420" s="26">
        <v>3.1399999999999997E-2</v>
      </c>
      <c r="L4420" s="26">
        <v>1.23E-2</v>
      </c>
      <c r="M4420" s="26">
        <v>0.53849999999999998</v>
      </c>
      <c r="O4420" s="26">
        <v>2.1399999999999999E-2</v>
      </c>
      <c r="P4420" s="26">
        <v>1.3100000000000001E-2</v>
      </c>
      <c r="R4420" s="26">
        <v>0.17080000000000001</v>
      </c>
    </row>
    <row r="4421" spans="1:18" s="25" customFormat="1">
      <c r="A4421" s="25" t="s">
        <v>199</v>
      </c>
      <c r="B4421" s="25" t="s">
        <v>220</v>
      </c>
      <c r="C4421" s="25">
        <v>6</v>
      </c>
      <c r="D4421" s="25" t="s">
        <v>194</v>
      </c>
      <c r="E4421" s="25">
        <v>60</v>
      </c>
      <c r="K4421" s="26">
        <v>0.50109999999999999</v>
      </c>
      <c r="M4421" s="26">
        <v>0.1943</v>
      </c>
      <c r="O4421" s="26">
        <v>0.2442</v>
      </c>
      <c r="P4421" s="26">
        <v>0.188</v>
      </c>
      <c r="Q4421" s="26">
        <v>0.1275</v>
      </c>
    </row>
    <row r="4422" spans="1:18">
      <c r="A4422" t="s">
        <v>200</v>
      </c>
      <c r="B4422" t="s">
        <v>200</v>
      </c>
      <c r="C4422">
        <v>60</v>
      </c>
      <c r="D4422" t="s">
        <v>200</v>
      </c>
      <c r="E4422">
        <v>60</v>
      </c>
      <c r="F4422" s="3">
        <v>7.9000000000000008E-3</v>
      </c>
      <c r="G4422" s="3">
        <v>3.7699999999999997E-2</v>
      </c>
      <c r="H4422" s="3">
        <v>3.7000000000000002E-3</v>
      </c>
      <c r="I4422" s="3">
        <v>6.3399999999999998E-2</v>
      </c>
      <c r="J4422" s="3">
        <v>0.4032</v>
      </c>
      <c r="K4422" s="3">
        <v>1.83E-2</v>
      </c>
      <c r="L4422" s="3">
        <v>2.69E-2</v>
      </c>
      <c r="M4422" s="3">
        <v>0.50949999999999995</v>
      </c>
      <c r="N4422" s="3">
        <v>2.1899999999999999E-2</v>
      </c>
      <c r="O4422" s="3">
        <v>0.14130000000000001</v>
      </c>
      <c r="P4422" s="3">
        <v>5.6099999999999997E-2</v>
      </c>
      <c r="Q4422" s="3">
        <v>1.9199999999999998E-2</v>
      </c>
      <c r="R4422" s="3">
        <v>3.1399999999999997E-2</v>
      </c>
    </row>
    <row r="4424" spans="1:18" ht="60">
      <c r="A4424" s="22" t="s">
        <v>1093</v>
      </c>
    </row>
    <row r="4425" spans="1:18">
      <c r="A4425" t="s">
        <v>185</v>
      </c>
      <c r="B4425" t="s">
        <v>186</v>
      </c>
      <c r="C4425" t="s">
        <v>192</v>
      </c>
      <c r="D4425" t="s">
        <v>184</v>
      </c>
      <c r="E4425" t="s">
        <v>193</v>
      </c>
      <c r="F4425" t="s">
        <v>1094</v>
      </c>
      <c r="G4425" t="s">
        <v>1095</v>
      </c>
      <c r="H4425" t="s">
        <v>1096</v>
      </c>
      <c r="I4425" t="s">
        <v>1097</v>
      </c>
      <c r="J4425" t="s">
        <v>247</v>
      </c>
      <c r="K4425" t="s">
        <v>1098</v>
      </c>
    </row>
    <row r="4426" spans="1:18">
      <c r="A4426" t="s">
        <v>195</v>
      </c>
      <c r="B4426" t="s">
        <v>222</v>
      </c>
      <c r="C4426">
        <v>244</v>
      </c>
      <c r="D4426" t="s">
        <v>194</v>
      </c>
      <c r="E4426">
        <v>2665</v>
      </c>
      <c r="F4426" s="3">
        <v>4.58E-2</v>
      </c>
      <c r="G4426" s="3">
        <v>3.3E-3</v>
      </c>
      <c r="H4426" s="3">
        <v>6.1499999999999999E-2</v>
      </c>
      <c r="I4426" s="3">
        <v>0.82089999999999996</v>
      </c>
      <c r="K4426" s="3">
        <v>6.8500000000000005E-2</v>
      </c>
    </row>
    <row r="4427" spans="1:18">
      <c r="A4427" t="s">
        <v>195</v>
      </c>
      <c r="B4427" t="s">
        <v>224</v>
      </c>
      <c r="C4427">
        <v>936</v>
      </c>
      <c r="D4427" t="s">
        <v>194</v>
      </c>
      <c r="E4427">
        <v>2665</v>
      </c>
      <c r="F4427" s="3">
        <v>5.1400000000000001E-2</v>
      </c>
      <c r="G4427" s="3">
        <v>1.72E-2</v>
      </c>
      <c r="H4427" s="3">
        <v>1.5800000000000002E-2</v>
      </c>
      <c r="I4427" s="3">
        <v>0.83</v>
      </c>
      <c r="J4427" s="3">
        <v>3.5999999999999999E-3</v>
      </c>
      <c r="K4427" s="3">
        <v>8.1900000000000001E-2</v>
      </c>
    </row>
    <row r="4428" spans="1:18">
      <c r="A4428" t="s">
        <v>199</v>
      </c>
      <c r="B4428" t="s">
        <v>222</v>
      </c>
      <c r="C4428">
        <v>390</v>
      </c>
      <c r="D4428" t="s">
        <v>194</v>
      </c>
      <c r="E4428">
        <v>2665</v>
      </c>
      <c r="F4428" s="3">
        <v>3.2399999999999998E-2</v>
      </c>
      <c r="G4428" s="3">
        <v>3.3E-3</v>
      </c>
      <c r="H4428" s="3">
        <v>4.9099999999999998E-2</v>
      </c>
      <c r="I4428" s="3">
        <v>0.87829999999999997</v>
      </c>
      <c r="J4428" s="3">
        <v>2.8999999999999998E-3</v>
      </c>
      <c r="K4428" s="3">
        <v>3.4000000000000002E-2</v>
      </c>
    </row>
    <row r="4429" spans="1:18">
      <c r="A4429" t="s">
        <v>199</v>
      </c>
      <c r="B4429" t="s">
        <v>224</v>
      </c>
      <c r="C4429">
        <v>1095</v>
      </c>
      <c r="D4429" t="s">
        <v>194</v>
      </c>
      <c r="E4429">
        <v>2665</v>
      </c>
      <c r="F4429" s="3">
        <v>2.9000000000000001E-2</v>
      </c>
      <c r="G4429" s="3">
        <v>8.2000000000000007E-3</v>
      </c>
      <c r="H4429" s="3">
        <v>3.1699999999999999E-2</v>
      </c>
      <c r="I4429" s="3">
        <v>0.88849999999999996</v>
      </c>
      <c r="J4429" s="3">
        <v>8.9999999999999998E-4</v>
      </c>
      <c r="K4429" s="3">
        <v>4.1799999999999997E-2</v>
      </c>
    </row>
    <row r="4430" spans="1:18">
      <c r="A4430" t="s">
        <v>200</v>
      </c>
      <c r="B4430" t="s">
        <v>200</v>
      </c>
      <c r="C4430">
        <v>2665</v>
      </c>
      <c r="D4430" t="s">
        <v>200</v>
      </c>
      <c r="E4430">
        <v>2665</v>
      </c>
      <c r="F4430" s="3">
        <v>3.8899999999999997E-2</v>
      </c>
      <c r="G4430" s="3">
        <v>9.9000000000000008E-3</v>
      </c>
      <c r="H4430" s="3">
        <v>3.2399999999999998E-2</v>
      </c>
      <c r="I4430" s="3">
        <v>0.8599</v>
      </c>
      <c r="J4430" s="3">
        <v>2.0999999999999999E-3</v>
      </c>
      <c r="K4430" s="3">
        <v>5.6800000000000003E-2</v>
      </c>
    </row>
    <row r="4432" spans="1:18" ht="60">
      <c r="A4432" s="22" t="s">
        <v>1099</v>
      </c>
    </row>
    <row r="4433" spans="1:11">
      <c r="A4433" t="s">
        <v>185</v>
      </c>
      <c r="B4433" t="s">
        <v>186</v>
      </c>
      <c r="C4433" t="s">
        <v>192</v>
      </c>
      <c r="D4433" t="s">
        <v>184</v>
      </c>
      <c r="E4433" t="s">
        <v>193</v>
      </c>
      <c r="F4433" t="s">
        <v>1094</v>
      </c>
      <c r="G4433" t="s">
        <v>1095</v>
      </c>
      <c r="H4433" t="s">
        <v>1096</v>
      </c>
      <c r="I4433" t="s">
        <v>1097</v>
      </c>
      <c r="J4433" t="s">
        <v>247</v>
      </c>
      <c r="K4433" t="s">
        <v>1098</v>
      </c>
    </row>
    <row r="4434" spans="1:11">
      <c r="A4434" t="s">
        <v>195</v>
      </c>
      <c r="B4434" t="s">
        <v>229</v>
      </c>
      <c r="C4434">
        <v>129</v>
      </c>
      <c r="D4434" t="s">
        <v>194</v>
      </c>
      <c r="E4434">
        <v>2665</v>
      </c>
      <c r="F4434" s="3">
        <v>3.9600000000000003E-2</v>
      </c>
      <c r="G4434" s="3">
        <v>1.4500000000000001E-2</v>
      </c>
      <c r="H4434" s="3">
        <v>6.83E-2</v>
      </c>
      <c r="I4434" s="3">
        <v>0.82110000000000005</v>
      </c>
      <c r="K4434" s="3">
        <v>5.6599999999999998E-2</v>
      </c>
    </row>
    <row r="4435" spans="1:11">
      <c r="A4435" t="s">
        <v>195</v>
      </c>
      <c r="B4435" t="s">
        <v>230</v>
      </c>
      <c r="C4435">
        <v>483</v>
      </c>
      <c r="D4435" t="s">
        <v>194</v>
      </c>
      <c r="E4435">
        <v>2665</v>
      </c>
      <c r="F4435" s="3">
        <v>5.7000000000000002E-2</v>
      </c>
      <c r="G4435" s="3">
        <v>1.04E-2</v>
      </c>
      <c r="H4435" s="3">
        <v>1.14E-2</v>
      </c>
      <c r="I4435" s="3">
        <v>0.79520000000000002</v>
      </c>
      <c r="J4435" s="3">
        <v>6.4999999999999997E-3</v>
      </c>
      <c r="K4435" s="3">
        <v>0.1196</v>
      </c>
    </row>
    <row r="4436" spans="1:11">
      <c r="A4436" t="s">
        <v>195</v>
      </c>
      <c r="B4436" t="s">
        <v>231</v>
      </c>
      <c r="C4436">
        <v>302</v>
      </c>
      <c r="D4436" t="s">
        <v>194</v>
      </c>
      <c r="E4436">
        <v>2665</v>
      </c>
      <c r="F4436" s="3">
        <v>5.4600000000000003E-2</v>
      </c>
      <c r="G4436" s="3">
        <v>1.4500000000000001E-2</v>
      </c>
      <c r="H4436" s="3">
        <v>4.58E-2</v>
      </c>
      <c r="I4436" s="3">
        <v>0.85529999999999995</v>
      </c>
      <c r="J4436" s="3">
        <v>1E-3</v>
      </c>
      <c r="K4436" s="3">
        <v>2.87E-2</v>
      </c>
    </row>
    <row r="4437" spans="1:11">
      <c r="A4437" t="s">
        <v>195</v>
      </c>
      <c r="B4437" t="s">
        <v>232</v>
      </c>
      <c r="C4437">
        <v>266</v>
      </c>
      <c r="D4437" t="s">
        <v>194</v>
      </c>
      <c r="E4437">
        <v>2665</v>
      </c>
      <c r="F4437" s="3">
        <v>3.9600000000000003E-2</v>
      </c>
      <c r="G4437" s="3">
        <v>1.9599999999999999E-2</v>
      </c>
      <c r="H4437" s="3">
        <v>3.5000000000000001E-3</v>
      </c>
      <c r="I4437" s="3">
        <v>0.86119999999999997</v>
      </c>
      <c r="K4437" s="3">
        <v>7.6100000000000001E-2</v>
      </c>
    </row>
    <row r="4438" spans="1:11">
      <c r="A4438" t="s">
        <v>199</v>
      </c>
      <c r="B4438" t="s">
        <v>229</v>
      </c>
      <c r="C4438">
        <v>150</v>
      </c>
      <c r="D4438" t="s">
        <v>194</v>
      </c>
      <c r="E4438">
        <v>2665</v>
      </c>
      <c r="F4438" s="3">
        <v>1.7100000000000001E-2</v>
      </c>
      <c r="G4438" s="3">
        <v>2.8999999999999998E-3</v>
      </c>
      <c r="H4438" s="3">
        <v>2.6200000000000001E-2</v>
      </c>
      <c r="I4438" s="3">
        <v>0.89370000000000005</v>
      </c>
      <c r="K4438" s="3">
        <v>0.06</v>
      </c>
    </row>
    <row r="4439" spans="1:11">
      <c r="A4439" t="s">
        <v>199</v>
      </c>
      <c r="B4439" t="s">
        <v>230</v>
      </c>
      <c r="C4439">
        <v>700</v>
      </c>
      <c r="D4439" t="s">
        <v>194</v>
      </c>
      <c r="E4439">
        <v>2665</v>
      </c>
      <c r="F4439" s="3">
        <v>2.2200000000000001E-2</v>
      </c>
      <c r="G4439" s="3">
        <v>5.5999999999999999E-3</v>
      </c>
      <c r="H4439" s="3">
        <v>4.3799999999999999E-2</v>
      </c>
      <c r="I4439" s="3">
        <v>0.89610000000000001</v>
      </c>
      <c r="J4439" s="3">
        <v>2.3999999999999998E-3</v>
      </c>
      <c r="K4439" s="3">
        <v>2.9899999999999999E-2</v>
      </c>
    </row>
    <row r="4440" spans="1:11">
      <c r="A4440" t="s">
        <v>199</v>
      </c>
      <c r="B4440" t="s">
        <v>231</v>
      </c>
      <c r="C4440">
        <v>396</v>
      </c>
      <c r="D4440" t="s">
        <v>194</v>
      </c>
      <c r="E4440">
        <v>2665</v>
      </c>
      <c r="F4440" s="3">
        <v>5.3699999999999998E-2</v>
      </c>
      <c r="G4440" s="3">
        <v>1.14E-2</v>
      </c>
      <c r="H4440" s="3">
        <v>3.56E-2</v>
      </c>
      <c r="I4440" s="3">
        <v>0.8367</v>
      </c>
      <c r="J4440" s="3">
        <v>1.4E-3</v>
      </c>
      <c r="K4440" s="3">
        <v>6.13E-2</v>
      </c>
    </row>
    <row r="4441" spans="1:11">
      <c r="A4441" t="s">
        <v>199</v>
      </c>
      <c r="B4441" t="s">
        <v>232</v>
      </c>
      <c r="C4441">
        <v>239</v>
      </c>
      <c r="D4441" t="s">
        <v>194</v>
      </c>
      <c r="E4441">
        <v>2665</v>
      </c>
      <c r="F4441" s="3">
        <v>3.95E-2</v>
      </c>
      <c r="G4441" s="3">
        <v>8.6E-3</v>
      </c>
      <c r="H4441" s="3">
        <v>3.1099999999999999E-2</v>
      </c>
      <c r="I4441" s="3">
        <v>0.9</v>
      </c>
      <c r="J4441" s="3">
        <v>8.0000000000000004E-4</v>
      </c>
      <c r="K4441" s="3">
        <v>1.9800000000000002E-2</v>
      </c>
    </row>
    <row r="4442" spans="1:11">
      <c r="A4442" t="s">
        <v>200</v>
      </c>
      <c r="B4442" t="s">
        <v>200</v>
      </c>
      <c r="C4442">
        <v>2665</v>
      </c>
      <c r="D4442" t="s">
        <v>200</v>
      </c>
      <c r="E4442">
        <v>2665</v>
      </c>
      <c r="F4442" s="3">
        <v>3.8899999999999997E-2</v>
      </c>
      <c r="G4442" s="3">
        <v>9.9000000000000008E-3</v>
      </c>
      <c r="H4442" s="3">
        <v>3.2399999999999998E-2</v>
      </c>
      <c r="I4442" s="3">
        <v>0.8599</v>
      </c>
      <c r="J4442" s="3">
        <v>2.0999999999999999E-3</v>
      </c>
      <c r="K4442" s="3">
        <v>5.6800000000000003E-2</v>
      </c>
    </row>
    <row r="4444" spans="1:11" ht="60">
      <c r="A4444" s="22" t="s">
        <v>1100</v>
      </c>
    </row>
    <row r="4445" spans="1:11">
      <c r="A4445" t="s">
        <v>185</v>
      </c>
      <c r="B4445" t="s">
        <v>186</v>
      </c>
      <c r="C4445" t="s">
        <v>192</v>
      </c>
      <c r="D4445" t="s">
        <v>184</v>
      </c>
      <c r="E4445" t="s">
        <v>193</v>
      </c>
      <c r="F4445" t="s">
        <v>1094</v>
      </c>
      <c r="G4445" t="s">
        <v>1095</v>
      </c>
      <c r="H4445" t="s">
        <v>1096</v>
      </c>
      <c r="I4445" t="s">
        <v>1097</v>
      </c>
      <c r="J4445" t="s">
        <v>247</v>
      </c>
      <c r="K4445" t="s">
        <v>1098</v>
      </c>
    </row>
    <row r="4446" spans="1:11">
      <c r="A4446" t="s">
        <v>195</v>
      </c>
      <c r="B4446" t="s">
        <v>196</v>
      </c>
      <c r="C4446">
        <v>410</v>
      </c>
      <c r="D4446" t="s">
        <v>194</v>
      </c>
      <c r="E4446">
        <v>2665</v>
      </c>
      <c r="F4446" s="3">
        <v>5.2299999999999999E-2</v>
      </c>
      <c r="G4446" s="3">
        <v>1.5100000000000001E-2</v>
      </c>
      <c r="H4446" s="3">
        <v>5.7599999999999998E-2</v>
      </c>
      <c r="I4446" s="3">
        <v>0.81279999999999997</v>
      </c>
      <c r="J4446" s="3">
        <v>5.7000000000000002E-3</v>
      </c>
      <c r="K4446" s="3">
        <v>5.6599999999999998E-2</v>
      </c>
    </row>
    <row r="4447" spans="1:11">
      <c r="A4447" t="s">
        <v>195</v>
      </c>
      <c r="B4447" t="s">
        <v>198</v>
      </c>
      <c r="C4447">
        <v>749</v>
      </c>
      <c r="D4447" t="s">
        <v>194</v>
      </c>
      <c r="E4447">
        <v>2665</v>
      </c>
      <c r="F4447" s="3">
        <v>4.8099999999999997E-2</v>
      </c>
      <c r="G4447" s="3">
        <v>1.37E-2</v>
      </c>
      <c r="H4447" s="3">
        <v>1.54E-2</v>
      </c>
      <c r="I4447" s="3">
        <v>0.8337</v>
      </c>
      <c r="J4447" s="3">
        <v>1.6999999999999999E-3</v>
      </c>
      <c r="K4447" s="3">
        <v>8.7400000000000005E-2</v>
      </c>
    </row>
    <row r="4448" spans="1:11">
      <c r="A4448" t="s">
        <v>199</v>
      </c>
      <c r="B4448" t="s">
        <v>196</v>
      </c>
      <c r="C4448">
        <v>524</v>
      </c>
      <c r="D4448" t="s">
        <v>194</v>
      </c>
      <c r="E4448">
        <v>2665</v>
      </c>
      <c r="F4448" s="3">
        <v>5.3400000000000003E-2</v>
      </c>
      <c r="G4448" s="3">
        <v>3.8E-3</v>
      </c>
      <c r="H4448" s="3">
        <v>3.1800000000000002E-2</v>
      </c>
      <c r="I4448" s="3">
        <v>0.87809999999999999</v>
      </c>
      <c r="J4448" s="3">
        <v>5.9999999999999995E-4</v>
      </c>
      <c r="K4448" s="3">
        <v>3.2399999999999998E-2</v>
      </c>
    </row>
    <row r="4449" spans="1:11">
      <c r="A4449" t="s">
        <v>199</v>
      </c>
      <c r="B4449" t="s">
        <v>198</v>
      </c>
      <c r="C4449">
        <v>943</v>
      </c>
      <c r="D4449" t="s">
        <v>194</v>
      </c>
      <c r="E4449">
        <v>2665</v>
      </c>
      <c r="F4449" s="3">
        <v>2.46E-2</v>
      </c>
      <c r="G4449" s="3">
        <v>7.0000000000000001E-3</v>
      </c>
      <c r="H4449" s="3">
        <v>3.8199999999999998E-2</v>
      </c>
      <c r="I4449" s="3">
        <v>0.88749999999999996</v>
      </c>
      <c r="J4449" s="3">
        <v>1.8E-3</v>
      </c>
      <c r="K4449" s="3">
        <v>4.0899999999999999E-2</v>
      </c>
    </row>
    <row r="4450" spans="1:11">
      <c r="A4450" t="s">
        <v>200</v>
      </c>
      <c r="B4450" t="s">
        <v>200</v>
      </c>
      <c r="C4450">
        <v>2665</v>
      </c>
      <c r="D4450" t="s">
        <v>200</v>
      </c>
      <c r="E4450">
        <v>2665</v>
      </c>
      <c r="F4450" s="3">
        <v>3.8899999999999997E-2</v>
      </c>
      <c r="G4450" s="3">
        <v>9.9000000000000008E-3</v>
      </c>
      <c r="H4450" s="3">
        <v>3.2399999999999998E-2</v>
      </c>
      <c r="I4450" s="3">
        <v>0.8599</v>
      </c>
      <c r="J4450" s="3">
        <v>2.0999999999999999E-3</v>
      </c>
      <c r="K4450" s="3">
        <v>5.6800000000000003E-2</v>
      </c>
    </row>
    <row r="4452" spans="1:11" ht="60">
      <c r="A4452" s="22" t="s">
        <v>1101</v>
      </c>
    </row>
    <row r="4453" spans="1:11">
      <c r="A4453" t="s">
        <v>185</v>
      </c>
      <c r="B4453" t="s">
        <v>186</v>
      </c>
      <c r="C4453" t="s">
        <v>192</v>
      </c>
      <c r="D4453" t="s">
        <v>184</v>
      </c>
      <c r="E4453" t="s">
        <v>193</v>
      </c>
      <c r="F4453" t="s">
        <v>1094</v>
      </c>
      <c r="G4453" t="s">
        <v>1095</v>
      </c>
      <c r="H4453" t="s">
        <v>1096</v>
      </c>
      <c r="I4453" t="s">
        <v>1097</v>
      </c>
      <c r="J4453" t="s">
        <v>247</v>
      </c>
      <c r="K4453" t="s">
        <v>1098</v>
      </c>
    </row>
    <row r="4454" spans="1:11">
      <c r="A4454" t="s">
        <v>195</v>
      </c>
      <c r="B4454" t="s">
        <v>202</v>
      </c>
      <c r="C4454">
        <v>530</v>
      </c>
      <c r="D4454" t="s">
        <v>194</v>
      </c>
      <c r="E4454">
        <v>2665</v>
      </c>
      <c r="F4454" s="3">
        <v>5.0599999999999999E-2</v>
      </c>
      <c r="G4454" s="3">
        <v>1.18E-2</v>
      </c>
      <c r="H4454" s="3">
        <v>2.1499999999999998E-2</v>
      </c>
      <c r="I4454" s="3">
        <v>0.84670000000000001</v>
      </c>
      <c r="J4454" s="3">
        <v>3.8999999999999998E-3</v>
      </c>
      <c r="K4454" s="3">
        <v>6.5500000000000003E-2</v>
      </c>
    </row>
    <row r="4455" spans="1:11">
      <c r="A4455" t="s">
        <v>195</v>
      </c>
      <c r="B4455" t="s">
        <v>204</v>
      </c>
      <c r="C4455">
        <v>298</v>
      </c>
      <c r="D4455" t="s">
        <v>194</v>
      </c>
      <c r="E4455">
        <v>2665</v>
      </c>
      <c r="F4455" s="3">
        <v>3.61E-2</v>
      </c>
      <c r="G4455" s="3">
        <v>1.89E-2</v>
      </c>
      <c r="H4455" s="3">
        <v>3.5400000000000001E-2</v>
      </c>
      <c r="I4455" s="3">
        <v>0.85609999999999997</v>
      </c>
      <c r="J4455" s="3">
        <v>1.1000000000000001E-3</v>
      </c>
      <c r="K4455" s="3">
        <v>5.2400000000000002E-2</v>
      </c>
    </row>
    <row r="4456" spans="1:11">
      <c r="A4456" t="s">
        <v>195</v>
      </c>
      <c r="B4456" t="s">
        <v>205</v>
      </c>
      <c r="C4456">
        <v>331</v>
      </c>
      <c r="D4456" t="s">
        <v>194</v>
      </c>
      <c r="E4456">
        <v>2665</v>
      </c>
      <c r="F4456" s="3">
        <v>6.3799999999999996E-2</v>
      </c>
      <c r="G4456" s="3">
        <v>1.7000000000000001E-2</v>
      </c>
      <c r="H4456" s="3">
        <v>3.7900000000000003E-2</v>
      </c>
      <c r="I4456" s="3">
        <v>0.69430000000000003</v>
      </c>
      <c r="K4456" s="3">
        <v>0.18690000000000001</v>
      </c>
    </row>
    <row r="4457" spans="1:11">
      <c r="A4457" t="s">
        <v>199</v>
      </c>
      <c r="B4457" t="s">
        <v>202</v>
      </c>
      <c r="C4457">
        <v>538</v>
      </c>
      <c r="D4457" t="s">
        <v>194</v>
      </c>
      <c r="E4457">
        <v>2665</v>
      </c>
      <c r="F4457" s="3">
        <v>2.3099999999999999E-2</v>
      </c>
      <c r="G4457" s="3">
        <v>4.1000000000000003E-3</v>
      </c>
      <c r="H4457" s="3">
        <v>2.7400000000000001E-2</v>
      </c>
      <c r="I4457" s="3">
        <v>0.91169999999999995</v>
      </c>
      <c r="J4457" s="3">
        <v>1.4E-3</v>
      </c>
      <c r="K4457" s="3">
        <v>3.2399999999999998E-2</v>
      </c>
    </row>
    <row r="4458" spans="1:11">
      <c r="A4458" t="s">
        <v>199</v>
      </c>
      <c r="B4458" t="s">
        <v>204</v>
      </c>
      <c r="C4458">
        <v>426</v>
      </c>
      <c r="D4458" t="s">
        <v>194</v>
      </c>
      <c r="E4458">
        <v>2665</v>
      </c>
      <c r="F4458" s="3">
        <v>3.7400000000000003E-2</v>
      </c>
      <c r="G4458" s="3">
        <v>6.3E-3</v>
      </c>
      <c r="H4458" s="3">
        <v>7.0099999999999996E-2</v>
      </c>
      <c r="I4458" s="3">
        <v>0.84919999999999995</v>
      </c>
      <c r="K4458" s="3">
        <v>3.6900000000000002E-2</v>
      </c>
    </row>
    <row r="4459" spans="1:11">
      <c r="A4459" t="s">
        <v>199</v>
      </c>
      <c r="B4459" t="s">
        <v>205</v>
      </c>
      <c r="C4459">
        <v>503</v>
      </c>
      <c r="D4459" t="s">
        <v>194</v>
      </c>
      <c r="E4459">
        <v>2665</v>
      </c>
      <c r="F4459" s="3">
        <v>4.7199999999999999E-2</v>
      </c>
      <c r="G4459" s="3">
        <v>1.5299999999999999E-2</v>
      </c>
      <c r="H4459" s="3">
        <v>3.56E-2</v>
      </c>
      <c r="I4459" s="3">
        <v>0.82989999999999997</v>
      </c>
      <c r="J4459" s="3">
        <v>3.8E-3</v>
      </c>
      <c r="K4459" s="3">
        <v>6.8199999999999997E-2</v>
      </c>
    </row>
    <row r="4460" spans="1:11">
      <c r="A4460" t="s">
        <v>200</v>
      </c>
      <c r="B4460" t="s">
        <v>200</v>
      </c>
      <c r="C4460">
        <v>2665</v>
      </c>
      <c r="D4460" t="s">
        <v>200</v>
      </c>
      <c r="E4460">
        <v>2665</v>
      </c>
      <c r="F4460" s="3">
        <v>3.8899999999999997E-2</v>
      </c>
      <c r="G4460" s="3">
        <v>9.9000000000000008E-3</v>
      </c>
      <c r="H4460" s="3">
        <v>3.2399999999999998E-2</v>
      </c>
      <c r="I4460" s="3">
        <v>0.8599</v>
      </c>
      <c r="J4460" s="3">
        <v>2.0999999999999999E-3</v>
      </c>
      <c r="K4460" s="3">
        <v>5.6800000000000003E-2</v>
      </c>
    </row>
    <row r="4462" spans="1:11" ht="60">
      <c r="A4462" s="22" t="s">
        <v>1102</v>
      </c>
    </row>
    <row r="4463" spans="1:11">
      <c r="A4463" t="s">
        <v>185</v>
      </c>
      <c r="B4463" t="s">
        <v>186</v>
      </c>
      <c r="C4463" t="s">
        <v>192</v>
      </c>
      <c r="D4463" t="s">
        <v>184</v>
      </c>
      <c r="E4463" t="s">
        <v>193</v>
      </c>
      <c r="F4463" t="s">
        <v>1094</v>
      </c>
      <c r="G4463" t="s">
        <v>1095</v>
      </c>
      <c r="H4463" t="s">
        <v>1096</v>
      </c>
      <c r="I4463" t="s">
        <v>1097</v>
      </c>
      <c r="J4463" t="s">
        <v>247</v>
      </c>
      <c r="K4463" t="s">
        <v>1098</v>
      </c>
    </row>
    <row r="4464" spans="1:11">
      <c r="A4464" t="s">
        <v>195</v>
      </c>
      <c r="B4464" t="s">
        <v>207</v>
      </c>
      <c r="C4464">
        <v>321</v>
      </c>
      <c r="D4464" t="s">
        <v>194</v>
      </c>
      <c r="E4464">
        <v>2665</v>
      </c>
      <c r="F4464" s="3">
        <v>9.11E-2</v>
      </c>
      <c r="G4464" s="3">
        <v>2.9499999999999998E-2</v>
      </c>
      <c r="H4464" s="3">
        <v>1.8E-3</v>
      </c>
      <c r="I4464" s="3">
        <v>0.80259999999999998</v>
      </c>
      <c r="J4464" s="3">
        <v>1E-3</v>
      </c>
      <c r="K4464" s="3">
        <v>7.4099999999999999E-2</v>
      </c>
    </row>
    <row r="4465" spans="1:11">
      <c r="A4465" t="s">
        <v>195</v>
      </c>
      <c r="B4465" t="s">
        <v>209</v>
      </c>
      <c r="C4465">
        <v>859</v>
      </c>
      <c r="D4465" t="s">
        <v>194</v>
      </c>
      <c r="E4465">
        <v>2665</v>
      </c>
      <c r="F4465" s="3">
        <v>3.61E-2</v>
      </c>
      <c r="G4465" s="3">
        <v>8.6999999999999994E-3</v>
      </c>
      <c r="H4465" s="3">
        <v>3.5000000000000003E-2</v>
      </c>
      <c r="I4465" s="3">
        <v>0.83650000000000002</v>
      </c>
      <c r="J4465" s="3">
        <v>3.3999999999999998E-3</v>
      </c>
      <c r="K4465" s="3">
        <v>8.0299999999999996E-2</v>
      </c>
    </row>
    <row r="4466" spans="1:11">
      <c r="A4466" t="s">
        <v>199</v>
      </c>
      <c r="B4466" t="s">
        <v>207</v>
      </c>
      <c r="C4466">
        <v>281</v>
      </c>
      <c r="D4466" t="s">
        <v>194</v>
      </c>
      <c r="E4466">
        <v>2665</v>
      </c>
      <c r="F4466" s="3">
        <v>0.1128</v>
      </c>
      <c r="G4466" s="3">
        <v>1.5299999999999999E-2</v>
      </c>
      <c r="H4466" s="3">
        <v>6.6E-3</v>
      </c>
      <c r="I4466" s="3">
        <v>0.80130000000000001</v>
      </c>
      <c r="J4466" s="3">
        <v>2.0999999999999999E-3</v>
      </c>
      <c r="K4466" s="3">
        <v>6.1800000000000001E-2</v>
      </c>
    </row>
    <row r="4467" spans="1:11">
      <c r="A4467" t="s">
        <v>199</v>
      </c>
      <c r="B4467" t="s">
        <v>209</v>
      </c>
      <c r="C4467">
        <v>1204</v>
      </c>
      <c r="D4467" t="s">
        <v>194</v>
      </c>
      <c r="E4467">
        <v>2665</v>
      </c>
      <c r="F4467" s="3">
        <v>1.8599999999999998E-2</v>
      </c>
      <c r="G4467" s="3">
        <v>5.4999999999999997E-3</v>
      </c>
      <c r="H4467" s="3">
        <v>4.1200000000000001E-2</v>
      </c>
      <c r="I4467" s="3">
        <v>0.89700000000000002</v>
      </c>
      <c r="J4467" s="3">
        <v>1.5E-3</v>
      </c>
      <c r="K4467" s="3">
        <v>3.6299999999999999E-2</v>
      </c>
    </row>
    <row r="4468" spans="1:11">
      <c r="A4468" t="s">
        <v>200</v>
      </c>
      <c r="B4468" t="s">
        <v>200</v>
      </c>
      <c r="C4468">
        <v>2665</v>
      </c>
      <c r="D4468" t="s">
        <v>200</v>
      </c>
      <c r="E4468">
        <v>2665</v>
      </c>
      <c r="F4468" s="3">
        <v>3.8899999999999997E-2</v>
      </c>
      <c r="G4468" s="3">
        <v>9.9000000000000008E-3</v>
      </c>
      <c r="H4468" s="3">
        <v>3.2399999999999998E-2</v>
      </c>
      <c r="I4468" s="3">
        <v>0.8599</v>
      </c>
      <c r="J4468" s="3">
        <v>2.0999999999999999E-3</v>
      </c>
      <c r="K4468" s="3">
        <v>5.6800000000000003E-2</v>
      </c>
    </row>
    <row r="4470" spans="1:11" ht="60">
      <c r="A4470" s="22" t="s">
        <v>1103</v>
      </c>
    </row>
    <row r="4471" spans="1:11">
      <c r="A4471" t="s">
        <v>185</v>
      </c>
      <c r="B4471" t="s">
        <v>192</v>
      </c>
      <c r="C4471" t="s">
        <v>184</v>
      </c>
      <c r="D4471" t="s">
        <v>193</v>
      </c>
      <c r="E4471" t="s">
        <v>1094</v>
      </c>
      <c r="F4471" t="s">
        <v>1095</v>
      </c>
      <c r="G4471" t="s">
        <v>1096</v>
      </c>
      <c r="H4471" t="s">
        <v>1097</v>
      </c>
      <c r="I4471" t="s">
        <v>247</v>
      </c>
      <c r="J4471" t="s">
        <v>1098</v>
      </c>
    </row>
    <row r="4472" spans="1:11">
      <c r="A4472" t="s">
        <v>195</v>
      </c>
      <c r="B4472">
        <v>1180</v>
      </c>
      <c r="C4472" t="s">
        <v>194</v>
      </c>
      <c r="D4472">
        <v>2665</v>
      </c>
      <c r="E4472" s="3">
        <v>5.0099999999999999E-2</v>
      </c>
      <c r="F4472" s="3">
        <v>1.4E-2</v>
      </c>
      <c r="G4472" s="3">
        <v>2.6599999999999999E-2</v>
      </c>
      <c r="H4472" s="3">
        <v>0.82779999999999998</v>
      </c>
      <c r="I4472" s="3">
        <v>2.8E-3</v>
      </c>
      <c r="J4472" s="3">
        <v>7.8700000000000006E-2</v>
      </c>
    </row>
    <row r="4473" spans="1:11">
      <c r="A4473" t="s">
        <v>199</v>
      </c>
      <c r="B4473">
        <v>1485</v>
      </c>
      <c r="C4473" t="s">
        <v>194</v>
      </c>
      <c r="D4473">
        <v>2665</v>
      </c>
      <c r="E4473" s="3">
        <v>0.03</v>
      </c>
      <c r="F4473" s="3">
        <v>6.7000000000000002E-3</v>
      </c>
      <c r="G4473" s="3">
        <v>3.6999999999999998E-2</v>
      </c>
      <c r="H4473" s="3">
        <v>0.88539999999999996</v>
      </c>
      <c r="I4473" s="3">
        <v>1.5E-3</v>
      </c>
      <c r="J4473" s="3">
        <v>3.9399999999999998E-2</v>
      </c>
    </row>
    <row r="4474" spans="1:11">
      <c r="A4474" t="s">
        <v>200</v>
      </c>
      <c r="B4474">
        <v>2665</v>
      </c>
      <c r="C4474" t="s">
        <v>200</v>
      </c>
      <c r="D4474">
        <v>2665</v>
      </c>
      <c r="E4474" s="3">
        <v>3.8899999999999997E-2</v>
      </c>
      <c r="F4474" s="3">
        <v>9.9000000000000008E-3</v>
      </c>
      <c r="G4474" s="3">
        <v>3.2399999999999998E-2</v>
      </c>
      <c r="H4474" s="3">
        <v>0.8599</v>
      </c>
      <c r="I4474" s="3">
        <v>2.0999999999999999E-3</v>
      </c>
      <c r="J4474" s="3">
        <v>5.6800000000000003E-2</v>
      </c>
    </row>
    <row r="4476" spans="1:11" ht="60">
      <c r="A4476" s="22" t="s">
        <v>1104</v>
      </c>
    </row>
    <row r="4477" spans="1:11">
      <c r="A4477" t="s">
        <v>185</v>
      </c>
      <c r="B4477" t="s">
        <v>186</v>
      </c>
      <c r="C4477" t="s">
        <v>192</v>
      </c>
      <c r="D4477" t="s">
        <v>184</v>
      </c>
      <c r="E4477" t="s">
        <v>193</v>
      </c>
      <c r="F4477" t="s">
        <v>1094</v>
      </c>
      <c r="G4477" t="s">
        <v>1095</v>
      </c>
      <c r="H4477" t="s">
        <v>1096</v>
      </c>
      <c r="I4477" t="s">
        <v>1097</v>
      </c>
      <c r="J4477" t="s">
        <v>247</v>
      </c>
      <c r="K4477" t="s">
        <v>1098</v>
      </c>
    </row>
    <row r="4478" spans="1:11">
      <c r="A4478" t="s">
        <v>195</v>
      </c>
      <c r="B4478" t="s">
        <v>212</v>
      </c>
      <c r="C4478">
        <v>866</v>
      </c>
      <c r="D4478" t="s">
        <v>194</v>
      </c>
      <c r="E4478">
        <v>2665</v>
      </c>
      <c r="F4478" s="3">
        <v>5.2499999999999998E-2</v>
      </c>
      <c r="G4478" s="3">
        <v>1.29E-2</v>
      </c>
      <c r="H4478" s="3">
        <v>3.04E-2</v>
      </c>
      <c r="I4478" s="3">
        <v>0.8135</v>
      </c>
      <c r="J4478" s="3">
        <v>3.7000000000000002E-3</v>
      </c>
      <c r="K4478" s="3">
        <v>8.6999999999999994E-2</v>
      </c>
    </row>
    <row r="4479" spans="1:11">
      <c r="A4479" t="s">
        <v>195</v>
      </c>
      <c r="B4479" t="s">
        <v>214</v>
      </c>
      <c r="C4479">
        <v>180</v>
      </c>
      <c r="D4479" t="s">
        <v>194</v>
      </c>
      <c r="E4479">
        <v>2665</v>
      </c>
      <c r="F4479" s="3">
        <v>4.07E-2</v>
      </c>
      <c r="G4479" s="3">
        <v>1.0800000000000001E-2</v>
      </c>
      <c r="H4479" s="3">
        <v>2.2800000000000001E-2</v>
      </c>
      <c r="I4479" s="3">
        <v>0.91420000000000001</v>
      </c>
      <c r="K4479" s="3">
        <v>1.1599999999999999E-2</v>
      </c>
    </row>
    <row r="4480" spans="1:11">
      <c r="A4480" t="s">
        <v>195</v>
      </c>
      <c r="B4480" t="s">
        <v>215</v>
      </c>
      <c r="C4480">
        <v>134</v>
      </c>
      <c r="D4480" t="s">
        <v>194</v>
      </c>
      <c r="E4480">
        <v>2665</v>
      </c>
      <c r="F4480" s="3">
        <v>4.7100000000000003E-2</v>
      </c>
      <c r="G4480" s="3">
        <v>2.9899999999999999E-2</v>
      </c>
      <c r="H4480" s="3">
        <v>2.9999999999999997E-4</v>
      </c>
      <c r="I4480" s="3">
        <v>0.78639999999999999</v>
      </c>
      <c r="K4480" s="3">
        <v>0.13619999999999999</v>
      </c>
    </row>
    <row r="4481" spans="1:11">
      <c r="A4481" t="s">
        <v>199</v>
      </c>
      <c r="B4481" t="s">
        <v>212</v>
      </c>
      <c r="C4481">
        <v>1116</v>
      </c>
      <c r="D4481" t="s">
        <v>194</v>
      </c>
      <c r="E4481">
        <v>2665</v>
      </c>
      <c r="F4481" s="3">
        <v>3.3399999999999999E-2</v>
      </c>
      <c r="G4481" s="3">
        <v>6.6E-3</v>
      </c>
      <c r="H4481" s="3">
        <v>3.78E-2</v>
      </c>
      <c r="I4481" s="3">
        <v>0.87580000000000002</v>
      </c>
      <c r="J4481" s="3">
        <v>1.6999999999999999E-3</v>
      </c>
      <c r="K4481" s="3">
        <v>4.48E-2</v>
      </c>
    </row>
    <row r="4482" spans="1:11">
      <c r="A4482" t="s">
        <v>199</v>
      </c>
      <c r="B4482" t="s">
        <v>214</v>
      </c>
      <c r="C4482">
        <v>196</v>
      </c>
      <c r="D4482" t="s">
        <v>194</v>
      </c>
      <c r="E4482">
        <v>2665</v>
      </c>
      <c r="F4482" s="3">
        <v>1.0999999999999999E-2</v>
      </c>
      <c r="G4482" s="3">
        <v>4.4999999999999997E-3</v>
      </c>
      <c r="H4482" s="3">
        <v>4.5100000000000001E-2</v>
      </c>
      <c r="I4482" s="3">
        <v>0.9304</v>
      </c>
      <c r="J4482" s="3">
        <v>8.9999999999999998E-4</v>
      </c>
      <c r="K4482" s="3">
        <v>8.0000000000000002E-3</v>
      </c>
    </row>
    <row r="4483" spans="1:11">
      <c r="A4483" t="s">
        <v>199</v>
      </c>
      <c r="B4483" t="s">
        <v>215</v>
      </c>
      <c r="C4483">
        <v>173</v>
      </c>
      <c r="D4483" t="s">
        <v>194</v>
      </c>
      <c r="E4483">
        <v>2665</v>
      </c>
      <c r="F4483" s="3">
        <v>3.3399999999999999E-2</v>
      </c>
      <c r="G4483" s="3">
        <v>1.15E-2</v>
      </c>
      <c r="H4483" s="3">
        <v>1.55E-2</v>
      </c>
      <c r="I4483" s="3">
        <v>0.89119999999999999</v>
      </c>
      <c r="J4483" s="3">
        <v>1.4E-3</v>
      </c>
      <c r="K4483" s="3">
        <v>4.7100000000000003E-2</v>
      </c>
    </row>
    <row r="4484" spans="1:11">
      <c r="A4484" t="s">
        <v>200</v>
      </c>
      <c r="B4484" t="s">
        <v>200</v>
      </c>
      <c r="C4484">
        <v>2665</v>
      </c>
      <c r="D4484" t="s">
        <v>200</v>
      </c>
      <c r="E4484">
        <v>2665</v>
      </c>
      <c r="F4484" s="3">
        <v>3.8899999999999997E-2</v>
      </c>
      <c r="G4484" s="3">
        <v>9.9000000000000008E-3</v>
      </c>
      <c r="H4484" s="3">
        <v>3.2399999999999998E-2</v>
      </c>
      <c r="I4484" s="3">
        <v>0.8599</v>
      </c>
      <c r="J4484" s="3">
        <v>2.0999999999999999E-3</v>
      </c>
      <c r="K4484" s="3">
        <v>5.6800000000000003E-2</v>
      </c>
    </row>
    <row r="4486" spans="1:11" ht="60">
      <c r="A4486" s="22" t="s">
        <v>1105</v>
      </c>
    </row>
    <row r="4487" spans="1:11">
      <c r="A4487" t="s">
        <v>185</v>
      </c>
      <c r="B4487" t="s">
        <v>186</v>
      </c>
      <c r="C4487" t="s">
        <v>192</v>
      </c>
      <c r="D4487" t="s">
        <v>184</v>
      </c>
      <c r="E4487" t="s">
        <v>193</v>
      </c>
      <c r="F4487" t="s">
        <v>1094</v>
      </c>
      <c r="G4487" t="s">
        <v>1095</v>
      </c>
      <c r="H4487" t="s">
        <v>1096</v>
      </c>
      <c r="I4487" t="s">
        <v>1097</v>
      </c>
      <c r="J4487" t="s">
        <v>247</v>
      </c>
      <c r="K4487" t="s">
        <v>1098</v>
      </c>
    </row>
    <row r="4488" spans="1:11">
      <c r="A4488" t="s">
        <v>195</v>
      </c>
      <c r="B4488" t="s">
        <v>217</v>
      </c>
      <c r="C4488">
        <v>498</v>
      </c>
      <c r="D4488" t="s">
        <v>194</v>
      </c>
      <c r="E4488">
        <v>2665</v>
      </c>
      <c r="F4488" s="3">
        <v>5.1200000000000002E-2</v>
      </c>
      <c r="G4488" s="3">
        <v>1.6199999999999999E-2</v>
      </c>
      <c r="H4488" s="3">
        <v>3.4500000000000003E-2</v>
      </c>
      <c r="I4488" s="3">
        <v>0.81489999999999996</v>
      </c>
      <c r="K4488" s="3">
        <v>8.3199999999999996E-2</v>
      </c>
    </row>
    <row r="4489" spans="1:11">
      <c r="A4489" t="s">
        <v>195</v>
      </c>
      <c r="B4489" t="s">
        <v>219</v>
      </c>
      <c r="C4489">
        <v>503</v>
      </c>
      <c r="D4489" t="s">
        <v>194</v>
      </c>
      <c r="E4489">
        <v>2665</v>
      </c>
      <c r="F4489" s="3">
        <v>5.8599999999999999E-2</v>
      </c>
      <c r="G4489" s="3">
        <v>1.78E-2</v>
      </c>
      <c r="H4489" s="3">
        <v>4.5999999999999999E-3</v>
      </c>
      <c r="I4489" s="3">
        <v>0.84389999999999998</v>
      </c>
      <c r="J4489" s="3">
        <v>7.1000000000000004E-3</v>
      </c>
      <c r="K4489" s="3">
        <v>6.8000000000000005E-2</v>
      </c>
    </row>
    <row r="4490" spans="1:11">
      <c r="A4490" t="s">
        <v>195</v>
      </c>
      <c r="B4490" t="s">
        <v>220</v>
      </c>
      <c r="C4490">
        <v>178</v>
      </c>
      <c r="D4490" t="s">
        <v>194</v>
      </c>
      <c r="E4490">
        <v>2665</v>
      </c>
      <c r="F4490" s="3">
        <v>2.92E-2</v>
      </c>
      <c r="G4490" s="3">
        <v>5.0000000000000001E-4</v>
      </c>
      <c r="H4490" s="3">
        <v>5.5300000000000002E-2</v>
      </c>
      <c r="I4490" s="3">
        <v>0.82379999999999998</v>
      </c>
      <c r="K4490" s="3">
        <v>9.1200000000000003E-2</v>
      </c>
    </row>
    <row r="4491" spans="1:11">
      <c r="A4491" t="s">
        <v>199</v>
      </c>
      <c r="B4491" t="s">
        <v>217</v>
      </c>
      <c r="C4491">
        <v>814</v>
      </c>
      <c r="D4491" t="s">
        <v>194</v>
      </c>
      <c r="E4491">
        <v>2665</v>
      </c>
      <c r="F4491" s="3">
        <v>3.61E-2</v>
      </c>
      <c r="G4491" s="3">
        <v>5.5999999999999999E-3</v>
      </c>
      <c r="H4491" s="3">
        <v>3.78E-2</v>
      </c>
      <c r="I4491" s="3">
        <v>0.87980000000000003</v>
      </c>
      <c r="J4491" s="3">
        <v>2.0999999999999999E-3</v>
      </c>
      <c r="K4491" s="3">
        <v>3.8600000000000002E-2</v>
      </c>
    </row>
    <row r="4492" spans="1:11">
      <c r="A4492" t="s">
        <v>199</v>
      </c>
      <c r="B4492" t="s">
        <v>219</v>
      </c>
      <c r="C4492">
        <v>448</v>
      </c>
      <c r="D4492" t="s">
        <v>194</v>
      </c>
      <c r="E4492">
        <v>2665</v>
      </c>
      <c r="F4492" s="3">
        <v>1.7000000000000001E-2</v>
      </c>
      <c r="G4492" s="3">
        <v>1.12E-2</v>
      </c>
      <c r="H4492" s="3">
        <v>1.7899999999999999E-2</v>
      </c>
      <c r="I4492" s="3">
        <v>0.91590000000000005</v>
      </c>
      <c r="J4492" s="3">
        <v>1E-3</v>
      </c>
      <c r="K4492" s="3">
        <v>3.6999999999999998E-2</v>
      </c>
    </row>
    <row r="4493" spans="1:11">
      <c r="A4493" t="s">
        <v>199</v>
      </c>
      <c r="B4493" t="s">
        <v>220</v>
      </c>
      <c r="C4493">
        <v>223</v>
      </c>
      <c r="D4493" t="s">
        <v>194</v>
      </c>
      <c r="E4493">
        <v>2665</v>
      </c>
      <c r="F4493" s="3">
        <v>2.7199999999999998E-2</v>
      </c>
      <c r="G4493" s="3">
        <v>3.8E-3</v>
      </c>
      <c r="H4493" s="3">
        <v>6.3899999999999998E-2</v>
      </c>
      <c r="I4493" s="3">
        <v>0.85870000000000002</v>
      </c>
      <c r="K4493" s="3">
        <v>4.6399999999999997E-2</v>
      </c>
    </row>
    <row r="4494" spans="1:11">
      <c r="A4494" t="s">
        <v>200</v>
      </c>
      <c r="B4494" t="s">
        <v>200</v>
      </c>
      <c r="C4494">
        <v>2665</v>
      </c>
      <c r="D4494" t="s">
        <v>200</v>
      </c>
      <c r="E4494">
        <v>2665</v>
      </c>
      <c r="F4494" s="3">
        <v>3.8899999999999997E-2</v>
      </c>
      <c r="G4494" s="3">
        <v>9.9000000000000008E-3</v>
      </c>
      <c r="H4494" s="3">
        <v>3.2399999999999998E-2</v>
      </c>
      <c r="I4494" s="3">
        <v>0.8599</v>
      </c>
      <c r="J4494" s="3">
        <v>2.0999999999999999E-3</v>
      </c>
      <c r="K4494" s="3">
        <v>5.6800000000000003E-2</v>
      </c>
    </row>
    <row r="4496" spans="1:11" ht="45">
      <c r="A4496" s="22" t="s">
        <v>1106</v>
      </c>
    </row>
    <row r="4497" spans="1:11">
      <c r="A4497" t="s">
        <v>185</v>
      </c>
      <c r="B4497" t="s">
        <v>186</v>
      </c>
      <c r="C4497" t="s">
        <v>192</v>
      </c>
      <c r="D4497" t="s">
        <v>184</v>
      </c>
      <c r="E4497" t="s">
        <v>193</v>
      </c>
      <c r="F4497" t="s">
        <v>1094</v>
      </c>
      <c r="G4497" t="s">
        <v>1095</v>
      </c>
      <c r="H4497" t="s">
        <v>1096</v>
      </c>
      <c r="I4497" t="s">
        <v>1097</v>
      </c>
      <c r="J4497" t="s">
        <v>247</v>
      </c>
      <c r="K4497" t="s">
        <v>1098</v>
      </c>
    </row>
    <row r="4498" spans="1:11">
      <c r="A4498" t="s">
        <v>195</v>
      </c>
      <c r="B4498" t="s">
        <v>222</v>
      </c>
      <c r="C4498">
        <v>245</v>
      </c>
      <c r="D4498" t="s">
        <v>194</v>
      </c>
      <c r="E4498">
        <v>2669</v>
      </c>
      <c r="F4498" s="3">
        <v>0.18379999999999999</v>
      </c>
      <c r="G4498" s="3">
        <v>3.0599999999999999E-2</v>
      </c>
      <c r="H4498" s="3">
        <v>9.5399999999999999E-2</v>
      </c>
      <c r="I4498" s="3">
        <v>0.38550000000000001</v>
      </c>
      <c r="J4498" s="3">
        <v>8.5000000000000006E-3</v>
      </c>
      <c r="K4498" s="3">
        <v>0.29630000000000001</v>
      </c>
    </row>
    <row r="4499" spans="1:11">
      <c r="A4499" t="s">
        <v>195</v>
      </c>
      <c r="B4499" t="s">
        <v>224</v>
      </c>
      <c r="C4499">
        <v>939</v>
      </c>
      <c r="D4499" t="s">
        <v>194</v>
      </c>
      <c r="E4499">
        <v>2669</v>
      </c>
      <c r="F4499" s="3">
        <v>0.2162</v>
      </c>
      <c r="G4499" s="3">
        <v>3.1600000000000003E-2</v>
      </c>
      <c r="H4499" s="3">
        <v>0.1016</v>
      </c>
      <c r="I4499" s="3">
        <v>0.43319999999999997</v>
      </c>
      <c r="J4499" s="3">
        <v>1.4500000000000001E-2</v>
      </c>
      <c r="K4499" s="3">
        <v>0.2029</v>
      </c>
    </row>
    <row r="4500" spans="1:11">
      <c r="A4500" t="s">
        <v>199</v>
      </c>
      <c r="B4500" t="s">
        <v>222</v>
      </c>
      <c r="C4500">
        <v>390</v>
      </c>
      <c r="D4500" t="s">
        <v>194</v>
      </c>
      <c r="E4500">
        <v>2669</v>
      </c>
      <c r="F4500" s="3">
        <v>0.12590000000000001</v>
      </c>
      <c r="G4500" s="3">
        <v>9.2999999999999992E-3</v>
      </c>
      <c r="H4500" s="3">
        <v>0.12959999999999999</v>
      </c>
      <c r="I4500" s="3">
        <v>0.5504</v>
      </c>
      <c r="J4500" s="3">
        <v>8.5000000000000006E-3</v>
      </c>
      <c r="K4500" s="3">
        <v>0.1764</v>
      </c>
    </row>
    <row r="4501" spans="1:11">
      <c r="A4501" t="s">
        <v>199</v>
      </c>
      <c r="B4501" t="s">
        <v>224</v>
      </c>
      <c r="C4501">
        <v>1095</v>
      </c>
      <c r="D4501" t="s">
        <v>194</v>
      </c>
      <c r="E4501">
        <v>2669</v>
      </c>
      <c r="F4501" s="3">
        <v>0.1658</v>
      </c>
      <c r="G4501" s="3">
        <v>1.9699999999999999E-2</v>
      </c>
      <c r="H4501" s="3">
        <v>9.7799999999999998E-2</v>
      </c>
      <c r="I4501" s="3">
        <v>0.54090000000000005</v>
      </c>
      <c r="J4501" s="3">
        <v>1.4E-3</v>
      </c>
      <c r="K4501" s="3">
        <v>0.1744</v>
      </c>
    </row>
    <row r="4502" spans="1:11">
      <c r="A4502" t="s">
        <v>200</v>
      </c>
      <c r="B4502" t="s">
        <v>200</v>
      </c>
      <c r="C4502">
        <v>2669</v>
      </c>
      <c r="D4502" t="s">
        <v>200</v>
      </c>
      <c r="E4502">
        <v>2669</v>
      </c>
      <c r="F4502" s="3">
        <v>0.1779</v>
      </c>
      <c r="G4502" s="3">
        <v>2.3099999999999999E-2</v>
      </c>
      <c r="H4502" s="3">
        <v>0.1043</v>
      </c>
      <c r="I4502" s="3">
        <v>0.48980000000000001</v>
      </c>
      <c r="J4502" s="3">
        <v>7.7999999999999996E-3</v>
      </c>
      <c r="K4502" s="3">
        <v>0.19719999999999999</v>
      </c>
    </row>
    <row r="4504" spans="1:11" ht="45">
      <c r="A4504" s="22" t="s">
        <v>1107</v>
      </c>
    </row>
    <row r="4505" spans="1:11">
      <c r="A4505" t="s">
        <v>185</v>
      </c>
      <c r="B4505" t="s">
        <v>186</v>
      </c>
      <c r="C4505" t="s">
        <v>192</v>
      </c>
      <c r="D4505" t="s">
        <v>184</v>
      </c>
      <c r="E4505" t="s">
        <v>193</v>
      </c>
      <c r="F4505" t="s">
        <v>1094</v>
      </c>
      <c r="G4505" t="s">
        <v>1095</v>
      </c>
      <c r="H4505" t="s">
        <v>1096</v>
      </c>
      <c r="I4505" t="s">
        <v>1097</v>
      </c>
      <c r="J4505" t="s">
        <v>247</v>
      </c>
      <c r="K4505" t="s">
        <v>1098</v>
      </c>
    </row>
    <row r="4506" spans="1:11">
      <c r="A4506" t="s">
        <v>195</v>
      </c>
      <c r="B4506" t="s">
        <v>229</v>
      </c>
      <c r="C4506">
        <v>129</v>
      </c>
      <c r="D4506" t="s">
        <v>194</v>
      </c>
      <c r="E4506">
        <v>2669</v>
      </c>
      <c r="F4506" s="3">
        <v>0.1103</v>
      </c>
      <c r="G4506" s="3">
        <v>2.3E-3</v>
      </c>
      <c r="H4506" s="3">
        <v>7.2400000000000006E-2</v>
      </c>
      <c r="I4506" s="3">
        <v>0.48399999999999999</v>
      </c>
      <c r="K4506" s="3">
        <v>0.33100000000000002</v>
      </c>
    </row>
    <row r="4507" spans="1:11">
      <c r="A4507" t="s">
        <v>195</v>
      </c>
      <c r="B4507" t="s">
        <v>230</v>
      </c>
      <c r="C4507">
        <v>486</v>
      </c>
      <c r="D4507" t="s">
        <v>194</v>
      </c>
      <c r="E4507">
        <v>2669</v>
      </c>
      <c r="F4507" s="3">
        <v>0.1933</v>
      </c>
      <c r="G4507" s="3">
        <v>4.2799999999999998E-2</v>
      </c>
      <c r="H4507" s="3">
        <v>0.1187</v>
      </c>
      <c r="I4507" s="3">
        <v>0.37859999999999999</v>
      </c>
      <c r="J4507" s="3">
        <v>2.63E-2</v>
      </c>
      <c r="K4507" s="3">
        <v>0.2402</v>
      </c>
    </row>
    <row r="4508" spans="1:11">
      <c r="A4508" t="s">
        <v>195</v>
      </c>
      <c r="B4508" t="s">
        <v>231</v>
      </c>
      <c r="C4508">
        <v>304</v>
      </c>
      <c r="D4508" t="s">
        <v>194</v>
      </c>
      <c r="E4508">
        <v>2669</v>
      </c>
      <c r="F4508" s="3">
        <v>0.26279999999999998</v>
      </c>
      <c r="G4508" s="3">
        <v>2.0899999999999998E-2</v>
      </c>
      <c r="H4508" s="3">
        <v>6.9500000000000006E-2</v>
      </c>
      <c r="I4508" s="3">
        <v>0.41739999999999999</v>
      </c>
      <c r="K4508" s="3">
        <v>0.22939999999999999</v>
      </c>
    </row>
    <row r="4509" spans="1:11">
      <c r="A4509" t="s">
        <v>195</v>
      </c>
      <c r="B4509" t="s">
        <v>232</v>
      </c>
      <c r="C4509">
        <v>265</v>
      </c>
      <c r="D4509" t="s">
        <v>194</v>
      </c>
      <c r="E4509">
        <v>2669</v>
      </c>
      <c r="F4509" s="3">
        <v>0.24410000000000001</v>
      </c>
      <c r="G4509" s="3">
        <v>4.2500000000000003E-2</v>
      </c>
      <c r="H4509" s="3">
        <v>0.1203</v>
      </c>
      <c r="I4509" s="3">
        <v>0.46439999999999998</v>
      </c>
      <c r="J4509" s="3">
        <v>1.23E-2</v>
      </c>
      <c r="K4509" s="3">
        <v>0.1164</v>
      </c>
    </row>
    <row r="4510" spans="1:11">
      <c r="A4510" t="s">
        <v>199</v>
      </c>
      <c r="B4510" t="s">
        <v>229</v>
      </c>
      <c r="C4510">
        <v>149</v>
      </c>
      <c r="D4510" t="s">
        <v>194</v>
      </c>
      <c r="E4510">
        <v>2669</v>
      </c>
      <c r="F4510" s="3">
        <v>0.14050000000000001</v>
      </c>
      <c r="G4510" s="3">
        <v>3.7000000000000002E-3</v>
      </c>
      <c r="H4510" s="3">
        <v>0.12230000000000001</v>
      </c>
      <c r="I4510" s="3">
        <v>0.5897</v>
      </c>
      <c r="K4510" s="3">
        <v>0.14380000000000001</v>
      </c>
    </row>
    <row r="4511" spans="1:11">
      <c r="A4511" t="s">
        <v>199</v>
      </c>
      <c r="B4511" t="s">
        <v>230</v>
      </c>
      <c r="C4511">
        <v>701</v>
      </c>
      <c r="D4511" t="s">
        <v>194</v>
      </c>
      <c r="E4511">
        <v>2669</v>
      </c>
      <c r="F4511" s="3">
        <v>0.13270000000000001</v>
      </c>
      <c r="G4511" s="3">
        <v>7.6E-3</v>
      </c>
      <c r="H4511" s="3">
        <v>0.108</v>
      </c>
      <c r="I4511" s="3">
        <v>0.54959999999999998</v>
      </c>
      <c r="J4511" s="3">
        <v>1.1000000000000001E-3</v>
      </c>
      <c r="K4511" s="3">
        <v>0.2011</v>
      </c>
    </row>
    <row r="4512" spans="1:11">
      <c r="A4512" t="s">
        <v>199</v>
      </c>
      <c r="B4512" t="s">
        <v>231</v>
      </c>
      <c r="C4512">
        <v>396</v>
      </c>
      <c r="D4512" t="s">
        <v>194</v>
      </c>
      <c r="E4512">
        <v>2669</v>
      </c>
      <c r="F4512" s="3">
        <v>0.17549999999999999</v>
      </c>
      <c r="G4512" s="3">
        <v>3.8600000000000002E-2</v>
      </c>
      <c r="H4512" s="3">
        <v>0.1172</v>
      </c>
      <c r="I4512" s="3">
        <v>0.45850000000000002</v>
      </c>
      <c r="J4512" s="3">
        <v>1.67E-2</v>
      </c>
      <c r="K4512" s="3">
        <v>0.19350000000000001</v>
      </c>
    </row>
    <row r="4513" spans="1:11">
      <c r="A4513" t="s">
        <v>199</v>
      </c>
      <c r="B4513" t="s">
        <v>232</v>
      </c>
      <c r="C4513">
        <v>239</v>
      </c>
      <c r="D4513" t="s">
        <v>194</v>
      </c>
      <c r="E4513">
        <v>2669</v>
      </c>
      <c r="F4513" s="3">
        <v>0.20169999999999999</v>
      </c>
      <c r="G4513" s="3">
        <v>3.0700000000000002E-2</v>
      </c>
      <c r="H4513" s="3">
        <v>7.9799999999999996E-2</v>
      </c>
      <c r="I4513" s="3">
        <v>0.57299999999999995</v>
      </c>
      <c r="K4513" s="3">
        <v>0.1148</v>
      </c>
    </row>
    <row r="4514" spans="1:11">
      <c r="A4514" t="s">
        <v>200</v>
      </c>
      <c r="B4514" t="s">
        <v>200</v>
      </c>
      <c r="C4514">
        <v>2669</v>
      </c>
      <c r="D4514" t="s">
        <v>200</v>
      </c>
      <c r="E4514">
        <v>2669</v>
      </c>
      <c r="F4514" s="3">
        <v>0.1779</v>
      </c>
      <c r="G4514" s="3">
        <v>2.3099999999999999E-2</v>
      </c>
      <c r="H4514" s="3">
        <v>0.1043</v>
      </c>
      <c r="I4514" s="3">
        <v>0.48980000000000001</v>
      </c>
      <c r="J4514" s="3">
        <v>7.7999999999999996E-3</v>
      </c>
      <c r="K4514" s="3">
        <v>0.19719999999999999</v>
      </c>
    </row>
    <row r="4516" spans="1:11" ht="45">
      <c r="A4516" s="22" t="s">
        <v>1108</v>
      </c>
    </row>
    <row r="4517" spans="1:11">
      <c r="A4517" t="s">
        <v>185</v>
      </c>
      <c r="B4517" t="s">
        <v>186</v>
      </c>
      <c r="C4517" t="s">
        <v>192</v>
      </c>
      <c r="D4517" t="s">
        <v>184</v>
      </c>
      <c r="E4517" t="s">
        <v>193</v>
      </c>
      <c r="F4517" t="s">
        <v>1094</v>
      </c>
      <c r="G4517" t="s">
        <v>1095</v>
      </c>
      <c r="H4517" t="s">
        <v>1096</v>
      </c>
      <c r="I4517" t="s">
        <v>1097</v>
      </c>
      <c r="J4517" t="s">
        <v>247</v>
      </c>
      <c r="K4517" t="s">
        <v>1098</v>
      </c>
    </row>
    <row r="4518" spans="1:11">
      <c r="A4518" t="s">
        <v>195</v>
      </c>
      <c r="B4518" t="s">
        <v>196</v>
      </c>
      <c r="C4518">
        <v>412</v>
      </c>
      <c r="D4518" t="s">
        <v>194</v>
      </c>
      <c r="E4518">
        <v>2669</v>
      </c>
      <c r="F4518" s="3">
        <v>0.1956</v>
      </c>
      <c r="G4518" s="3">
        <v>2.2100000000000002E-2</v>
      </c>
      <c r="H4518" s="3">
        <v>9.2200000000000004E-2</v>
      </c>
      <c r="I4518" s="3">
        <v>0.4556</v>
      </c>
      <c r="J4518" s="3">
        <v>1.9699999999999999E-2</v>
      </c>
      <c r="K4518" s="3">
        <v>0.21479999999999999</v>
      </c>
    </row>
    <row r="4519" spans="1:11">
      <c r="A4519" t="s">
        <v>195</v>
      </c>
      <c r="B4519" t="s">
        <v>198</v>
      </c>
      <c r="C4519">
        <v>751</v>
      </c>
      <c r="D4519" t="s">
        <v>194</v>
      </c>
      <c r="E4519">
        <v>2669</v>
      </c>
      <c r="F4519" s="3">
        <v>0.21049999999999999</v>
      </c>
      <c r="G4519" s="3">
        <v>3.4599999999999999E-2</v>
      </c>
      <c r="H4519" s="3">
        <v>0.1037</v>
      </c>
      <c r="I4519" s="3">
        <v>0.4108</v>
      </c>
      <c r="J4519" s="3">
        <v>1.0699999999999999E-2</v>
      </c>
      <c r="K4519" s="3">
        <v>0.22969999999999999</v>
      </c>
    </row>
    <row r="4520" spans="1:11">
      <c r="A4520" t="s">
        <v>199</v>
      </c>
      <c r="B4520" t="s">
        <v>196</v>
      </c>
      <c r="C4520">
        <v>524</v>
      </c>
      <c r="D4520" t="s">
        <v>194</v>
      </c>
      <c r="E4520">
        <v>2669</v>
      </c>
      <c r="F4520" s="3">
        <v>0.11799999999999999</v>
      </c>
      <c r="G4520" s="3">
        <v>1.06E-2</v>
      </c>
      <c r="H4520" s="3">
        <v>0.1038</v>
      </c>
      <c r="I4520" s="3">
        <v>0.65669999999999995</v>
      </c>
      <c r="J4520" s="3">
        <v>5.9999999999999995E-4</v>
      </c>
      <c r="K4520" s="3">
        <v>0.1103</v>
      </c>
    </row>
    <row r="4521" spans="1:11">
      <c r="A4521" t="s">
        <v>199</v>
      </c>
      <c r="B4521" t="s">
        <v>198</v>
      </c>
      <c r="C4521">
        <v>943</v>
      </c>
      <c r="D4521" t="s">
        <v>194</v>
      </c>
      <c r="E4521">
        <v>2669</v>
      </c>
      <c r="F4521" s="3">
        <v>0.1615</v>
      </c>
      <c r="G4521" s="3">
        <v>1.7500000000000002E-2</v>
      </c>
      <c r="H4521" s="3">
        <v>0.1082</v>
      </c>
      <c r="I4521" s="3">
        <v>0.51870000000000005</v>
      </c>
      <c r="J4521" s="3">
        <v>4.3E-3</v>
      </c>
      <c r="K4521" s="3">
        <v>0.18970000000000001</v>
      </c>
    </row>
    <row r="4522" spans="1:11">
      <c r="A4522" t="s">
        <v>200</v>
      </c>
      <c r="B4522" t="s">
        <v>200</v>
      </c>
      <c r="C4522">
        <v>2669</v>
      </c>
      <c r="D4522" t="s">
        <v>200</v>
      </c>
      <c r="E4522">
        <v>2669</v>
      </c>
      <c r="F4522" s="3">
        <v>0.1779</v>
      </c>
      <c r="G4522" s="3">
        <v>2.3099999999999999E-2</v>
      </c>
      <c r="H4522" s="3">
        <v>0.1043</v>
      </c>
      <c r="I4522" s="3">
        <v>0.48980000000000001</v>
      </c>
      <c r="J4522" s="3">
        <v>7.7999999999999996E-3</v>
      </c>
      <c r="K4522" s="3">
        <v>0.19719999999999999</v>
      </c>
    </row>
    <row r="4524" spans="1:11" ht="45">
      <c r="A4524" s="22" t="s">
        <v>1109</v>
      </c>
    </row>
    <row r="4525" spans="1:11">
      <c r="A4525" t="s">
        <v>185</v>
      </c>
      <c r="B4525" t="s">
        <v>186</v>
      </c>
      <c r="C4525" t="s">
        <v>192</v>
      </c>
      <c r="D4525" t="s">
        <v>184</v>
      </c>
      <c r="E4525" t="s">
        <v>193</v>
      </c>
      <c r="F4525" t="s">
        <v>1094</v>
      </c>
      <c r="G4525" t="s">
        <v>1095</v>
      </c>
      <c r="H4525" t="s">
        <v>1096</v>
      </c>
      <c r="I4525" t="s">
        <v>1097</v>
      </c>
      <c r="J4525" t="s">
        <v>247</v>
      </c>
      <c r="K4525" t="s">
        <v>1098</v>
      </c>
    </row>
    <row r="4526" spans="1:11">
      <c r="A4526" t="s">
        <v>195</v>
      </c>
      <c r="B4526" t="s">
        <v>202</v>
      </c>
      <c r="C4526">
        <v>530</v>
      </c>
      <c r="D4526" t="s">
        <v>194</v>
      </c>
      <c r="E4526">
        <v>2669</v>
      </c>
      <c r="F4526" s="3">
        <v>0.1847</v>
      </c>
      <c r="G4526" s="3">
        <v>2.58E-2</v>
      </c>
      <c r="H4526" s="3">
        <v>0.1099</v>
      </c>
      <c r="I4526" s="3">
        <v>0.48330000000000001</v>
      </c>
      <c r="J4526" s="3">
        <v>1.21E-2</v>
      </c>
      <c r="K4526" s="3">
        <v>0.18410000000000001</v>
      </c>
    </row>
    <row r="4527" spans="1:11">
      <c r="A4527" t="s">
        <v>195</v>
      </c>
      <c r="B4527" t="s">
        <v>204</v>
      </c>
      <c r="C4527">
        <v>300</v>
      </c>
      <c r="D4527" t="s">
        <v>194</v>
      </c>
      <c r="E4527">
        <v>2669</v>
      </c>
      <c r="F4527" s="3">
        <v>0.18529999999999999</v>
      </c>
      <c r="G4527" s="3">
        <v>3.0300000000000001E-2</v>
      </c>
      <c r="H4527" s="3">
        <v>7.8299999999999995E-2</v>
      </c>
      <c r="I4527" s="3">
        <v>0.37790000000000001</v>
      </c>
      <c r="J4527" s="3">
        <v>2.2499999999999999E-2</v>
      </c>
      <c r="K4527" s="3">
        <v>0.30570000000000003</v>
      </c>
    </row>
    <row r="4528" spans="1:11">
      <c r="A4528" t="s">
        <v>195</v>
      </c>
      <c r="B4528" t="s">
        <v>205</v>
      </c>
      <c r="C4528">
        <v>333</v>
      </c>
      <c r="D4528" t="s">
        <v>194</v>
      </c>
      <c r="E4528">
        <v>2669</v>
      </c>
      <c r="F4528" s="3">
        <v>0.34420000000000001</v>
      </c>
      <c r="G4528" s="3">
        <v>5.8599999999999999E-2</v>
      </c>
      <c r="H4528" s="3">
        <v>9.1899999999999996E-2</v>
      </c>
      <c r="I4528" s="3">
        <v>0.20549999999999999</v>
      </c>
      <c r="J4528" s="3">
        <v>2.8999999999999998E-3</v>
      </c>
      <c r="K4528" s="3">
        <v>0.29709999999999998</v>
      </c>
    </row>
    <row r="4529" spans="1:11">
      <c r="A4529" t="s">
        <v>199</v>
      </c>
      <c r="B4529" t="s">
        <v>202</v>
      </c>
      <c r="C4529">
        <v>536</v>
      </c>
      <c r="D4529" t="s">
        <v>194</v>
      </c>
      <c r="E4529">
        <v>2669</v>
      </c>
      <c r="F4529" s="3">
        <v>8.2699999999999996E-2</v>
      </c>
      <c r="G4529" s="3">
        <v>1.9E-2</v>
      </c>
      <c r="H4529" s="3">
        <v>9.5399999999999999E-2</v>
      </c>
      <c r="I4529" s="3">
        <v>0.68759999999999999</v>
      </c>
      <c r="J4529" s="3">
        <v>4.3E-3</v>
      </c>
      <c r="K4529" s="3">
        <v>0.111</v>
      </c>
    </row>
    <row r="4530" spans="1:11">
      <c r="A4530" t="s">
        <v>199</v>
      </c>
      <c r="B4530" t="s">
        <v>204</v>
      </c>
      <c r="C4530">
        <v>426</v>
      </c>
      <c r="D4530" t="s">
        <v>194</v>
      </c>
      <c r="E4530">
        <v>2669</v>
      </c>
      <c r="F4530" s="3">
        <v>0.17449999999999999</v>
      </c>
      <c r="G4530" s="3">
        <v>1.38E-2</v>
      </c>
      <c r="H4530" s="3">
        <v>0.1636</v>
      </c>
      <c r="I4530" s="3">
        <v>0.42249999999999999</v>
      </c>
      <c r="K4530" s="3">
        <v>0.22550000000000001</v>
      </c>
    </row>
    <row r="4531" spans="1:11">
      <c r="A4531" t="s">
        <v>199</v>
      </c>
      <c r="B4531" t="s">
        <v>205</v>
      </c>
      <c r="C4531">
        <v>505</v>
      </c>
      <c r="D4531" t="s">
        <v>194</v>
      </c>
      <c r="E4531">
        <v>2669</v>
      </c>
      <c r="F4531" s="3">
        <v>0.3957</v>
      </c>
      <c r="G4531" s="3">
        <v>8.8000000000000005E-3</v>
      </c>
      <c r="H4531" s="3">
        <v>8.8099999999999998E-2</v>
      </c>
      <c r="I4531" s="3">
        <v>0.14449999999999999</v>
      </c>
      <c r="J4531" s="3">
        <v>5.3E-3</v>
      </c>
      <c r="K4531" s="3">
        <v>0.35780000000000001</v>
      </c>
    </row>
    <row r="4532" spans="1:11">
      <c r="A4532" t="s">
        <v>200</v>
      </c>
      <c r="B4532" t="s">
        <v>200</v>
      </c>
      <c r="C4532">
        <v>2669</v>
      </c>
      <c r="D4532" t="s">
        <v>200</v>
      </c>
      <c r="E4532">
        <v>2669</v>
      </c>
      <c r="F4532" s="3">
        <v>0.1779</v>
      </c>
      <c r="G4532" s="3">
        <v>2.3099999999999999E-2</v>
      </c>
      <c r="H4532" s="3">
        <v>0.1043</v>
      </c>
      <c r="I4532" s="3">
        <v>0.48980000000000001</v>
      </c>
      <c r="J4532" s="3">
        <v>7.7999999999999996E-3</v>
      </c>
      <c r="K4532" s="3">
        <v>0.19719999999999999</v>
      </c>
    </row>
    <row r="4534" spans="1:11" ht="45">
      <c r="A4534" s="22" t="s">
        <v>1110</v>
      </c>
    </row>
    <row r="4535" spans="1:11">
      <c r="A4535" t="s">
        <v>185</v>
      </c>
      <c r="B4535" t="s">
        <v>186</v>
      </c>
      <c r="C4535" t="s">
        <v>192</v>
      </c>
      <c r="D4535" t="s">
        <v>184</v>
      </c>
      <c r="E4535" t="s">
        <v>193</v>
      </c>
      <c r="F4535" t="s">
        <v>1094</v>
      </c>
      <c r="G4535" t="s">
        <v>1095</v>
      </c>
      <c r="H4535" t="s">
        <v>1096</v>
      </c>
      <c r="I4535" t="s">
        <v>1097</v>
      </c>
      <c r="J4535" t="s">
        <v>247</v>
      </c>
      <c r="K4535" t="s">
        <v>1098</v>
      </c>
    </row>
    <row r="4536" spans="1:11">
      <c r="A4536" t="s">
        <v>195</v>
      </c>
      <c r="B4536" t="s">
        <v>207</v>
      </c>
      <c r="C4536">
        <v>321</v>
      </c>
      <c r="D4536" t="s">
        <v>194</v>
      </c>
      <c r="E4536">
        <v>2669</v>
      </c>
      <c r="F4536" s="3">
        <v>0.30309999999999998</v>
      </c>
      <c r="G4536" s="3">
        <v>3.9300000000000002E-2</v>
      </c>
      <c r="H4536" s="3">
        <v>9.6299999999999997E-2</v>
      </c>
      <c r="I4536" s="3">
        <v>0.39750000000000002</v>
      </c>
      <c r="J4536" s="3">
        <v>9.9000000000000008E-3</v>
      </c>
      <c r="K4536" s="3">
        <v>0.15379999999999999</v>
      </c>
    </row>
    <row r="4537" spans="1:11">
      <c r="A4537" t="s">
        <v>195</v>
      </c>
      <c r="B4537" t="s">
        <v>209</v>
      </c>
      <c r="C4537">
        <v>863</v>
      </c>
      <c r="D4537" t="s">
        <v>194</v>
      </c>
      <c r="E4537">
        <v>2669</v>
      </c>
      <c r="F4537" s="3">
        <v>0.17549999999999999</v>
      </c>
      <c r="G4537" s="3">
        <v>2.86E-2</v>
      </c>
      <c r="H4537" s="3">
        <v>0.10150000000000001</v>
      </c>
      <c r="I4537" s="3">
        <v>0.4304</v>
      </c>
      <c r="J4537" s="3">
        <v>1.41E-2</v>
      </c>
      <c r="K4537" s="3">
        <v>0.24990000000000001</v>
      </c>
    </row>
    <row r="4538" spans="1:11">
      <c r="A4538" t="s">
        <v>199</v>
      </c>
      <c r="B4538" t="s">
        <v>207</v>
      </c>
      <c r="C4538">
        <v>282</v>
      </c>
      <c r="D4538" t="s">
        <v>194</v>
      </c>
      <c r="E4538">
        <v>2669</v>
      </c>
      <c r="F4538" s="3">
        <v>0.21679999999999999</v>
      </c>
      <c r="G4538" s="3">
        <v>5.0700000000000002E-2</v>
      </c>
      <c r="H4538" s="3">
        <v>5.0900000000000001E-2</v>
      </c>
      <c r="I4538" s="3">
        <v>0.53249999999999997</v>
      </c>
      <c r="J4538" s="3">
        <v>2E-3</v>
      </c>
      <c r="K4538" s="3">
        <v>0.1472</v>
      </c>
    </row>
    <row r="4539" spans="1:11">
      <c r="A4539" t="s">
        <v>199</v>
      </c>
      <c r="B4539" t="s">
        <v>209</v>
      </c>
      <c r="C4539">
        <v>1203</v>
      </c>
      <c r="D4539" t="s">
        <v>194</v>
      </c>
      <c r="E4539">
        <v>2669</v>
      </c>
      <c r="F4539" s="3">
        <v>0.14480000000000001</v>
      </c>
      <c r="G4539" s="3">
        <v>1.17E-2</v>
      </c>
      <c r="H4539" s="3">
        <v>0.1154</v>
      </c>
      <c r="I4539" s="3">
        <v>0.5454</v>
      </c>
      <c r="J4539" s="3">
        <v>3.8E-3</v>
      </c>
      <c r="K4539" s="3">
        <v>0.1789</v>
      </c>
    </row>
    <row r="4540" spans="1:11">
      <c r="A4540" t="s">
        <v>200</v>
      </c>
      <c r="B4540" t="s">
        <v>200</v>
      </c>
      <c r="C4540">
        <v>2669</v>
      </c>
      <c r="D4540" t="s">
        <v>200</v>
      </c>
      <c r="E4540">
        <v>2669</v>
      </c>
      <c r="F4540" s="3">
        <v>0.1779</v>
      </c>
      <c r="G4540" s="3">
        <v>2.3099999999999999E-2</v>
      </c>
      <c r="H4540" s="3">
        <v>0.1043</v>
      </c>
      <c r="I4540" s="3">
        <v>0.48980000000000001</v>
      </c>
      <c r="J4540" s="3">
        <v>7.7999999999999996E-3</v>
      </c>
      <c r="K4540" s="3">
        <v>0.19719999999999999</v>
      </c>
    </row>
    <row r="4542" spans="1:11" ht="45">
      <c r="A4542" s="22" t="s">
        <v>1111</v>
      </c>
    </row>
    <row r="4543" spans="1:11">
      <c r="A4543" t="s">
        <v>185</v>
      </c>
      <c r="B4543" t="s">
        <v>192</v>
      </c>
      <c r="C4543" t="s">
        <v>184</v>
      </c>
      <c r="D4543" t="s">
        <v>193</v>
      </c>
      <c r="E4543" t="s">
        <v>1094</v>
      </c>
      <c r="F4543" t="s">
        <v>1095</v>
      </c>
      <c r="G4543" t="s">
        <v>1096</v>
      </c>
      <c r="H4543" t="s">
        <v>1097</v>
      </c>
      <c r="I4543" t="s">
        <v>247</v>
      </c>
      <c r="J4543" t="s">
        <v>1098</v>
      </c>
    </row>
    <row r="4544" spans="1:11">
      <c r="A4544" t="s">
        <v>195</v>
      </c>
      <c r="B4544">
        <v>1184</v>
      </c>
      <c r="C4544" t="s">
        <v>194</v>
      </c>
      <c r="D4544">
        <v>2669</v>
      </c>
      <c r="E4544" s="3">
        <v>0.20849999999999999</v>
      </c>
      <c r="F4544" s="3">
        <v>3.1399999999999997E-2</v>
      </c>
      <c r="G4544" s="3">
        <v>0.1002</v>
      </c>
      <c r="H4544" s="3">
        <v>0.4219</v>
      </c>
      <c r="I4544" s="3">
        <v>1.2999999999999999E-2</v>
      </c>
      <c r="J4544" s="3">
        <v>0.22509999999999999</v>
      </c>
    </row>
    <row r="4545" spans="1:11">
      <c r="A4545" t="s">
        <v>199</v>
      </c>
      <c r="B4545">
        <v>1485</v>
      </c>
      <c r="C4545" t="s">
        <v>194</v>
      </c>
      <c r="D4545">
        <v>2669</v>
      </c>
      <c r="E4545" s="3">
        <v>0.15359999999999999</v>
      </c>
      <c r="F4545" s="3">
        <v>1.6500000000000001E-2</v>
      </c>
      <c r="G4545" s="3">
        <v>0.1075</v>
      </c>
      <c r="H4545" s="3">
        <v>0.54379999999999995</v>
      </c>
      <c r="I4545" s="3">
        <v>3.5999999999999999E-3</v>
      </c>
      <c r="J4545" s="3">
        <v>0.17499999999999999</v>
      </c>
    </row>
    <row r="4546" spans="1:11">
      <c r="A4546" t="s">
        <v>200</v>
      </c>
      <c r="B4546">
        <v>2669</v>
      </c>
      <c r="C4546" t="s">
        <v>200</v>
      </c>
      <c r="D4546">
        <v>2669</v>
      </c>
      <c r="E4546" s="3">
        <v>0.1779</v>
      </c>
      <c r="F4546" s="3">
        <v>2.3099999999999999E-2</v>
      </c>
      <c r="G4546" s="3">
        <v>0.1043</v>
      </c>
      <c r="H4546" s="3">
        <v>0.48980000000000001</v>
      </c>
      <c r="I4546" s="3">
        <v>7.7999999999999996E-3</v>
      </c>
      <c r="J4546" s="3">
        <v>0.19719999999999999</v>
      </c>
    </row>
    <row r="4548" spans="1:11" ht="45">
      <c r="A4548" s="22" t="s">
        <v>1112</v>
      </c>
    </row>
    <row r="4549" spans="1:11">
      <c r="A4549" t="s">
        <v>185</v>
      </c>
      <c r="B4549" t="s">
        <v>186</v>
      </c>
      <c r="C4549" t="s">
        <v>192</v>
      </c>
      <c r="D4549" t="s">
        <v>184</v>
      </c>
      <c r="E4549" t="s">
        <v>193</v>
      </c>
      <c r="F4549" t="s">
        <v>1094</v>
      </c>
      <c r="G4549" t="s">
        <v>1095</v>
      </c>
      <c r="H4549" t="s">
        <v>1096</v>
      </c>
      <c r="I4549" t="s">
        <v>1097</v>
      </c>
      <c r="J4549" t="s">
        <v>247</v>
      </c>
      <c r="K4549" t="s">
        <v>1098</v>
      </c>
    </row>
    <row r="4550" spans="1:11">
      <c r="A4550" t="s">
        <v>195</v>
      </c>
      <c r="B4550" t="s">
        <v>212</v>
      </c>
      <c r="C4550">
        <v>868</v>
      </c>
      <c r="D4550" t="s">
        <v>194</v>
      </c>
      <c r="E4550">
        <v>2669</v>
      </c>
      <c r="F4550" s="3">
        <v>0.2094</v>
      </c>
      <c r="G4550" s="3">
        <v>2.76E-2</v>
      </c>
      <c r="H4550" s="3">
        <v>9.3600000000000003E-2</v>
      </c>
      <c r="I4550" s="3">
        <v>0.41260000000000002</v>
      </c>
      <c r="J4550" s="3">
        <v>1.7299999999999999E-2</v>
      </c>
      <c r="K4550" s="3">
        <v>0.23949999999999999</v>
      </c>
    </row>
    <row r="4551" spans="1:11">
      <c r="A4551" t="s">
        <v>195</v>
      </c>
      <c r="B4551" t="s">
        <v>214</v>
      </c>
      <c r="C4551">
        <v>181</v>
      </c>
      <c r="D4551" t="s">
        <v>194</v>
      </c>
      <c r="E4551">
        <v>2669</v>
      </c>
      <c r="F4551" s="3">
        <v>0.2059</v>
      </c>
      <c r="G4551" s="3">
        <v>4.4499999999999998E-2</v>
      </c>
      <c r="H4551" s="3">
        <v>0.1135</v>
      </c>
      <c r="I4551" s="3">
        <v>0.44869999999999999</v>
      </c>
      <c r="J4551" s="3">
        <v>4.0000000000000002E-4</v>
      </c>
      <c r="K4551" s="3">
        <v>0.187</v>
      </c>
    </row>
    <row r="4552" spans="1:11">
      <c r="A4552" t="s">
        <v>195</v>
      </c>
      <c r="B4552" t="s">
        <v>215</v>
      </c>
      <c r="C4552">
        <v>135</v>
      </c>
      <c r="D4552" t="s">
        <v>194</v>
      </c>
      <c r="E4552">
        <v>2669</v>
      </c>
      <c r="F4552" s="3">
        <v>0.2056</v>
      </c>
      <c r="G4552" s="3">
        <v>3.9399999999999998E-2</v>
      </c>
      <c r="H4552" s="3">
        <v>0.13189999999999999</v>
      </c>
      <c r="I4552" s="3">
        <v>0.4516</v>
      </c>
      <c r="K4552" s="3">
        <v>0.17150000000000001</v>
      </c>
    </row>
    <row r="4553" spans="1:11">
      <c r="A4553" t="s">
        <v>199</v>
      </c>
      <c r="B4553" t="s">
        <v>212</v>
      </c>
      <c r="C4553">
        <v>1116</v>
      </c>
      <c r="D4553" t="s">
        <v>194</v>
      </c>
      <c r="E4553">
        <v>2669</v>
      </c>
      <c r="F4553" s="3">
        <v>0.1502</v>
      </c>
      <c r="G4553" s="3">
        <v>1.2200000000000001E-2</v>
      </c>
      <c r="H4553" s="3">
        <v>0.1168</v>
      </c>
      <c r="I4553" s="3">
        <v>0.54830000000000001</v>
      </c>
      <c r="J4553" s="3">
        <v>4.7000000000000002E-3</v>
      </c>
      <c r="K4553" s="3">
        <v>0.1678</v>
      </c>
    </row>
    <row r="4554" spans="1:11">
      <c r="A4554" t="s">
        <v>199</v>
      </c>
      <c r="B4554" t="s">
        <v>214</v>
      </c>
      <c r="C4554">
        <v>196</v>
      </c>
      <c r="D4554" t="s">
        <v>194</v>
      </c>
      <c r="E4554">
        <v>2669</v>
      </c>
      <c r="F4554" s="3">
        <v>0.15859999999999999</v>
      </c>
      <c r="G4554" s="3">
        <v>4.3700000000000003E-2</v>
      </c>
      <c r="H4554" s="3">
        <v>8.5900000000000004E-2</v>
      </c>
      <c r="I4554" s="3">
        <v>0.49359999999999998</v>
      </c>
      <c r="K4554" s="3">
        <v>0.21809999999999999</v>
      </c>
    </row>
    <row r="4555" spans="1:11">
      <c r="A4555" t="s">
        <v>199</v>
      </c>
      <c r="B4555" t="s">
        <v>215</v>
      </c>
      <c r="C4555">
        <v>173</v>
      </c>
      <c r="D4555" t="s">
        <v>194</v>
      </c>
      <c r="E4555">
        <v>2669</v>
      </c>
      <c r="F4555" s="3">
        <v>0.17499999999999999</v>
      </c>
      <c r="G4555" s="3">
        <v>6.8999999999999999E-3</v>
      </c>
      <c r="H4555" s="3">
        <v>6.2E-2</v>
      </c>
      <c r="I4555" s="3">
        <v>0.59299999999999997</v>
      </c>
      <c r="K4555" s="3">
        <v>0.16320000000000001</v>
      </c>
    </row>
    <row r="4556" spans="1:11">
      <c r="A4556" t="s">
        <v>200</v>
      </c>
      <c r="B4556" t="s">
        <v>200</v>
      </c>
      <c r="C4556">
        <v>2669</v>
      </c>
      <c r="D4556" t="s">
        <v>200</v>
      </c>
      <c r="E4556">
        <v>2669</v>
      </c>
      <c r="F4556" s="3">
        <v>0.1779</v>
      </c>
      <c r="G4556" s="3">
        <v>2.3099999999999999E-2</v>
      </c>
      <c r="H4556" s="3">
        <v>0.1043</v>
      </c>
      <c r="I4556" s="3">
        <v>0.48980000000000001</v>
      </c>
      <c r="J4556" s="3">
        <v>7.7999999999999996E-3</v>
      </c>
      <c r="K4556" s="3">
        <v>0.19719999999999999</v>
      </c>
    </row>
    <row r="4558" spans="1:11" ht="45">
      <c r="A4558" s="22" t="s">
        <v>1113</v>
      </c>
    </row>
    <row r="4559" spans="1:11">
      <c r="A4559" t="s">
        <v>185</v>
      </c>
      <c r="B4559" t="s">
        <v>186</v>
      </c>
      <c r="C4559" t="s">
        <v>192</v>
      </c>
      <c r="D4559" t="s">
        <v>184</v>
      </c>
      <c r="E4559" t="s">
        <v>193</v>
      </c>
      <c r="F4559" t="s">
        <v>1094</v>
      </c>
      <c r="G4559" t="s">
        <v>1095</v>
      </c>
      <c r="H4559" t="s">
        <v>1096</v>
      </c>
      <c r="I4559" t="s">
        <v>1097</v>
      </c>
      <c r="J4559" t="s">
        <v>247</v>
      </c>
      <c r="K4559" t="s">
        <v>1098</v>
      </c>
    </row>
    <row r="4560" spans="1:11">
      <c r="A4560" t="s">
        <v>195</v>
      </c>
      <c r="B4560" t="s">
        <v>217</v>
      </c>
      <c r="C4560">
        <v>497</v>
      </c>
      <c r="D4560" t="s">
        <v>194</v>
      </c>
      <c r="E4560">
        <v>2669</v>
      </c>
      <c r="F4560" s="3">
        <v>0.21129999999999999</v>
      </c>
      <c r="G4560" s="3">
        <v>2.98E-2</v>
      </c>
      <c r="H4560" s="3">
        <v>7.7200000000000005E-2</v>
      </c>
      <c r="I4560" s="3">
        <v>0.41170000000000001</v>
      </c>
      <c r="J4560" s="3">
        <v>8.0000000000000004E-4</v>
      </c>
      <c r="K4560" s="3">
        <v>0.26919999999999999</v>
      </c>
    </row>
    <row r="4561" spans="1:21">
      <c r="A4561" t="s">
        <v>195</v>
      </c>
      <c r="B4561" t="s">
        <v>219</v>
      </c>
      <c r="C4561">
        <v>505</v>
      </c>
      <c r="D4561" t="s">
        <v>194</v>
      </c>
      <c r="E4561">
        <v>2669</v>
      </c>
      <c r="F4561" s="3">
        <v>0.19500000000000001</v>
      </c>
      <c r="G4561" s="3">
        <v>4.5199999999999997E-2</v>
      </c>
      <c r="H4561" s="3">
        <v>0.13489999999999999</v>
      </c>
      <c r="I4561" s="3">
        <v>0.47070000000000001</v>
      </c>
      <c r="J4561" s="3">
        <v>1.5900000000000001E-2</v>
      </c>
      <c r="K4561" s="3">
        <v>0.13830000000000001</v>
      </c>
    </row>
    <row r="4562" spans="1:21">
      <c r="A4562" t="s">
        <v>195</v>
      </c>
      <c r="B4562" t="s">
        <v>220</v>
      </c>
      <c r="C4562">
        <v>181</v>
      </c>
      <c r="D4562" t="s">
        <v>194</v>
      </c>
      <c r="E4562">
        <v>2669</v>
      </c>
      <c r="F4562" s="3">
        <v>0.23019999999999999</v>
      </c>
      <c r="G4562" s="3">
        <v>6.1000000000000004E-3</v>
      </c>
      <c r="H4562" s="3">
        <v>7.9000000000000001E-2</v>
      </c>
      <c r="I4562" s="3">
        <v>0.34289999999999998</v>
      </c>
      <c r="J4562" s="3">
        <v>3.44E-2</v>
      </c>
      <c r="K4562" s="3">
        <v>0.30740000000000001</v>
      </c>
    </row>
    <row r="4563" spans="1:21">
      <c r="A4563" t="s">
        <v>199</v>
      </c>
      <c r="B4563" t="s">
        <v>217</v>
      </c>
      <c r="C4563">
        <v>814</v>
      </c>
      <c r="D4563" t="s">
        <v>194</v>
      </c>
      <c r="E4563">
        <v>2669</v>
      </c>
      <c r="F4563" s="3">
        <v>0.13780000000000001</v>
      </c>
      <c r="G4563" s="3">
        <v>1.2200000000000001E-2</v>
      </c>
      <c r="H4563" s="3">
        <v>0.1154</v>
      </c>
      <c r="I4563" s="3">
        <v>0.54930000000000001</v>
      </c>
      <c r="J4563" s="3">
        <v>1.5E-3</v>
      </c>
      <c r="K4563" s="3">
        <v>0.18379999999999999</v>
      </c>
    </row>
    <row r="4564" spans="1:21">
      <c r="A4564" t="s">
        <v>199</v>
      </c>
      <c r="B4564" t="s">
        <v>219</v>
      </c>
      <c r="C4564">
        <v>449</v>
      </c>
      <c r="D4564" t="s">
        <v>194</v>
      </c>
      <c r="E4564">
        <v>2669</v>
      </c>
      <c r="F4564" s="3">
        <v>0.19989999999999999</v>
      </c>
      <c r="G4564" s="3">
        <v>2.8199999999999999E-2</v>
      </c>
      <c r="H4564" s="3">
        <v>7.4800000000000005E-2</v>
      </c>
      <c r="I4564" s="3">
        <v>0.53149999999999997</v>
      </c>
      <c r="J4564" s="3">
        <v>1E-3</v>
      </c>
      <c r="K4564" s="3">
        <v>0.16470000000000001</v>
      </c>
    </row>
    <row r="4565" spans="1:21">
      <c r="A4565" t="s">
        <v>199</v>
      </c>
      <c r="B4565" t="s">
        <v>220</v>
      </c>
      <c r="C4565">
        <v>222</v>
      </c>
      <c r="D4565" t="s">
        <v>194</v>
      </c>
      <c r="E4565">
        <v>2669</v>
      </c>
      <c r="F4565" s="3">
        <v>0.14119999999999999</v>
      </c>
      <c r="G4565" s="3">
        <v>1.43E-2</v>
      </c>
      <c r="H4565" s="3">
        <v>0.12870000000000001</v>
      </c>
      <c r="I4565" s="3">
        <v>0.54210000000000003</v>
      </c>
      <c r="J4565" s="3">
        <v>1.5800000000000002E-2</v>
      </c>
      <c r="K4565" s="3">
        <v>0.15790000000000001</v>
      </c>
    </row>
    <row r="4566" spans="1:21">
      <c r="A4566" t="s">
        <v>200</v>
      </c>
      <c r="B4566" t="s">
        <v>200</v>
      </c>
      <c r="C4566">
        <v>2669</v>
      </c>
      <c r="D4566" t="s">
        <v>200</v>
      </c>
      <c r="E4566">
        <v>2669</v>
      </c>
      <c r="F4566" s="3">
        <v>0.1779</v>
      </c>
      <c r="G4566" s="3">
        <v>2.3099999999999999E-2</v>
      </c>
      <c r="H4566" s="3">
        <v>0.1043</v>
      </c>
      <c r="I4566" s="3">
        <v>0.48980000000000001</v>
      </c>
      <c r="J4566" s="3">
        <v>7.7999999999999996E-3</v>
      </c>
      <c r="K4566" s="3">
        <v>0.19719999999999999</v>
      </c>
    </row>
    <row r="4568" spans="1:21" ht="45">
      <c r="A4568" s="22" t="s">
        <v>1114</v>
      </c>
    </row>
    <row r="4569" spans="1:21">
      <c r="A4569" t="s">
        <v>185</v>
      </c>
      <c r="B4569" t="s">
        <v>186</v>
      </c>
      <c r="C4569" t="s">
        <v>192</v>
      </c>
      <c r="D4569" t="s">
        <v>184</v>
      </c>
      <c r="E4569" t="s">
        <v>193</v>
      </c>
      <c r="F4569" t="s">
        <v>1051</v>
      </c>
      <c r="G4569" t="s">
        <v>1115</v>
      </c>
      <c r="H4569" t="s">
        <v>1053</v>
      </c>
      <c r="I4569" t="s">
        <v>257</v>
      </c>
      <c r="J4569" t="s">
        <v>1055</v>
      </c>
      <c r="K4569" t="s">
        <v>329</v>
      </c>
      <c r="L4569" t="s">
        <v>274</v>
      </c>
      <c r="M4569" t="s">
        <v>247</v>
      </c>
      <c r="N4569" t="s">
        <v>1057</v>
      </c>
      <c r="O4569" t="s">
        <v>1058</v>
      </c>
      <c r="P4569" t="s">
        <v>1059</v>
      </c>
      <c r="Q4569" t="s">
        <v>1060</v>
      </c>
      <c r="R4569" t="s">
        <v>1061</v>
      </c>
      <c r="S4569" t="s">
        <v>1062</v>
      </c>
      <c r="T4569" t="s">
        <v>1064</v>
      </c>
      <c r="U4569" t="s">
        <v>1065</v>
      </c>
    </row>
    <row r="4570" spans="1:21">
      <c r="A4570" t="s">
        <v>195</v>
      </c>
      <c r="B4570" t="s">
        <v>222</v>
      </c>
      <c r="C4570">
        <v>248</v>
      </c>
      <c r="D4570" t="s">
        <v>194</v>
      </c>
      <c r="E4570">
        <v>2674</v>
      </c>
      <c r="F4570" s="3">
        <v>5.0000000000000001E-4</v>
      </c>
      <c r="G4570" s="3">
        <v>2E-3</v>
      </c>
      <c r="H4570" s="3">
        <v>2.0299999999999999E-2</v>
      </c>
      <c r="I4570" s="3">
        <v>0.1792</v>
      </c>
      <c r="K4570" s="3">
        <v>0.34189999999999998</v>
      </c>
      <c r="L4570" s="3">
        <v>3.5000000000000001E-3</v>
      </c>
      <c r="M4570" s="3">
        <v>2.9999999999999997E-4</v>
      </c>
      <c r="N4570" s="3">
        <v>6.7000000000000002E-3</v>
      </c>
      <c r="O4570" s="3">
        <v>4.4299999999999999E-2</v>
      </c>
      <c r="P4570" s="3">
        <v>3.0099999999999998E-2</v>
      </c>
      <c r="Q4570" s="3">
        <v>1.26E-2</v>
      </c>
      <c r="R4570" s="3">
        <v>1.9E-3</v>
      </c>
      <c r="S4570" s="3">
        <v>1.66E-2</v>
      </c>
      <c r="T4570" s="3">
        <v>0.40089999999999998</v>
      </c>
      <c r="U4570" s="3">
        <v>0.36049999999999999</v>
      </c>
    </row>
    <row r="4571" spans="1:21">
      <c r="A4571" t="s">
        <v>195</v>
      </c>
      <c r="B4571" t="s">
        <v>224</v>
      </c>
      <c r="C4571">
        <v>938</v>
      </c>
      <c r="D4571" t="s">
        <v>194</v>
      </c>
      <c r="E4571">
        <v>2674</v>
      </c>
      <c r="F4571" s="3">
        <v>4.1999999999999997E-3</v>
      </c>
      <c r="G4571" s="3">
        <v>2.7799999999999998E-2</v>
      </c>
      <c r="H4571" s="3">
        <v>1.9E-3</v>
      </c>
      <c r="I4571" s="3">
        <v>7.3499999999999996E-2</v>
      </c>
      <c r="J4571" s="3">
        <v>1.6000000000000001E-3</v>
      </c>
      <c r="K4571" s="3">
        <v>0.3342</v>
      </c>
      <c r="L4571" s="3">
        <v>9.5999999999999992E-3</v>
      </c>
      <c r="M4571" s="3">
        <v>8.6E-3</v>
      </c>
      <c r="N4571" s="3">
        <v>5.5999999999999999E-3</v>
      </c>
      <c r="O4571" s="3">
        <v>2.3599999999999999E-2</v>
      </c>
      <c r="P4571" s="3">
        <v>3.2599999999999997E-2</v>
      </c>
      <c r="Q4571" s="3">
        <v>2.1700000000000001E-2</v>
      </c>
      <c r="R4571" s="3">
        <v>5.7000000000000002E-3</v>
      </c>
      <c r="S4571" s="3">
        <v>2.7099999999999999E-2</v>
      </c>
      <c r="T4571" s="3">
        <v>0.51160000000000005</v>
      </c>
      <c r="U4571" s="3">
        <v>0.48010000000000003</v>
      </c>
    </row>
    <row r="4572" spans="1:21">
      <c r="A4572" t="s">
        <v>199</v>
      </c>
      <c r="B4572" t="s">
        <v>222</v>
      </c>
      <c r="C4572">
        <v>390</v>
      </c>
      <c r="D4572" t="s">
        <v>194</v>
      </c>
      <c r="E4572">
        <v>2674</v>
      </c>
      <c r="F4572" s="3">
        <v>3.2899999999999999E-2</v>
      </c>
      <c r="G4572" s="3">
        <v>1.67E-2</v>
      </c>
      <c r="I4572" s="3">
        <v>4.4900000000000002E-2</v>
      </c>
      <c r="K4572" s="3">
        <v>0.30609999999999998</v>
      </c>
      <c r="L4572" s="3">
        <v>8.2000000000000007E-3</v>
      </c>
      <c r="M4572" s="3">
        <v>2.0999999999999999E-3</v>
      </c>
      <c r="N4572" s="3">
        <v>3.5999999999999997E-2</v>
      </c>
      <c r="O4572" s="3">
        <v>3.9199999999999999E-2</v>
      </c>
      <c r="P4572" s="3">
        <v>6.0000000000000001E-3</v>
      </c>
      <c r="Q4572" s="3">
        <v>1.8700000000000001E-2</v>
      </c>
      <c r="R4572" s="3">
        <v>1.5E-3</v>
      </c>
      <c r="S4572" s="3">
        <v>6.9599999999999995E-2</v>
      </c>
      <c r="T4572" s="3">
        <v>0.53310000000000002</v>
      </c>
      <c r="U4572" s="3">
        <v>0.49809999999999999</v>
      </c>
    </row>
    <row r="4573" spans="1:21">
      <c r="A4573" t="s">
        <v>199</v>
      </c>
      <c r="B4573" t="s">
        <v>224</v>
      </c>
      <c r="C4573">
        <v>1098</v>
      </c>
      <c r="D4573" t="s">
        <v>194</v>
      </c>
      <c r="E4573">
        <v>2674</v>
      </c>
      <c r="F4573" s="3">
        <v>1.6299999999999999E-2</v>
      </c>
      <c r="G4573" s="3">
        <v>1.12E-2</v>
      </c>
      <c r="H4573" s="3">
        <v>1.2800000000000001E-2</v>
      </c>
      <c r="I4573" s="3">
        <v>1.7100000000000001E-2</v>
      </c>
      <c r="J4573" s="3">
        <v>2.5999999999999999E-3</v>
      </c>
      <c r="K4573" s="3">
        <v>0.33229999999999998</v>
      </c>
      <c r="L4573" s="3">
        <v>5.7000000000000002E-3</v>
      </c>
      <c r="M4573" s="3">
        <v>6.9999999999999999E-4</v>
      </c>
      <c r="N4573" s="3">
        <v>3.4299999999999997E-2</v>
      </c>
      <c r="O4573" s="3">
        <v>3.9E-2</v>
      </c>
      <c r="P4573" s="3">
        <v>2.7900000000000001E-2</v>
      </c>
      <c r="Q4573" s="3">
        <v>1.3299999999999999E-2</v>
      </c>
      <c r="R4573" s="3">
        <v>2.0799999999999999E-2</v>
      </c>
      <c r="S4573" s="3">
        <v>8.6199999999999999E-2</v>
      </c>
      <c r="T4573" s="3">
        <v>0.55859999999999999</v>
      </c>
      <c r="U4573" s="3">
        <v>0.51819999999999999</v>
      </c>
    </row>
    <row r="4574" spans="1:21">
      <c r="A4574" t="s">
        <v>200</v>
      </c>
      <c r="B4574" t="s">
        <v>200</v>
      </c>
      <c r="C4574">
        <v>2674</v>
      </c>
      <c r="D4574" t="s">
        <v>200</v>
      </c>
      <c r="E4574">
        <v>2674</v>
      </c>
      <c r="F4574" s="3">
        <v>1.34E-2</v>
      </c>
      <c r="G4574" s="3">
        <v>1.67E-2</v>
      </c>
      <c r="H4574" s="3">
        <v>7.7000000000000002E-3</v>
      </c>
      <c r="I4574" s="3">
        <v>5.8200000000000002E-2</v>
      </c>
      <c r="J4574" s="3">
        <v>1.6000000000000001E-3</v>
      </c>
      <c r="K4574" s="3">
        <v>0.32950000000000002</v>
      </c>
      <c r="L4574" s="3">
        <v>7.1999999999999998E-3</v>
      </c>
      <c r="M4574" s="3">
        <v>3.5999999999999999E-3</v>
      </c>
      <c r="N4574" s="3">
        <v>2.1999999999999999E-2</v>
      </c>
      <c r="O4574" s="3">
        <v>3.44E-2</v>
      </c>
      <c r="P4574" s="3">
        <v>2.5999999999999999E-2</v>
      </c>
      <c r="Q4574" s="3">
        <v>1.7000000000000001E-2</v>
      </c>
      <c r="R4574" s="3">
        <v>1.04E-2</v>
      </c>
      <c r="S4574" s="3">
        <v>5.6000000000000001E-2</v>
      </c>
      <c r="T4574" s="3">
        <v>0.52159999999999995</v>
      </c>
      <c r="U4574" s="3">
        <v>0.48509999999999998</v>
      </c>
    </row>
    <row r="4576" spans="1:21" ht="45">
      <c r="A4576" s="22" t="s">
        <v>1116</v>
      </c>
    </row>
    <row r="4577" spans="1:21">
      <c r="A4577" t="s">
        <v>185</v>
      </c>
      <c r="B4577" t="s">
        <v>186</v>
      </c>
      <c r="C4577" t="s">
        <v>192</v>
      </c>
      <c r="D4577" t="s">
        <v>184</v>
      </c>
      <c r="E4577" t="s">
        <v>193</v>
      </c>
      <c r="F4577" t="s">
        <v>1051</v>
      </c>
      <c r="G4577" t="s">
        <v>1115</v>
      </c>
      <c r="H4577" t="s">
        <v>1053</v>
      </c>
      <c r="I4577" t="s">
        <v>257</v>
      </c>
      <c r="J4577" t="s">
        <v>1055</v>
      </c>
      <c r="K4577" t="s">
        <v>329</v>
      </c>
      <c r="L4577" t="s">
        <v>274</v>
      </c>
      <c r="M4577" t="s">
        <v>247</v>
      </c>
      <c r="N4577" t="s">
        <v>1057</v>
      </c>
      <c r="O4577" t="s">
        <v>1058</v>
      </c>
      <c r="P4577" t="s">
        <v>1059</v>
      </c>
      <c r="Q4577" t="s">
        <v>1060</v>
      </c>
      <c r="R4577" t="s">
        <v>1061</v>
      </c>
      <c r="S4577" t="s">
        <v>1062</v>
      </c>
      <c r="T4577" t="s">
        <v>1064</v>
      </c>
      <c r="U4577" t="s">
        <v>1065</v>
      </c>
    </row>
    <row r="4578" spans="1:21">
      <c r="A4578" t="s">
        <v>195</v>
      </c>
      <c r="B4578" t="s">
        <v>229</v>
      </c>
      <c r="C4578">
        <v>130</v>
      </c>
      <c r="D4578" t="s">
        <v>194</v>
      </c>
      <c r="E4578">
        <v>2674</v>
      </c>
      <c r="F4578" s="3">
        <v>1.6999999999999999E-3</v>
      </c>
      <c r="G4578" s="3">
        <v>3.0599999999999999E-2</v>
      </c>
      <c r="H4578" s="3">
        <v>3.3E-3</v>
      </c>
      <c r="I4578" s="3">
        <v>0.1237</v>
      </c>
      <c r="K4578" s="3">
        <v>0.38700000000000001</v>
      </c>
      <c r="L4578" s="3">
        <v>3.5000000000000003E-2</v>
      </c>
      <c r="O4578" s="3">
        <v>3.56E-2</v>
      </c>
      <c r="P4578" s="3">
        <v>1.4E-2</v>
      </c>
      <c r="Q4578" s="3">
        <v>3.2099999999999997E-2</v>
      </c>
      <c r="S4578" s="3">
        <v>1.41E-2</v>
      </c>
      <c r="T4578" s="3">
        <v>0.39939999999999998</v>
      </c>
      <c r="U4578" s="3">
        <v>0.36009999999999998</v>
      </c>
    </row>
    <row r="4579" spans="1:21">
      <c r="A4579" t="s">
        <v>195</v>
      </c>
      <c r="B4579" t="s">
        <v>230</v>
      </c>
      <c r="C4579">
        <v>485</v>
      </c>
      <c r="D4579" t="s">
        <v>194</v>
      </c>
      <c r="E4579">
        <v>2674</v>
      </c>
      <c r="F4579" s="3">
        <v>3.0999999999999999E-3</v>
      </c>
      <c r="G4579" s="3">
        <v>1.67E-2</v>
      </c>
      <c r="H4579" s="3">
        <v>8.6E-3</v>
      </c>
      <c r="I4579" s="3">
        <v>0.1207</v>
      </c>
      <c r="J4579" s="3">
        <v>2.0000000000000001E-4</v>
      </c>
      <c r="K4579" s="3">
        <v>0.31590000000000001</v>
      </c>
      <c r="L4579" s="3">
        <v>4.0000000000000001E-3</v>
      </c>
      <c r="M4579" s="3">
        <v>1.6500000000000001E-2</v>
      </c>
      <c r="N4579" s="3">
        <v>9.4999999999999998E-3</v>
      </c>
      <c r="O4579" s="3">
        <v>1.6299999999999999E-2</v>
      </c>
      <c r="P4579" s="3">
        <v>3.32E-2</v>
      </c>
      <c r="Q4579" s="3">
        <v>2.9399999999999999E-2</v>
      </c>
      <c r="R4579" s="3">
        <v>9.5999999999999992E-3</v>
      </c>
      <c r="S4579" s="3">
        <v>3.56E-2</v>
      </c>
      <c r="T4579" s="3">
        <v>0.49020000000000002</v>
      </c>
      <c r="U4579" s="3">
        <v>0.43969999999999998</v>
      </c>
    </row>
    <row r="4580" spans="1:21">
      <c r="A4580" t="s">
        <v>195</v>
      </c>
      <c r="B4580" t="s">
        <v>231</v>
      </c>
      <c r="C4580">
        <v>305</v>
      </c>
      <c r="D4580" t="s">
        <v>194</v>
      </c>
      <c r="E4580">
        <v>2674</v>
      </c>
      <c r="F4580" s="3">
        <v>7.7000000000000002E-3</v>
      </c>
      <c r="G4580" s="3">
        <v>2.7E-2</v>
      </c>
      <c r="H4580" s="3">
        <v>9.9000000000000008E-3</v>
      </c>
      <c r="I4580" s="3">
        <v>6.08E-2</v>
      </c>
      <c r="K4580" s="3">
        <v>0.30599999999999999</v>
      </c>
      <c r="L4580" s="3">
        <v>5.4000000000000003E-3</v>
      </c>
      <c r="M4580" s="3">
        <v>2.9999999999999997E-4</v>
      </c>
      <c r="N4580" s="3">
        <v>6.7000000000000002E-3</v>
      </c>
      <c r="O4580" s="3">
        <v>4.7899999999999998E-2</v>
      </c>
      <c r="P4580" s="3">
        <v>4.4999999999999998E-2</v>
      </c>
      <c r="Q4580" s="3">
        <v>6.1999999999999998E-3</v>
      </c>
      <c r="R4580" s="3">
        <v>2.5000000000000001E-3</v>
      </c>
      <c r="S4580" s="3">
        <v>2.35E-2</v>
      </c>
      <c r="T4580" s="3">
        <v>0.53949999999999998</v>
      </c>
      <c r="U4580" s="3">
        <v>0.51280000000000003</v>
      </c>
    </row>
    <row r="4581" spans="1:21">
      <c r="A4581" t="s">
        <v>195</v>
      </c>
      <c r="B4581" t="s">
        <v>232</v>
      </c>
      <c r="C4581">
        <v>266</v>
      </c>
      <c r="D4581" t="s">
        <v>194</v>
      </c>
      <c r="E4581">
        <v>2674</v>
      </c>
      <c r="G4581" s="3">
        <v>1.7999999999999999E-2</v>
      </c>
      <c r="I4581" s="3">
        <v>8.4900000000000003E-2</v>
      </c>
      <c r="J4581" s="3">
        <v>5.4999999999999997E-3</v>
      </c>
      <c r="K4581" s="3">
        <v>0.372</v>
      </c>
      <c r="N4581" s="3">
        <v>2.3E-3</v>
      </c>
      <c r="O4581" s="3">
        <v>2.4500000000000001E-2</v>
      </c>
      <c r="P4581" s="3">
        <v>2.75E-2</v>
      </c>
      <c r="Q4581" s="3">
        <v>7.6E-3</v>
      </c>
      <c r="R4581" s="3">
        <v>1.8E-3</v>
      </c>
      <c r="S4581" s="3">
        <v>1.2699999999999999E-2</v>
      </c>
      <c r="T4581" s="3">
        <v>0.47310000000000002</v>
      </c>
      <c r="U4581" s="3">
        <v>0.46689999999999998</v>
      </c>
    </row>
    <row r="4582" spans="1:21">
      <c r="A4582" t="s">
        <v>199</v>
      </c>
      <c r="B4582" t="s">
        <v>229</v>
      </c>
      <c r="C4582">
        <v>150</v>
      </c>
      <c r="D4582" t="s">
        <v>194</v>
      </c>
      <c r="E4582">
        <v>2674</v>
      </c>
      <c r="F4582" s="3">
        <v>4.19E-2</v>
      </c>
      <c r="G4582" s="3">
        <v>3.3999999999999998E-3</v>
      </c>
      <c r="H4582" s="3">
        <v>3.8899999999999997E-2</v>
      </c>
      <c r="I4582" s="3">
        <v>2.8899999999999999E-2</v>
      </c>
      <c r="K4582" s="3">
        <v>0.32219999999999999</v>
      </c>
      <c r="M4582" s="3">
        <v>6.1000000000000004E-3</v>
      </c>
      <c r="N4582" s="3">
        <v>7.1000000000000004E-3</v>
      </c>
      <c r="O4582" s="3">
        <v>3.7100000000000001E-2</v>
      </c>
      <c r="P4582" s="3">
        <v>6.9999999999999999E-4</v>
      </c>
      <c r="Q4582" s="3">
        <v>2.0500000000000001E-2</v>
      </c>
      <c r="R4582" s="3">
        <v>5.8200000000000002E-2</v>
      </c>
      <c r="S4582" s="3">
        <v>9.8100000000000007E-2</v>
      </c>
      <c r="T4582" s="3">
        <v>0.53510000000000002</v>
      </c>
      <c r="U4582" s="3">
        <v>0.44290000000000002</v>
      </c>
    </row>
    <row r="4583" spans="1:21">
      <c r="A4583" t="s">
        <v>199</v>
      </c>
      <c r="B4583" t="s">
        <v>230</v>
      </c>
      <c r="C4583">
        <v>701</v>
      </c>
      <c r="D4583" t="s">
        <v>194</v>
      </c>
      <c r="E4583">
        <v>2674</v>
      </c>
      <c r="F4583" s="3">
        <v>1.6400000000000001E-2</v>
      </c>
      <c r="G4583" s="3">
        <v>1.5800000000000002E-2</v>
      </c>
      <c r="H4583" s="3">
        <v>4.1000000000000003E-3</v>
      </c>
      <c r="I4583" s="3">
        <v>1.5299999999999999E-2</v>
      </c>
      <c r="J4583" s="3">
        <v>1.6000000000000001E-3</v>
      </c>
      <c r="K4583" s="3">
        <v>0.31330000000000002</v>
      </c>
      <c r="L4583" s="3">
        <v>8.2000000000000007E-3</v>
      </c>
      <c r="M4583" s="3">
        <v>1E-4</v>
      </c>
      <c r="N4583" s="3">
        <v>3.0300000000000001E-2</v>
      </c>
      <c r="O4583" s="3">
        <v>2.8400000000000002E-2</v>
      </c>
      <c r="P4583" s="3">
        <v>1.9400000000000001E-2</v>
      </c>
      <c r="Q4583" s="3">
        <v>1.84E-2</v>
      </c>
      <c r="R4583" s="3">
        <v>5.8999999999999999E-3</v>
      </c>
      <c r="S4583" s="3">
        <v>9.8799999999999999E-2</v>
      </c>
      <c r="T4583" s="3">
        <v>0.5786</v>
      </c>
      <c r="U4583" s="3">
        <v>0.53139999999999998</v>
      </c>
    </row>
    <row r="4584" spans="1:21">
      <c r="A4584" t="s">
        <v>199</v>
      </c>
      <c r="B4584" t="s">
        <v>231</v>
      </c>
      <c r="C4584">
        <v>397</v>
      </c>
      <c r="D4584" t="s">
        <v>194</v>
      </c>
      <c r="E4584">
        <v>2674</v>
      </c>
      <c r="F4584" s="3">
        <v>0.03</v>
      </c>
      <c r="G4584" s="3">
        <v>1E-4</v>
      </c>
      <c r="I4584" s="3">
        <v>3.5900000000000001E-2</v>
      </c>
      <c r="K4584" s="3">
        <v>0.31309999999999999</v>
      </c>
      <c r="L4584" s="3">
        <v>1.4200000000000001E-2</v>
      </c>
      <c r="N4584" s="3">
        <v>5.2600000000000001E-2</v>
      </c>
      <c r="O4584" s="3">
        <v>6.4600000000000005E-2</v>
      </c>
      <c r="P4584" s="3">
        <v>4.9599999999999998E-2</v>
      </c>
      <c r="Q4584" s="3">
        <v>1.06E-2</v>
      </c>
      <c r="R4584" s="3">
        <v>2E-3</v>
      </c>
      <c r="S4584" s="3">
        <v>5.2499999999999998E-2</v>
      </c>
      <c r="T4584" s="3">
        <v>0.53139999999999998</v>
      </c>
      <c r="U4584" s="3">
        <v>0.5615</v>
      </c>
    </row>
    <row r="4585" spans="1:21">
      <c r="A4585" t="s">
        <v>199</v>
      </c>
      <c r="B4585" t="s">
        <v>232</v>
      </c>
      <c r="C4585">
        <v>240</v>
      </c>
      <c r="D4585" t="s">
        <v>194</v>
      </c>
      <c r="E4585">
        <v>2674</v>
      </c>
      <c r="F4585" s="3">
        <v>3.8999999999999998E-3</v>
      </c>
      <c r="G4585" s="3">
        <v>2.9100000000000001E-2</v>
      </c>
      <c r="I4585" s="3">
        <v>3.9699999999999999E-2</v>
      </c>
      <c r="J4585" s="3">
        <v>6.3E-3</v>
      </c>
      <c r="K4585" s="3">
        <v>0.36930000000000002</v>
      </c>
      <c r="N4585" s="3">
        <v>5.7099999999999998E-2</v>
      </c>
      <c r="O4585" s="3">
        <v>4.2900000000000001E-2</v>
      </c>
      <c r="P4585" s="3">
        <v>1.6799999999999999E-2</v>
      </c>
      <c r="Q4585" s="3">
        <v>4.4000000000000003E-3</v>
      </c>
      <c r="R4585" s="3">
        <v>8.2000000000000007E-3</v>
      </c>
      <c r="S4585" s="3">
        <v>4.5199999999999997E-2</v>
      </c>
      <c r="T4585" s="3">
        <v>0.51139999999999997</v>
      </c>
      <c r="U4585" s="3">
        <v>0.4773</v>
      </c>
    </row>
    <row r="4586" spans="1:21">
      <c r="A4586" t="s">
        <v>200</v>
      </c>
      <c r="B4586" t="s">
        <v>200</v>
      </c>
      <c r="C4586">
        <v>2674</v>
      </c>
      <c r="D4586" t="s">
        <v>200</v>
      </c>
      <c r="E4586">
        <v>2674</v>
      </c>
      <c r="F4586" s="3">
        <v>1.34E-2</v>
      </c>
      <c r="G4586" s="3">
        <v>1.67E-2</v>
      </c>
      <c r="H4586" s="3">
        <v>7.7000000000000002E-3</v>
      </c>
      <c r="I4586" s="3">
        <v>5.8200000000000002E-2</v>
      </c>
      <c r="J4586" s="3">
        <v>1.6000000000000001E-3</v>
      </c>
      <c r="K4586" s="3">
        <v>0.32950000000000002</v>
      </c>
      <c r="L4586" s="3">
        <v>7.1999999999999998E-3</v>
      </c>
      <c r="M4586" s="3">
        <v>3.5999999999999999E-3</v>
      </c>
      <c r="N4586" s="3">
        <v>2.1999999999999999E-2</v>
      </c>
      <c r="O4586" s="3">
        <v>3.44E-2</v>
      </c>
      <c r="P4586" s="3">
        <v>2.5999999999999999E-2</v>
      </c>
      <c r="Q4586" s="3">
        <v>1.7000000000000001E-2</v>
      </c>
      <c r="R4586" s="3">
        <v>1.04E-2</v>
      </c>
      <c r="S4586" s="3">
        <v>5.6000000000000001E-2</v>
      </c>
      <c r="T4586" s="3">
        <v>0.52159999999999995</v>
      </c>
      <c r="U4586" s="3">
        <v>0.48509999999999998</v>
      </c>
    </row>
    <row r="4588" spans="1:21" ht="45">
      <c r="A4588" s="22" t="s">
        <v>1117</v>
      </c>
    </row>
    <row r="4589" spans="1:21">
      <c r="A4589" t="s">
        <v>185</v>
      </c>
      <c r="B4589" t="s">
        <v>186</v>
      </c>
      <c r="C4589" t="s">
        <v>192</v>
      </c>
      <c r="D4589" t="s">
        <v>184</v>
      </c>
      <c r="E4589" t="s">
        <v>193</v>
      </c>
      <c r="F4589" t="s">
        <v>1051</v>
      </c>
      <c r="G4589" t="s">
        <v>1115</v>
      </c>
      <c r="H4589" t="s">
        <v>1053</v>
      </c>
      <c r="I4589" t="s">
        <v>257</v>
      </c>
      <c r="J4589" t="s">
        <v>1055</v>
      </c>
      <c r="K4589" t="s">
        <v>329</v>
      </c>
      <c r="L4589" t="s">
        <v>274</v>
      </c>
      <c r="M4589" t="s">
        <v>247</v>
      </c>
      <c r="N4589" t="s">
        <v>1057</v>
      </c>
      <c r="O4589" t="s">
        <v>1058</v>
      </c>
      <c r="P4589" t="s">
        <v>1059</v>
      </c>
      <c r="Q4589" t="s">
        <v>1060</v>
      </c>
      <c r="R4589" t="s">
        <v>1061</v>
      </c>
      <c r="S4589" t="s">
        <v>1062</v>
      </c>
      <c r="T4589" t="s">
        <v>1064</v>
      </c>
      <c r="U4589" t="s">
        <v>1065</v>
      </c>
    </row>
    <row r="4590" spans="1:21">
      <c r="A4590" t="s">
        <v>195</v>
      </c>
      <c r="B4590" t="s">
        <v>196</v>
      </c>
      <c r="C4590">
        <v>410</v>
      </c>
      <c r="D4590" t="s">
        <v>194</v>
      </c>
      <c r="E4590">
        <v>2674</v>
      </c>
      <c r="G4590" s="3">
        <v>1.0800000000000001E-2</v>
      </c>
      <c r="H4590" s="3">
        <v>2.2000000000000001E-3</v>
      </c>
      <c r="I4590" s="3">
        <v>6.6100000000000006E-2</v>
      </c>
      <c r="J4590" s="3">
        <v>4.4000000000000003E-3</v>
      </c>
      <c r="K4590" s="3">
        <v>0.46110000000000001</v>
      </c>
      <c r="L4590" s="3">
        <v>1.4E-2</v>
      </c>
      <c r="M4590" s="3">
        <v>1.9900000000000001E-2</v>
      </c>
      <c r="N4590" s="3">
        <v>1.3100000000000001E-2</v>
      </c>
      <c r="O4590" s="3">
        <v>3.5700000000000003E-2</v>
      </c>
      <c r="P4590" s="3">
        <v>1.95E-2</v>
      </c>
      <c r="Q4590" s="3">
        <v>8.3999999999999995E-3</v>
      </c>
      <c r="R4590" s="3">
        <v>1.8E-3</v>
      </c>
      <c r="S4590" s="3">
        <v>8.0999999999999996E-3</v>
      </c>
      <c r="T4590" s="3">
        <v>0.37</v>
      </c>
      <c r="U4590" s="3">
        <v>0.35930000000000001</v>
      </c>
    </row>
    <row r="4591" spans="1:21">
      <c r="A4591" t="s">
        <v>195</v>
      </c>
      <c r="B4591" t="s">
        <v>198</v>
      </c>
      <c r="C4591">
        <v>755</v>
      </c>
      <c r="D4591" t="s">
        <v>194</v>
      </c>
      <c r="E4591">
        <v>2674</v>
      </c>
      <c r="F4591" s="3">
        <v>4.5999999999999999E-3</v>
      </c>
      <c r="G4591" s="3">
        <v>2.5600000000000001E-2</v>
      </c>
      <c r="H4591" s="3">
        <v>7.7999999999999996E-3</v>
      </c>
      <c r="I4591" s="3">
        <v>0.1104</v>
      </c>
      <c r="J4591" s="3">
        <v>1E-4</v>
      </c>
      <c r="K4591" s="3">
        <v>0.29260000000000003</v>
      </c>
      <c r="L4591" s="3">
        <v>5.1999999999999998E-3</v>
      </c>
      <c r="M4591" s="3">
        <v>1.8E-3</v>
      </c>
      <c r="N4591" s="3">
        <v>3.2000000000000002E-3</v>
      </c>
      <c r="O4591" s="3">
        <v>2.6200000000000001E-2</v>
      </c>
      <c r="P4591" s="3">
        <v>3.6700000000000003E-2</v>
      </c>
      <c r="Q4591" s="3">
        <v>2.3699999999999999E-2</v>
      </c>
      <c r="R4591" s="3">
        <v>5.8999999999999999E-3</v>
      </c>
      <c r="S4591" s="3">
        <v>3.0700000000000002E-2</v>
      </c>
      <c r="T4591" s="3">
        <v>0.52470000000000006</v>
      </c>
      <c r="U4591" s="3">
        <v>0.48249999999999998</v>
      </c>
    </row>
    <row r="4592" spans="1:21">
      <c r="A4592" t="s">
        <v>199</v>
      </c>
      <c r="B4592" t="s">
        <v>196</v>
      </c>
      <c r="C4592">
        <v>525</v>
      </c>
      <c r="D4592" t="s">
        <v>194</v>
      </c>
      <c r="E4592">
        <v>2674</v>
      </c>
      <c r="F4592" s="3">
        <v>1E-3</v>
      </c>
      <c r="G4592" s="3">
        <v>5.8999999999999999E-3</v>
      </c>
      <c r="I4592" s="3">
        <v>2.69E-2</v>
      </c>
      <c r="J4592" s="3">
        <v>5.7000000000000002E-3</v>
      </c>
      <c r="K4592" s="3">
        <v>0.41239999999999999</v>
      </c>
      <c r="L4592" s="3">
        <v>8.0000000000000004E-4</v>
      </c>
      <c r="N4592" s="3">
        <v>4.7699999999999999E-2</v>
      </c>
      <c r="O4592" s="3">
        <v>4.9500000000000002E-2</v>
      </c>
      <c r="P4592" s="3">
        <v>1.77E-2</v>
      </c>
      <c r="Q4592" s="3">
        <v>8.6E-3</v>
      </c>
      <c r="R4592" s="3">
        <v>5.8999999999999999E-3</v>
      </c>
      <c r="S4592" s="3">
        <v>3.7999999999999999E-2</v>
      </c>
      <c r="T4592" s="3">
        <v>0.50780000000000003</v>
      </c>
      <c r="U4592" s="3">
        <v>0.4042</v>
      </c>
    </row>
    <row r="4593" spans="1:21">
      <c r="A4593" t="s">
        <v>199</v>
      </c>
      <c r="B4593" t="s">
        <v>198</v>
      </c>
      <c r="C4593">
        <v>945</v>
      </c>
      <c r="D4593" t="s">
        <v>194</v>
      </c>
      <c r="E4593">
        <v>2674</v>
      </c>
      <c r="F4593" s="3">
        <v>2.5999999999999999E-2</v>
      </c>
      <c r="G4593" s="3">
        <v>1.4500000000000001E-2</v>
      </c>
      <c r="H4593" s="3">
        <v>1.09E-2</v>
      </c>
      <c r="I4593" s="3">
        <v>2.53E-2</v>
      </c>
      <c r="J4593" s="3">
        <v>8.9999999999999998E-4</v>
      </c>
      <c r="K4593" s="3">
        <v>0.30459999999999998</v>
      </c>
      <c r="L4593" s="3">
        <v>7.6E-3</v>
      </c>
      <c r="M4593" s="3">
        <v>1.4E-3</v>
      </c>
      <c r="N4593" s="3">
        <v>3.1800000000000002E-2</v>
      </c>
      <c r="O4593" s="3">
        <v>3.6799999999999999E-2</v>
      </c>
      <c r="P4593" s="3">
        <v>2.2100000000000002E-2</v>
      </c>
      <c r="Q4593" s="3">
        <v>1.6400000000000001E-2</v>
      </c>
      <c r="R4593" s="3">
        <v>1.6899999999999998E-2</v>
      </c>
      <c r="S4593" s="3">
        <v>9.0700000000000003E-2</v>
      </c>
      <c r="T4593" s="3">
        <v>0.56010000000000004</v>
      </c>
      <c r="U4593" s="3">
        <v>0.53610000000000002</v>
      </c>
    </row>
    <row r="4594" spans="1:21">
      <c r="A4594" t="s">
        <v>200</v>
      </c>
      <c r="B4594" t="s">
        <v>200</v>
      </c>
      <c r="C4594">
        <v>2674</v>
      </c>
      <c r="D4594" t="s">
        <v>200</v>
      </c>
      <c r="E4594">
        <v>2674</v>
      </c>
      <c r="F4594" s="3">
        <v>1.34E-2</v>
      </c>
      <c r="G4594" s="3">
        <v>1.67E-2</v>
      </c>
      <c r="H4594" s="3">
        <v>7.7000000000000002E-3</v>
      </c>
      <c r="I4594" s="3">
        <v>5.8200000000000002E-2</v>
      </c>
      <c r="J4594" s="3">
        <v>1.6000000000000001E-3</v>
      </c>
      <c r="K4594" s="3">
        <v>0.32950000000000002</v>
      </c>
      <c r="L4594" s="3">
        <v>7.1999999999999998E-3</v>
      </c>
      <c r="M4594" s="3">
        <v>3.5999999999999999E-3</v>
      </c>
      <c r="N4594" s="3">
        <v>2.1999999999999999E-2</v>
      </c>
      <c r="O4594" s="3">
        <v>3.44E-2</v>
      </c>
      <c r="P4594" s="3">
        <v>2.5999999999999999E-2</v>
      </c>
      <c r="Q4594" s="3">
        <v>1.7000000000000001E-2</v>
      </c>
      <c r="R4594" s="3">
        <v>1.04E-2</v>
      </c>
      <c r="S4594" s="3">
        <v>5.6000000000000001E-2</v>
      </c>
      <c r="T4594" s="3">
        <v>0.52159999999999995</v>
      </c>
      <c r="U4594" s="3">
        <v>0.48509999999999998</v>
      </c>
    </row>
    <row r="4596" spans="1:21" ht="45">
      <c r="A4596" s="22" t="s">
        <v>1118</v>
      </c>
    </row>
    <row r="4597" spans="1:21">
      <c r="A4597" t="s">
        <v>185</v>
      </c>
      <c r="B4597" t="s">
        <v>186</v>
      </c>
      <c r="C4597" t="s">
        <v>192</v>
      </c>
      <c r="D4597" t="s">
        <v>184</v>
      </c>
      <c r="E4597" t="s">
        <v>193</v>
      </c>
      <c r="F4597" t="s">
        <v>1051</v>
      </c>
      <c r="G4597" t="s">
        <v>1115</v>
      </c>
      <c r="H4597" t="s">
        <v>1053</v>
      </c>
      <c r="I4597" t="s">
        <v>257</v>
      </c>
      <c r="J4597" t="s">
        <v>1055</v>
      </c>
      <c r="K4597" t="s">
        <v>329</v>
      </c>
      <c r="L4597" t="s">
        <v>274</v>
      </c>
      <c r="M4597" t="s">
        <v>247</v>
      </c>
      <c r="N4597" t="s">
        <v>1057</v>
      </c>
      <c r="O4597" t="s">
        <v>1058</v>
      </c>
      <c r="P4597" t="s">
        <v>1059</v>
      </c>
      <c r="Q4597" t="s">
        <v>1060</v>
      </c>
      <c r="R4597" t="s">
        <v>1061</v>
      </c>
      <c r="S4597" t="s">
        <v>1062</v>
      </c>
      <c r="T4597" t="s">
        <v>1064</v>
      </c>
      <c r="U4597" t="s">
        <v>1065</v>
      </c>
    </row>
    <row r="4598" spans="1:21">
      <c r="A4598" t="s">
        <v>195</v>
      </c>
      <c r="B4598" t="s">
        <v>202</v>
      </c>
      <c r="C4598">
        <v>530</v>
      </c>
      <c r="D4598" t="s">
        <v>194</v>
      </c>
      <c r="E4598">
        <v>2674</v>
      </c>
      <c r="F4598" s="3">
        <v>1.8E-3</v>
      </c>
      <c r="G4598" s="3">
        <v>3.0099999999999998E-2</v>
      </c>
      <c r="H4598" s="3">
        <v>8.3999999999999995E-3</v>
      </c>
      <c r="I4598" s="3">
        <v>9.6199999999999994E-2</v>
      </c>
      <c r="K4598" s="3">
        <v>0.41860000000000003</v>
      </c>
      <c r="L4598" s="3">
        <v>5.5999999999999999E-3</v>
      </c>
      <c r="M4598" s="3">
        <v>1.01E-2</v>
      </c>
      <c r="N4598" s="3">
        <v>3.8999999999999998E-3</v>
      </c>
      <c r="O4598" s="3">
        <v>2.53E-2</v>
      </c>
      <c r="P4598" s="3">
        <v>4.4999999999999998E-2</v>
      </c>
      <c r="Q4598" s="3">
        <v>1.41E-2</v>
      </c>
      <c r="R4598" s="3">
        <v>3.8E-3</v>
      </c>
      <c r="S4598" s="3">
        <v>1.9900000000000001E-2</v>
      </c>
      <c r="T4598" s="3">
        <v>0.39</v>
      </c>
      <c r="U4598" s="3">
        <v>0.37530000000000002</v>
      </c>
    </row>
    <row r="4599" spans="1:21">
      <c r="A4599" t="s">
        <v>195</v>
      </c>
      <c r="B4599" t="s">
        <v>204</v>
      </c>
      <c r="C4599">
        <v>301</v>
      </c>
      <c r="D4599" t="s">
        <v>194</v>
      </c>
      <c r="E4599">
        <v>2674</v>
      </c>
      <c r="F4599" s="3">
        <v>8.8999999999999999E-3</v>
      </c>
      <c r="G4599" s="3">
        <v>4.4000000000000003E-3</v>
      </c>
      <c r="I4599" s="3">
        <v>9.5200000000000007E-2</v>
      </c>
      <c r="J4599" s="3">
        <v>5.4999999999999997E-3</v>
      </c>
      <c r="K4599" s="3">
        <v>0.24179999999999999</v>
      </c>
      <c r="L4599" s="3">
        <v>1.78E-2</v>
      </c>
      <c r="N4599" s="3">
        <v>8.2000000000000007E-3</v>
      </c>
      <c r="O4599" s="3">
        <v>3.2199999999999999E-2</v>
      </c>
      <c r="P4599" s="3">
        <v>6.7000000000000002E-3</v>
      </c>
      <c r="Q4599" s="3">
        <v>4.02E-2</v>
      </c>
      <c r="R4599" s="3">
        <v>5.5999999999999999E-3</v>
      </c>
      <c r="S4599" s="3">
        <v>3.9600000000000003E-2</v>
      </c>
      <c r="T4599" s="3">
        <v>0.59260000000000002</v>
      </c>
      <c r="U4599" s="3">
        <v>0.49569999999999997</v>
      </c>
    </row>
    <row r="4600" spans="1:21">
      <c r="A4600" t="s">
        <v>195</v>
      </c>
      <c r="B4600" t="s">
        <v>205</v>
      </c>
      <c r="C4600">
        <v>334</v>
      </c>
      <c r="D4600" t="s">
        <v>194</v>
      </c>
      <c r="E4600">
        <v>2674</v>
      </c>
      <c r="F4600" s="3">
        <v>1.9E-3</v>
      </c>
      <c r="G4600" s="3">
        <v>8.8999999999999999E-3</v>
      </c>
      <c r="H4600" s="3">
        <v>6.7000000000000002E-3</v>
      </c>
      <c r="I4600" s="3">
        <v>0.1158</v>
      </c>
      <c r="J4600" s="3">
        <v>5.0000000000000001E-4</v>
      </c>
      <c r="K4600" s="3">
        <v>0.1012</v>
      </c>
      <c r="L4600" s="3">
        <v>1.1000000000000001E-3</v>
      </c>
      <c r="M4600" s="3">
        <v>5.0000000000000001E-4</v>
      </c>
      <c r="N4600" s="3">
        <v>1.09E-2</v>
      </c>
      <c r="O4600" s="3">
        <v>3.9399999999999998E-2</v>
      </c>
      <c r="P4600" s="3">
        <v>1.12E-2</v>
      </c>
      <c r="Q4600" s="3">
        <v>1.3299999999999999E-2</v>
      </c>
      <c r="R4600" s="3">
        <v>8.6E-3</v>
      </c>
      <c r="S4600" s="3">
        <v>2.3699999999999999E-2</v>
      </c>
      <c r="T4600" s="3">
        <v>0.75749999999999995</v>
      </c>
      <c r="U4600" s="3">
        <v>0.73280000000000001</v>
      </c>
    </row>
    <row r="4601" spans="1:21">
      <c r="A4601" t="s">
        <v>199</v>
      </c>
      <c r="B4601" t="s">
        <v>202</v>
      </c>
      <c r="C4601">
        <v>538</v>
      </c>
      <c r="D4601" t="s">
        <v>194</v>
      </c>
      <c r="E4601">
        <v>2674</v>
      </c>
      <c r="F4601" s="3">
        <v>1.8700000000000001E-2</v>
      </c>
      <c r="G4601" s="3">
        <v>1.37E-2</v>
      </c>
      <c r="H4601" s="3">
        <v>1.09E-2</v>
      </c>
      <c r="I4601" s="3">
        <v>2.0899999999999998E-2</v>
      </c>
      <c r="J4601" s="3">
        <v>1.6999999999999999E-3</v>
      </c>
      <c r="K4601" s="3">
        <v>0.44009999999999999</v>
      </c>
      <c r="L4601" s="3">
        <v>1.6999999999999999E-3</v>
      </c>
      <c r="M4601" s="3">
        <v>6.9999999999999999E-4</v>
      </c>
      <c r="N4601" s="3">
        <v>3.61E-2</v>
      </c>
      <c r="O4601" s="3">
        <v>1.95E-2</v>
      </c>
      <c r="P4601" s="3">
        <v>1.41E-2</v>
      </c>
      <c r="Q4601" s="3">
        <v>7.1999999999999998E-3</v>
      </c>
      <c r="R4601" s="3">
        <v>1.9199999999999998E-2</v>
      </c>
      <c r="S4601" s="3">
        <v>6.59E-2</v>
      </c>
      <c r="T4601" s="3">
        <v>0.4204</v>
      </c>
      <c r="U4601" s="3">
        <v>0.4017</v>
      </c>
    </row>
    <row r="4602" spans="1:21">
      <c r="A4602" t="s">
        <v>199</v>
      </c>
      <c r="B4602" t="s">
        <v>204</v>
      </c>
      <c r="C4602">
        <v>426</v>
      </c>
      <c r="D4602" t="s">
        <v>194</v>
      </c>
      <c r="E4602">
        <v>2674</v>
      </c>
      <c r="F4602" s="3">
        <v>1.89E-2</v>
      </c>
      <c r="G4602" s="3">
        <v>9.2999999999999992E-3</v>
      </c>
      <c r="I4602" s="3">
        <v>4.2599999999999999E-2</v>
      </c>
      <c r="J4602" s="3">
        <v>3.3999999999999998E-3</v>
      </c>
      <c r="K4602" s="3">
        <v>0.18090000000000001</v>
      </c>
      <c r="L4602" s="3">
        <v>2.7000000000000001E-3</v>
      </c>
      <c r="M4602" s="3">
        <v>3.7000000000000002E-3</v>
      </c>
      <c r="N4602" s="3">
        <v>2.4400000000000002E-2</v>
      </c>
      <c r="O4602" s="3">
        <v>4.7E-2</v>
      </c>
      <c r="P4602" s="3">
        <v>1.4500000000000001E-2</v>
      </c>
      <c r="Q4602" s="3">
        <v>3.5999999999999997E-2</v>
      </c>
      <c r="R4602" s="3">
        <v>1.11E-2</v>
      </c>
      <c r="S4602" s="3">
        <v>0.16159999999999999</v>
      </c>
      <c r="T4602" s="3">
        <v>0.69169999999999998</v>
      </c>
      <c r="U4602" s="3">
        <v>0.54949999999999999</v>
      </c>
    </row>
    <row r="4603" spans="1:21">
      <c r="A4603" t="s">
        <v>199</v>
      </c>
      <c r="B4603" t="s">
        <v>205</v>
      </c>
      <c r="C4603">
        <v>506</v>
      </c>
      <c r="D4603" t="s">
        <v>194</v>
      </c>
      <c r="E4603">
        <v>2674</v>
      </c>
      <c r="F4603" s="3">
        <v>3.44E-2</v>
      </c>
      <c r="G4603" s="3">
        <v>1.3899999999999999E-2</v>
      </c>
      <c r="H4603" s="3">
        <v>1.15E-2</v>
      </c>
      <c r="I4603" s="3">
        <v>2.3400000000000001E-2</v>
      </c>
      <c r="J4603" s="3">
        <v>5.9999999999999995E-4</v>
      </c>
      <c r="K4603" s="3">
        <v>5.4100000000000002E-2</v>
      </c>
      <c r="L4603" s="3">
        <v>2.8400000000000002E-2</v>
      </c>
      <c r="N4603" s="3">
        <v>4.1399999999999999E-2</v>
      </c>
      <c r="O4603" s="3">
        <v>0.10390000000000001</v>
      </c>
      <c r="P4603" s="3">
        <v>5.6000000000000001E-2</v>
      </c>
      <c r="Q4603" s="3">
        <v>2.0299999999999999E-2</v>
      </c>
      <c r="R4603" s="3">
        <v>3.0000000000000001E-3</v>
      </c>
      <c r="S4603" s="3">
        <v>4.5199999999999997E-2</v>
      </c>
      <c r="T4603" s="3">
        <v>0.878</v>
      </c>
      <c r="U4603" s="3">
        <v>0.88229999999999997</v>
      </c>
    </row>
    <row r="4604" spans="1:21">
      <c r="A4604" t="s">
        <v>200</v>
      </c>
      <c r="B4604" t="s">
        <v>200</v>
      </c>
      <c r="C4604">
        <v>2674</v>
      </c>
      <c r="D4604" t="s">
        <v>200</v>
      </c>
      <c r="E4604">
        <v>2674</v>
      </c>
      <c r="F4604" s="3">
        <v>1.34E-2</v>
      </c>
      <c r="G4604" s="3">
        <v>1.67E-2</v>
      </c>
      <c r="H4604" s="3">
        <v>7.7000000000000002E-3</v>
      </c>
      <c r="I4604" s="3">
        <v>5.8200000000000002E-2</v>
      </c>
      <c r="J4604" s="3">
        <v>1.6000000000000001E-3</v>
      </c>
      <c r="K4604" s="3">
        <v>0.32950000000000002</v>
      </c>
      <c r="L4604" s="3">
        <v>7.1999999999999998E-3</v>
      </c>
      <c r="M4604" s="3">
        <v>3.5999999999999999E-3</v>
      </c>
      <c r="N4604" s="3">
        <v>2.1999999999999999E-2</v>
      </c>
      <c r="O4604" s="3">
        <v>3.44E-2</v>
      </c>
      <c r="P4604" s="3">
        <v>2.5999999999999999E-2</v>
      </c>
      <c r="Q4604" s="3">
        <v>1.7000000000000001E-2</v>
      </c>
      <c r="R4604" s="3">
        <v>1.04E-2</v>
      </c>
      <c r="S4604" s="3">
        <v>5.6000000000000001E-2</v>
      </c>
      <c r="T4604" s="3">
        <v>0.52159999999999995</v>
      </c>
      <c r="U4604" s="3">
        <v>0.48509999999999998</v>
      </c>
    </row>
    <row r="4606" spans="1:21" ht="45">
      <c r="A4606" s="22" t="s">
        <v>1119</v>
      </c>
    </row>
    <row r="4607" spans="1:21">
      <c r="A4607" t="s">
        <v>185</v>
      </c>
      <c r="B4607" t="s">
        <v>186</v>
      </c>
      <c r="C4607" t="s">
        <v>192</v>
      </c>
      <c r="D4607" t="s">
        <v>184</v>
      </c>
      <c r="E4607" t="s">
        <v>193</v>
      </c>
      <c r="F4607" t="s">
        <v>1051</v>
      </c>
      <c r="G4607" t="s">
        <v>1115</v>
      </c>
      <c r="H4607" t="s">
        <v>1053</v>
      </c>
      <c r="I4607" t="s">
        <v>257</v>
      </c>
      <c r="J4607" t="s">
        <v>1055</v>
      </c>
      <c r="K4607" t="s">
        <v>329</v>
      </c>
      <c r="L4607" t="s">
        <v>274</v>
      </c>
      <c r="M4607" t="s">
        <v>247</v>
      </c>
      <c r="N4607" t="s">
        <v>1057</v>
      </c>
      <c r="O4607" t="s">
        <v>1058</v>
      </c>
      <c r="P4607" t="s">
        <v>1059</v>
      </c>
      <c r="Q4607" t="s">
        <v>1060</v>
      </c>
      <c r="R4607" t="s">
        <v>1061</v>
      </c>
      <c r="S4607" t="s">
        <v>1062</v>
      </c>
      <c r="T4607" t="s">
        <v>1064</v>
      </c>
      <c r="U4607" t="s">
        <v>1065</v>
      </c>
    </row>
    <row r="4608" spans="1:21">
      <c r="A4608" t="s">
        <v>195</v>
      </c>
      <c r="B4608" t="s">
        <v>207</v>
      </c>
      <c r="C4608">
        <v>320</v>
      </c>
      <c r="D4608" t="s">
        <v>194</v>
      </c>
      <c r="E4608">
        <v>2674</v>
      </c>
      <c r="F4608" s="3">
        <v>3.5999999999999999E-3</v>
      </c>
      <c r="G4608" s="3">
        <v>1.34E-2</v>
      </c>
      <c r="H4608" s="3">
        <v>7.1000000000000004E-3</v>
      </c>
      <c r="I4608" s="3">
        <v>9.5500000000000002E-2</v>
      </c>
      <c r="J4608" s="3">
        <v>4.5999999999999999E-3</v>
      </c>
      <c r="K4608" s="3">
        <v>0.36320000000000002</v>
      </c>
      <c r="L4608" s="3">
        <v>1.6899999999999998E-2</v>
      </c>
      <c r="N4608" s="3">
        <v>7.4999999999999997E-3</v>
      </c>
      <c r="O4608" s="3">
        <v>4.6899999999999997E-2</v>
      </c>
      <c r="P4608" s="3">
        <v>5.2600000000000001E-2</v>
      </c>
      <c r="Q4608" s="3">
        <v>6.3E-3</v>
      </c>
      <c r="R4608" s="3">
        <v>1.04E-2</v>
      </c>
      <c r="S4608" s="3">
        <v>1.7000000000000001E-2</v>
      </c>
      <c r="T4608" s="3">
        <v>0.43159999999999998</v>
      </c>
      <c r="U4608" s="3">
        <v>0.41870000000000002</v>
      </c>
    </row>
    <row r="4609" spans="1:21">
      <c r="A4609" t="s">
        <v>195</v>
      </c>
      <c r="B4609" t="s">
        <v>209</v>
      </c>
      <c r="C4609">
        <v>866</v>
      </c>
      <c r="D4609" t="s">
        <v>194</v>
      </c>
      <c r="E4609">
        <v>2674</v>
      </c>
      <c r="F4609" s="3">
        <v>3.2000000000000002E-3</v>
      </c>
      <c r="G4609" s="3">
        <v>2.4400000000000002E-2</v>
      </c>
      <c r="H4609" s="3">
        <v>6.1000000000000004E-3</v>
      </c>
      <c r="I4609" s="3">
        <v>0.1002</v>
      </c>
      <c r="J4609" s="3">
        <v>1E-4</v>
      </c>
      <c r="K4609" s="3">
        <v>0.32669999999999999</v>
      </c>
      <c r="L4609" s="3">
        <v>5.1999999999999998E-3</v>
      </c>
      <c r="M4609" s="3">
        <v>8.8000000000000005E-3</v>
      </c>
      <c r="N4609" s="3">
        <v>5.3E-3</v>
      </c>
      <c r="O4609" s="3">
        <v>2.23E-2</v>
      </c>
      <c r="P4609" s="3">
        <v>2.4899999999999999E-2</v>
      </c>
      <c r="Q4609" s="3">
        <v>2.41E-2</v>
      </c>
      <c r="R4609" s="3">
        <v>2.8999999999999998E-3</v>
      </c>
      <c r="S4609" s="3">
        <v>2.7199999999999998E-2</v>
      </c>
      <c r="T4609" s="3">
        <v>0.50319999999999998</v>
      </c>
      <c r="U4609" s="3">
        <v>0.46239999999999998</v>
      </c>
    </row>
    <row r="4610" spans="1:21">
      <c r="A4610" t="s">
        <v>199</v>
      </c>
      <c r="B4610" t="s">
        <v>207</v>
      </c>
      <c r="C4610">
        <v>283</v>
      </c>
      <c r="D4610" t="s">
        <v>194</v>
      </c>
      <c r="E4610">
        <v>2674</v>
      </c>
      <c r="F4610" s="3">
        <v>1.5900000000000001E-2</v>
      </c>
      <c r="G4610" s="3">
        <v>4.99E-2</v>
      </c>
      <c r="H4610" s="3">
        <v>1.5900000000000001E-2</v>
      </c>
      <c r="I4610" s="3">
        <v>3.1800000000000002E-2</v>
      </c>
      <c r="K4610" s="3">
        <v>0.19670000000000001</v>
      </c>
      <c r="L4610" s="3">
        <v>7.4000000000000003E-3</v>
      </c>
      <c r="M4610" s="3">
        <v>3.5999999999999999E-3</v>
      </c>
      <c r="N4610" s="3">
        <v>0.1497</v>
      </c>
      <c r="O4610" s="3">
        <v>5.28E-2</v>
      </c>
      <c r="P4610" s="3">
        <v>4.3400000000000001E-2</v>
      </c>
      <c r="Q4610" s="3">
        <v>2.8299999999999999E-2</v>
      </c>
      <c r="R4610" s="3">
        <v>6.4000000000000003E-3</v>
      </c>
      <c r="S4610" s="3">
        <v>9.2799999999999994E-2</v>
      </c>
      <c r="T4610" s="3">
        <v>0.67090000000000005</v>
      </c>
      <c r="U4610" s="3">
        <v>0.68600000000000005</v>
      </c>
    </row>
    <row r="4611" spans="1:21">
      <c r="A4611" t="s">
        <v>199</v>
      </c>
      <c r="B4611" t="s">
        <v>209</v>
      </c>
      <c r="C4611">
        <v>1205</v>
      </c>
      <c r="D4611" t="s">
        <v>194</v>
      </c>
      <c r="E4611">
        <v>2674</v>
      </c>
      <c r="F4611" s="3">
        <v>2.2100000000000002E-2</v>
      </c>
      <c r="G4611" s="3">
        <v>7.7999999999999996E-3</v>
      </c>
      <c r="H4611" s="3">
        <v>7.9000000000000008E-3</v>
      </c>
      <c r="I4611" s="3">
        <v>2.47E-2</v>
      </c>
      <c r="J4611" s="3">
        <v>2.0999999999999999E-3</v>
      </c>
      <c r="K4611" s="3">
        <v>0.34200000000000003</v>
      </c>
      <c r="L4611" s="3">
        <v>6.3E-3</v>
      </c>
      <c r="M4611" s="3">
        <v>8.0000000000000004E-4</v>
      </c>
      <c r="N4611" s="3">
        <v>1.89E-2</v>
      </c>
      <c r="O4611" s="3">
        <v>3.7199999999999997E-2</v>
      </c>
      <c r="P4611" s="3">
        <v>1.8100000000000002E-2</v>
      </c>
      <c r="Q4611" s="3">
        <v>1.3100000000000001E-2</v>
      </c>
      <c r="R4611" s="3">
        <v>1.61E-2</v>
      </c>
      <c r="S4611" s="3">
        <v>7.9500000000000001E-2</v>
      </c>
      <c r="T4611" s="3">
        <v>0.53420000000000001</v>
      </c>
      <c r="U4611" s="3">
        <v>0.4879</v>
      </c>
    </row>
    <row r="4612" spans="1:21">
      <c r="A4612" t="s">
        <v>200</v>
      </c>
      <c r="B4612" t="s">
        <v>200</v>
      </c>
      <c r="C4612">
        <v>2674</v>
      </c>
      <c r="D4612" t="s">
        <v>200</v>
      </c>
      <c r="E4612">
        <v>2674</v>
      </c>
      <c r="F4612" s="3">
        <v>1.34E-2</v>
      </c>
      <c r="G4612" s="3">
        <v>1.67E-2</v>
      </c>
      <c r="H4612" s="3">
        <v>7.7000000000000002E-3</v>
      </c>
      <c r="I4612" s="3">
        <v>5.8200000000000002E-2</v>
      </c>
      <c r="J4612" s="3">
        <v>1.6000000000000001E-3</v>
      </c>
      <c r="K4612" s="3">
        <v>0.32950000000000002</v>
      </c>
      <c r="L4612" s="3">
        <v>7.1999999999999998E-3</v>
      </c>
      <c r="M4612" s="3">
        <v>3.5999999999999999E-3</v>
      </c>
      <c r="N4612" s="3">
        <v>2.1999999999999999E-2</v>
      </c>
      <c r="O4612" s="3">
        <v>3.44E-2</v>
      </c>
      <c r="P4612" s="3">
        <v>2.5999999999999999E-2</v>
      </c>
      <c r="Q4612" s="3">
        <v>1.7000000000000001E-2</v>
      </c>
      <c r="R4612" s="3">
        <v>1.04E-2</v>
      </c>
      <c r="S4612" s="3">
        <v>5.6000000000000001E-2</v>
      </c>
      <c r="T4612" s="3">
        <v>0.52159999999999995</v>
      </c>
      <c r="U4612" s="3">
        <v>0.48509999999999998</v>
      </c>
    </row>
    <row r="4614" spans="1:21" ht="45">
      <c r="A4614" s="22" t="s">
        <v>1120</v>
      </c>
    </row>
    <row r="4615" spans="1:21">
      <c r="A4615" t="s">
        <v>185</v>
      </c>
      <c r="B4615" t="s">
        <v>192</v>
      </c>
      <c r="C4615" t="s">
        <v>184</v>
      </c>
      <c r="D4615" t="s">
        <v>193</v>
      </c>
      <c r="E4615" t="s">
        <v>1051</v>
      </c>
      <c r="F4615" t="s">
        <v>1115</v>
      </c>
      <c r="G4615" t="s">
        <v>1053</v>
      </c>
      <c r="H4615" t="s">
        <v>257</v>
      </c>
      <c r="I4615" t="s">
        <v>1055</v>
      </c>
      <c r="J4615" t="s">
        <v>329</v>
      </c>
      <c r="K4615" t="s">
        <v>274</v>
      </c>
      <c r="L4615" t="s">
        <v>247</v>
      </c>
      <c r="M4615" t="s">
        <v>1057</v>
      </c>
      <c r="N4615" t="s">
        <v>1058</v>
      </c>
      <c r="O4615" t="s">
        <v>1059</v>
      </c>
      <c r="P4615" t="s">
        <v>1060</v>
      </c>
      <c r="Q4615" t="s">
        <v>1061</v>
      </c>
      <c r="R4615" t="s">
        <v>1062</v>
      </c>
      <c r="S4615" t="s">
        <v>1064</v>
      </c>
      <c r="T4615" t="s">
        <v>1065</v>
      </c>
    </row>
    <row r="4616" spans="1:21">
      <c r="A4616" t="s">
        <v>195</v>
      </c>
      <c r="B4616">
        <v>1186</v>
      </c>
      <c r="C4616" t="s">
        <v>194</v>
      </c>
      <c r="D4616">
        <v>2674</v>
      </c>
      <c r="E4616" s="3">
        <v>3.3E-3</v>
      </c>
      <c r="F4616" s="3">
        <v>2.1600000000000001E-2</v>
      </c>
      <c r="G4616" s="3">
        <v>6.3E-3</v>
      </c>
      <c r="H4616" s="3">
        <v>9.9000000000000005E-2</v>
      </c>
      <c r="I4616" s="3">
        <v>1.1999999999999999E-3</v>
      </c>
      <c r="J4616" s="3">
        <v>0.33600000000000002</v>
      </c>
      <c r="K4616" s="3">
        <v>8.2000000000000007E-3</v>
      </c>
      <c r="L4616" s="3">
        <v>6.6E-3</v>
      </c>
      <c r="M4616" s="3">
        <v>5.8999999999999999E-3</v>
      </c>
      <c r="N4616" s="3">
        <v>2.86E-2</v>
      </c>
      <c r="O4616" s="3">
        <v>3.2000000000000001E-2</v>
      </c>
      <c r="P4616" s="3">
        <v>1.95E-2</v>
      </c>
      <c r="Q4616" s="3">
        <v>4.7999999999999996E-3</v>
      </c>
      <c r="R4616" s="3">
        <v>2.46E-2</v>
      </c>
      <c r="S4616" s="3">
        <v>0.4849</v>
      </c>
      <c r="T4616" s="3">
        <v>0.45129999999999998</v>
      </c>
    </row>
    <row r="4617" spans="1:21">
      <c r="A4617" t="s">
        <v>199</v>
      </c>
      <c r="B4617">
        <v>1488</v>
      </c>
      <c r="C4617" t="s">
        <v>194</v>
      </c>
      <c r="D4617">
        <v>2674</v>
      </c>
      <c r="E4617" s="3">
        <v>2.1399999999999999E-2</v>
      </c>
      <c r="F4617" s="3">
        <v>1.29E-2</v>
      </c>
      <c r="G4617" s="3">
        <v>8.8999999999999999E-3</v>
      </c>
      <c r="H4617" s="3">
        <v>2.5600000000000001E-2</v>
      </c>
      <c r="I4617" s="3">
        <v>1.8E-3</v>
      </c>
      <c r="J4617" s="3">
        <v>0.32429999999999998</v>
      </c>
      <c r="K4617" s="3">
        <v>6.4999999999999997E-3</v>
      </c>
      <c r="L4617" s="3">
        <v>1.1999999999999999E-3</v>
      </c>
      <c r="M4617" s="3">
        <v>3.4799999999999998E-2</v>
      </c>
      <c r="N4617" s="3">
        <v>3.9100000000000003E-2</v>
      </c>
      <c r="O4617" s="3">
        <v>2.12E-2</v>
      </c>
      <c r="P4617" s="3">
        <v>1.4999999999999999E-2</v>
      </c>
      <c r="Q4617" s="3">
        <v>1.49E-2</v>
      </c>
      <c r="R4617" s="3">
        <v>8.1100000000000005E-2</v>
      </c>
      <c r="S4617" s="3">
        <v>0.55079999999999996</v>
      </c>
      <c r="T4617" s="3">
        <v>0.5121</v>
      </c>
    </row>
    <row r="4618" spans="1:21">
      <c r="A4618" t="s">
        <v>200</v>
      </c>
      <c r="B4618">
        <v>2674</v>
      </c>
      <c r="C4618" t="s">
        <v>200</v>
      </c>
      <c r="D4618">
        <v>2674</v>
      </c>
      <c r="E4618" s="3">
        <v>1.34E-2</v>
      </c>
      <c r="F4618" s="3">
        <v>1.67E-2</v>
      </c>
      <c r="G4618" s="3">
        <v>7.7000000000000002E-3</v>
      </c>
      <c r="H4618" s="3">
        <v>5.8200000000000002E-2</v>
      </c>
      <c r="I4618" s="3">
        <v>1.6000000000000001E-3</v>
      </c>
      <c r="J4618" s="3">
        <v>0.32950000000000002</v>
      </c>
      <c r="K4618" s="3">
        <v>7.1999999999999998E-3</v>
      </c>
      <c r="L4618" s="3">
        <v>3.5999999999999999E-3</v>
      </c>
      <c r="M4618" s="3">
        <v>2.1999999999999999E-2</v>
      </c>
      <c r="N4618" s="3">
        <v>3.44E-2</v>
      </c>
      <c r="O4618" s="3">
        <v>2.5999999999999999E-2</v>
      </c>
      <c r="P4618" s="3">
        <v>1.7000000000000001E-2</v>
      </c>
      <c r="Q4618" s="3">
        <v>1.04E-2</v>
      </c>
      <c r="R4618" s="3">
        <v>5.6000000000000001E-2</v>
      </c>
      <c r="S4618" s="3">
        <v>0.52159999999999995</v>
      </c>
      <c r="T4618" s="3">
        <v>0.48509999999999998</v>
      </c>
    </row>
    <row r="4620" spans="1:21" ht="45">
      <c r="A4620" s="22" t="s">
        <v>1121</v>
      </c>
    </row>
    <row r="4621" spans="1:21">
      <c r="A4621" t="s">
        <v>185</v>
      </c>
      <c r="B4621" t="s">
        <v>186</v>
      </c>
      <c r="C4621" t="s">
        <v>192</v>
      </c>
      <c r="D4621" t="s">
        <v>184</v>
      </c>
      <c r="E4621" t="s">
        <v>193</v>
      </c>
      <c r="F4621" t="s">
        <v>1051</v>
      </c>
      <c r="G4621" t="s">
        <v>1115</v>
      </c>
      <c r="H4621" t="s">
        <v>1053</v>
      </c>
      <c r="I4621" t="s">
        <v>257</v>
      </c>
      <c r="J4621" t="s">
        <v>1055</v>
      </c>
      <c r="K4621" t="s">
        <v>329</v>
      </c>
      <c r="L4621" t="s">
        <v>274</v>
      </c>
      <c r="M4621" t="s">
        <v>247</v>
      </c>
      <c r="N4621" t="s">
        <v>1057</v>
      </c>
      <c r="O4621" t="s">
        <v>1058</v>
      </c>
      <c r="P4621" t="s">
        <v>1059</v>
      </c>
      <c r="Q4621" t="s">
        <v>1060</v>
      </c>
      <c r="R4621" t="s">
        <v>1061</v>
      </c>
      <c r="S4621" t="s">
        <v>1062</v>
      </c>
      <c r="T4621" t="s">
        <v>1064</v>
      </c>
      <c r="U4621" t="s">
        <v>1065</v>
      </c>
    </row>
    <row r="4622" spans="1:21">
      <c r="A4622" t="s">
        <v>195</v>
      </c>
      <c r="B4622" t="s">
        <v>212</v>
      </c>
      <c r="C4622">
        <v>871</v>
      </c>
      <c r="D4622" t="s">
        <v>194</v>
      </c>
      <c r="E4622">
        <v>2674</v>
      </c>
      <c r="F4622" s="3">
        <v>2.8E-3</v>
      </c>
      <c r="G4622" s="3">
        <v>1.49E-2</v>
      </c>
      <c r="H4622" s="3">
        <v>5.1000000000000004E-3</v>
      </c>
      <c r="I4622" s="3">
        <v>7.6499999999999999E-2</v>
      </c>
      <c r="J4622" s="3">
        <v>1.6000000000000001E-3</v>
      </c>
      <c r="K4622" s="3">
        <v>0.35410000000000003</v>
      </c>
      <c r="L4622" s="3">
        <v>1.04E-2</v>
      </c>
      <c r="M4622" s="3">
        <v>8.6999999999999994E-3</v>
      </c>
      <c r="N4622" s="3">
        <v>5.1000000000000004E-3</v>
      </c>
      <c r="O4622" s="3">
        <v>2.3099999999999999E-2</v>
      </c>
      <c r="P4622" s="3">
        <v>3.1800000000000002E-2</v>
      </c>
      <c r="Q4622" s="3">
        <v>2.23E-2</v>
      </c>
      <c r="R4622" s="3">
        <v>4.7999999999999996E-3</v>
      </c>
      <c r="S4622" s="3">
        <v>2.3599999999999999E-2</v>
      </c>
      <c r="T4622" s="3">
        <v>0.49680000000000002</v>
      </c>
      <c r="U4622" s="3">
        <v>0.45129999999999998</v>
      </c>
    </row>
    <row r="4623" spans="1:21">
      <c r="A4623" t="s">
        <v>195</v>
      </c>
      <c r="B4623" t="s">
        <v>214</v>
      </c>
      <c r="C4623">
        <v>180</v>
      </c>
      <c r="D4623" t="s">
        <v>194</v>
      </c>
      <c r="E4623">
        <v>2674</v>
      </c>
      <c r="F4623" s="3">
        <v>5.7999999999999996E-3</v>
      </c>
      <c r="G4623" s="3">
        <v>4.6100000000000002E-2</v>
      </c>
      <c r="H4623" s="3">
        <v>3.0999999999999999E-3</v>
      </c>
      <c r="I4623" s="3">
        <v>0.19600000000000001</v>
      </c>
      <c r="K4623" s="3">
        <v>0.25700000000000001</v>
      </c>
      <c r="L4623" s="3">
        <v>2.0999999999999999E-3</v>
      </c>
      <c r="N4623" s="3">
        <v>1.5E-3</v>
      </c>
      <c r="O4623" s="3">
        <v>6.7900000000000002E-2</v>
      </c>
      <c r="P4623" s="3">
        <v>4.8399999999999999E-2</v>
      </c>
      <c r="Q4623" s="3">
        <v>1.5599999999999999E-2</v>
      </c>
      <c r="R4623" s="3">
        <v>6.7000000000000002E-3</v>
      </c>
      <c r="S4623" s="3">
        <v>4.07E-2</v>
      </c>
      <c r="T4623" s="3">
        <v>0.43030000000000002</v>
      </c>
      <c r="U4623" s="3">
        <v>0.41510000000000002</v>
      </c>
    </row>
    <row r="4624" spans="1:21">
      <c r="A4624" t="s">
        <v>195</v>
      </c>
      <c r="B4624" t="s">
        <v>215</v>
      </c>
      <c r="C4624">
        <v>135</v>
      </c>
      <c r="D4624" t="s">
        <v>194</v>
      </c>
      <c r="E4624">
        <v>2674</v>
      </c>
      <c r="F4624" s="3">
        <v>3.0000000000000001E-3</v>
      </c>
      <c r="G4624" s="3">
        <v>3.39E-2</v>
      </c>
      <c r="H4624" s="3">
        <v>2.35E-2</v>
      </c>
      <c r="I4624" s="3">
        <v>0.1119</v>
      </c>
      <c r="K4624" s="3">
        <v>0.32829999999999998</v>
      </c>
      <c r="N4624" s="3">
        <v>2.07E-2</v>
      </c>
      <c r="O4624" s="3">
        <v>1.5E-3</v>
      </c>
      <c r="P4624" s="3">
        <v>1.4E-3</v>
      </c>
      <c r="Q4624" s="3">
        <v>2.5000000000000001E-3</v>
      </c>
      <c r="R4624" s="3">
        <v>8.0000000000000004E-4</v>
      </c>
      <c r="S4624" s="3">
        <v>1.8E-3</v>
      </c>
      <c r="T4624" s="3">
        <v>0.48459999999999998</v>
      </c>
      <c r="U4624" s="3">
        <v>0.52129999999999999</v>
      </c>
    </row>
    <row r="4625" spans="1:21">
      <c r="A4625" t="s">
        <v>199</v>
      </c>
      <c r="B4625" t="s">
        <v>212</v>
      </c>
      <c r="C4625">
        <v>1118</v>
      </c>
      <c r="D4625" t="s">
        <v>194</v>
      </c>
      <c r="E4625">
        <v>2674</v>
      </c>
      <c r="F4625" s="3">
        <v>1.9E-2</v>
      </c>
      <c r="G4625" s="3">
        <v>1.5699999999999999E-2</v>
      </c>
      <c r="H4625" s="3">
        <v>2.5000000000000001E-3</v>
      </c>
      <c r="I4625" s="3">
        <v>2.2700000000000001E-2</v>
      </c>
      <c r="J4625" s="3">
        <v>1.5E-3</v>
      </c>
      <c r="K4625" s="3">
        <v>0.32629999999999998</v>
      </c>
      <c r="L4625" s="3">
        <v>8.2000000000000007E-3</v>
      </c>
      <c r="M4625" s="3">
        <v>5.9999999999999995E-4</v>
      </c>
      <c r="N4625" s="3">
        <v>2.81E-2</v>
      </c>
      <c r="O4625" s="3">
        <v>3.7699999999999997E-2</v>
      </c>
      <c r="P4625" s="3">
        <v>1.7600000000000001E-2</v>
      </c>
      <c r="Q4625" s="3">
        <v>1.4999999999999999E-2</v>
      </c>
      <c r="R4625" s="3">
        <v>7.7999999999999996E-3</v>
      </c>
      <c r="S4625" s="3">
        <v>9.4500000000000001E-2</v>
      </c>
      <c r="T4625" s="3">
        <v>0.5524</v>
      </c>
      <c r="U4625" s="3">
        <v>0.51659999999999995</v>
      </c>
    </row>
    <row r="4626" spans="1:21">
      <c r="A4626" t="s">
        <v>199</v>
      </c>
      <c r="B4626" t="s">
        <v>214</v>
      </c>
      <c r="C4626">
        <v>197</v>
      </c>
      <c r="D4626" t="s">
        <v>194</v>
      </c>
      <c r="E4626">
        <v>2674</v>
      </c>
      <c r="F4626" s="3">
        <v>4.4999999999999998E-2</v>
      </c>
      <c r="G4626" s="3">
        <v>1.4E-3</v>
      </c>
      <c r="H4626" s="3">
        <v>4.2999999999999997E-2</v>
      </c>
      <c r="I4626" s="3">
        <v>4.9399999999999999E-2</v>
      </c>
      <c r="K4626" s="3">
        <v>0.33950000000000002</v>
      </c>
      <c r="L4626" s="3">
        <v>1.2999999999999999E-3</v>
      </c>
      <c r="M4626" s="3">
        <v>4.3E-3</v>
      </c>
      <c r="N4626" s="3">
        <v>5.57E-2</v>
      </c>
      <c r="O4626" s="3">
        <v>5.8099999999999999E-2</v>
      </c>
      <c r="P4626" s="3">
        <v>4.6600000000000003E-2</v>
      </c>
      <c r="Q4626" s="3">
        <v>7.1000000000000004E-3</v>
      </c>
      <c r="R4626" s="3">
        <v>5.5399999999999998E-2</v>
      </c>
      <c r="S4626" s="3">
        <v>5.0299999999999997E-2</v>
      </c>
      <c r="T4626" s="3">
        <v>0.46689999999999998</v>
      </c>
      <c r="U4626" s="3">
        <v>0.46899999999999997</v>
      </c>
    </row>
    <row r="4627" spans="1:21">
      <c r="A4627" t="s">
        <v>199</v>
      </c>
      <c r="B4627" t="s">
        <v>215</v>
      </c>
      <c r="C4627">
        <v>173</v>
      </c>
      <c r="D4627" t="s">
        <v>194</v>
      </c>
      <c r="E4627">
        <v>2674</v>
      </c>
      <c r="G4627" s="3">
        <v>7.7999999999999996E-3</v>
      </c>
      <c r="H4627" s="3">
        <v>5.1999999999999998E-3</v>
      </c>
      <c r="I4627" s="3">
        <v>8.8999999999999999E-3</v>
      </c>
      <c r="J4627" s="3">
        <v>7.7999999999999996E-3</v>
      </c>
      <c r="K4627" s="3">
        <v>0.27829999999999999</v>
      </c>
      <c r="M4627" s="3">
        <v>6.9999999999999999E-4</v>
      </c>
      <c r="N4627" s="3">
        <v>5.8000000000000003E-2</v>
      </c>
      <c r="O4627" s="3">
        <v>1.72E-2</v>
      </c>
      <c r="P4627" s="3">
        <v>8.0000000000000002E-3</v>
      </c>
      <c r="Q4627" s="3">
        <v>2.92E-2</v>
      </c>
      <c r="R4627" s="3">
        <v>6.1999999999999998E-3</v>
      </c>
      <c r="S4627" s="3">
        <v>1.4800000000000001E-2</v>
      </c>
      <c r="T4627" s="3">
        <v>0.68799999999999994</v>
      </c>
      <c r="U4627" s="3">
        <v>0.54800000000000004</v>
      </c>
    </row>
    <row r="4628" spans="1:21">
      <c r="A4628" t="s">
        <v>200</v>
      </c>
      <c r="B4628" t="s">
        <v>200</v>
      </c>
      <c r="C4628">
        <v>2674</v>
      </c>
      <c r="D4628" t="s">
        <v>200</v>
      </c>
      <c r="E4628">
        <v>2674</v>
      </c>
      <c r="F4628" s="3">
        <v>1.34E-2</v>
      </c>
      <c r="G4628" s="3">
        <v>1.67E-2</v>
      </c>
      <c r="H4628" s="3">
        <v>7.7000000000000002E-3</v>
      </c>
      <c r="I4628" s="3">
        <v>5.8200000000000002E-2</v>
      </c>
      <c r="J4628" s="3">
        <v>1.6000000000000001E-3</v>
      </c>
      <c r="K4628" s="3">
        <v>0.32950000000000002</v>
      </c>
      <c r="L4628" s="3">
        <v>7.1999999999999998E-3</v>
      </c>
      <c r="M4628" s="3">
        <v>3.5999999999999999E-3</v>
      </c>
      <c r="N4628" s="3">
        <v>2.1999999999999999E-2</v>
      </c>
      <c r="O4628" s="3">
        <v>3.44E-2</v>
      </c>
      <c r="P4628" s="3">
        <v>2.5999999999999999E-2</v>
      </c>
      <c r="Q4628" s="3">
        <v>1.7000000000000001E-2</v>
      </c>
      <c r="R4628" s="3">
        <v>1.04E-2</v>
      </c>
      <c r="S4628" s="3">
        <v>5.6000000000000001E-2</v>
      </c>
      <c r="T4628" s="3">
        <v>0.52159999999999995</v>
      </c>
      <c r="U4628" s="3">
        <v>0.48509999999999998</v>
      </c>
    </row>
    <row r="4630" spans="1:21" ht="45">
      <c r="A4630" s="22" t="s">
        <v>1122</v>
      </c>
    </row>
    <row r="4631" spans="1:21">
      <c r="A4631" t="s">
        <v>185</v>
      </c>
      <c r="B4631" t="s">
        <v>186</v>
      </c>
      <c r="C4631" t="s">
        <v>192</v>
      </c>
      <c r="D4631" t="s">
        <v>184</v>
      </c>
      <c r="E4631" t="s">
        <v>193</v>
      </c>
      <c r="F4631" t="s">
        <v>1051</v>
      </c>
      <c r="G4631" t="s">
        <v>1115</v>
      </c>
      <c r="H4631" t="s">
        <v>1053</v>
      </c>
      <c r="I4631" t="s">
        <v>257</v>
      </c>
      <c r="J4631" t="s">
        <v>1055</v>
      </c>
      <c r="K4631" t="s">
        <v>329</v>
      </c>
      <c r="L4631" t="s">
        <v>274</v>
      </c>
      <c r="M4631" t="s">
        <v>247</v>
      </c>
      <c r="N4631" t="s">
        <v>1057</v>
      </c>
      <c r="O4631" t="s">
        <v>1058</v>
      </c>
      <c r="P4631" t="s">
        <v>1059</v>
      </c>
      <c r="Q4631" t="s">
        <v>1060</v>
      </c>
      <c r="R4631" t="s">
        <v>1061</v>
      </c>
      <c r="S4631" t="s">
        <v>1062</v>
      </c>
      <c r="T4631" t="s">
        <v>1064</v>
      </c>
      <c r="U4631" t="s">
        <v>1065</v>
      </c>
    </row>
    <row r="4632" spans="1:21">
      <c r="A4632" t="s">
        <v>195</v>
      </c>
      <c r="B4632" t="s">
        <v>217</v>
      </c>
      <c r="C4632">
        <v>499</v>
      </c>
      <c r="D4632" t="s">
        <v>194</v>
      </c>
      <c r="E4632">
        <v>2674</v>
      </c>
      <c r="F4632" s="3">
        <v>3.5000000000000001E-3</v>
      </c>
      <c r="G4632" s="3">
        <v>1.43E-2</v>
      </c>
      <c r="H4632" s="3">
        <v>1.8E-3</v>
      </c>
      <c r="I4632" s="3">
        <v>6.2199999999999998E-2</v>
      </c>
      <c r="J4632" s="3">
        <v>2.8999999999999998E-3</v>
      </c>
      <c r="K4632" s="3">
        <v>0.34560000000000002</v>
      </c>
      <c r="L4632" s="3">
        <v>1.47E-2</v>
      </c>
      <c r="M4632" s="3">
        <v>3.0999999999999999E-3</v>
      </c>
      <c r="N4632" s="3">
        <v>1.21E-2</v>
      </c>
      <c r="O4632" s="3">
        <v>3.4799999999999998E-2</v>
      </c>
      <c r="P4632" s="3">
        <v>4.2900000000000001E-2</v>
      </c>
      <c r="Q4632" s="3">
        <v>1.5599999999999999E-2</v>
      </c>
      <c r="R4632" s="3">
        <v>8.9999999999999998E-4</v>
      </c>
      <c r="S4632" s="3">
        <v>7.4999999999999997E-3</v>
      </c>
      <c r="T4632" s="3">
        <v>0.51200000000000001</v>
      </c>
      <c r="U4632" s="3">
        <v>0.47949999999999998</v>
      </c>
    </row>
    <row r="4633" spans="1:21">
      <c r="A4633" t="s">
        <v>195</v>
      </c>
      <c r="B4633" t="s">
        <v>219</v>
      </c>
      <c r="C4633">
        <v>504</v>
      </c>
      <c r="D4633" t="s">
        <v>194</v>
      </c>
      <c r="E4633">
        <v>2674</v>
      </c>
      <c r="F4633" s="3">
        <v>4.7999999999999996E-3</v>
      </c>
      <c r="G4633" s="3">
        <v>3.9899999999999998E-2</v>
      </c>
      <c r="H4633" s="3">
        <v>2.7000000000000001E-3</v>
      </c>
      <c r="I4633" s="3">
        <v>0.1043</v>
      </c>
      <c r="K4633" s="3">
        <v>0.33360000000000001</v>
      </c>
      <c r="L4633" s="3">
        <v>2.7000000000000001E-3</v>
      </c>
      <c r="M4633" s="3">
        <v>1.35E-2</v>
      </c>
      <c r="N4633" s="3">
        <v>8.0000000000000004E-4</v>
      </c>
      <c r="O4633" s="3">
        <v>2.07E-2</v>
      </c>
      <c r="P4633" s="3">
        <v>2.2200000000000001E-2</v>
      </c>
      <c r="Q4633" s="3">
        <v>1.41E-2</v>
      </c>
      <c r="R4633" s="3">
        <v>1.12E-2</v>
      </c>
      <c r="S4633" s="3">
        <v>2.9600000000000001E-2</v>
      </c>
      <c r="T4633" s="3">
        <v>0.47949999999999998</v>
      </c>
      <c r="U4633" s="3">
        <v>0.45679999999999998</v>
      </c>
    </row>
    <row r="4634" spans="1:21">
      <c r="A4634" t="s">
        <v>195</v>
      </c>
      <c r="B4634" t="s">
        <v>220</v>
      </c>
      <c r="C4634">
        <v>182</v>
      </c>
      <c r="D4634" t="s">
        <v>194</v>
      </c>
      <c r="E4634">
        <v>2674</v>
      </c>
      <c r="H4634" s="3">
        <v>2.3900000000000001E-2</v>
      </c>
      <c r="I4634" s="3">
        <v>0.17030000000000001</v>
      </c>
      <c r="K4634" s="3">
        <v>0.31979999999999997</v>
      </c>
      <c r="L4634" s="3">
        <v>4.5999999999999999E-3</v>
      </c>
      <c r="N4634" s="3">
        <v>2.3E-3</v>
      </c>
      <c r="O4634" s="3">
        <v>3.1099999999999999E-2</v>
      </c>
      <c r="P4634" s="3">
        <v>2.7799999999999998E-2</v>
      </c>
      <c r="Q4634" s="3">
        <v>3.95E-2</v>
      </c>
      <c r="R4634" s="3">
        <v>4.0000000000000002E-4</v>
      </c>
      <c r="S4634" s="3">
        <v>5.2400000000000002E-2</v>
      </c>
      <c r="T4634" s="3">
        <v>0.43530000000000002</v>
      </c>
      <c r="U4634" s="3">
        <v>0.37669999999999998</v>
      </c>
    </row>
    <row r="4635" spans="1:21">
      <c r="A4635" t="s">
        <v>199</v>
      </c>
      <c r="B4635" t="s">
        <v>217</v>
      </c>
      <c r="C4635">
        <v>814</v>
      </c>
      <c r="D4635" t="s">
        <v>194</v>
      </c>
      <c r="E4635">
        <v>2674</v>
      </c>
      <c r="F4635" s="3">
        <v>2.3199999999999998E-2</v>
      </c>
      <c r="G4635" s="3">
        <v>1.9E-2</v>
      </c>
      <c r="H4635" s="3">
        <v>4.0000000000000001E-3</v>
      </c>
      <c r="I4635" s="3">
        <v>2.0899999999999998E-2</v>
      </c>
      <c r="J4635" s="3">
        <v>2.8999999999999998E-3</v>
      </c>
      <c r="K4635" s="3">
        <v>0.31690000000000002</v>
      </c>
      <c r="L4635" s="3">
        <v>8.6E-3</v>
      </c>
      <c r="M4635" s="3">
        <v>8.0000000000000004E-4</v>
      </c>
      <c r="N4635" s="3">
        <v>3.1800000000000002E-2</v>
      </c>
      <c r="O4635" s="3">
        <v>4.1200000000000001E-2</v>
      </c>
      <c r="P4635" s="3">
        <v>2.06E-2</v>
      </c>
      <c r="Q4635" s="3">
        <v>1.8200000000000001E-2</v>
      </c>
      <c r="R4635" s="3">
        <v>8.6E-3</v>
      </c>
      <c r="S4635" s="3">
        <v>9.7799999999999998E-2</v>
      </c>
      <c r="T4635" s="3">
        <v>0.57089999999999996</v>
      </c>
      <c r="U4635" s="3">
        <v>0.52429999999999999</v>
      </c>
    </row>
    <row r="4636" spans="1:21">
      <c r="A4636" t="s">
        <v>199</v>
      </c>
      <c r="B4636" t="s">
        <v>219</v>
      </c>
      <c r="C4636">
        <v>451</v>
      </c>
      <c r="D4636" t="s">
        <v>194</v>
      </c>
      <c r="E4636">
        <v>2674</v>
      </c>
      <c r="F4636" s="3">
        <v>1.0699999999999999E-2</v>
      </c>
      <c r="G4636" s="3">
        <v>3.0000000000000001E-3</v>
      </c>
      <c r="H4636" s="3">
        <v>2.64E-2</v>
      </c>
      <c r="I4636" s="3">
        <v>3.3000000000000002E-2</v>
      </c>
      <c r="K4636" s="3">
        <v>0.31219999999999998</v>
      </c>
      <c r="L4636" s="3">
        <v>4.4000000000000003E-3</v>
      </c>
      <c r="N4636" s="3">
        <v>5.79E-2</v>
      </c>
      <c r="O4636" s="3">
        <v>3.4500000000000003E-2</v>
      </c>
      <c r="P4636" s="3">
        <v>2.9600000000000001E-2</v>
      </c>
      <c r="Q4636" s="3">
        <v>7.1000000000000004E-3</v>
      </c>
      <c r="R4636" s="3">
        <v>3.7199999999999997E-2</v>
      </c>
      <c r="S4636" s="3">
        <v>6.9000000000000006E-2</v>
      </c>
      <c r="T4636" s="3">
        <v>0.53039999999999998</v>
      </c>
      <c r="U4636" s="3">
        <v>0.50229999999999997</v>
      </c>
    </row>
    <row r="4637" spans="1:21">
      <c r="A4637" t="s">
        <v>199</v>
      </c>
      <c r="B4637" t="s">
        <v>220</v>
      </c>
      <c r="C4637">
        <v>223</v>
      </c>
      <c r="D4637" t="s">
        <v>194</v>
      </c>
      <c r="E4637">
        <v>2674</v>
      </c>
      <c r="F4637" s="3">
        <v>3.1199999999999999E-2</v>
      </c>
      <c r="G4637" s="3">
        <v>5.0000000000000001E-3</v>
      </c>
      <c r="I4637" s="3">
        <v>3.1800000000000002E-2</v>
      </c>
      <c r="J4637" s="3">
        <v>4.0000000000000002E-4</v>
      </c>
      <c r="K4637" s="3">
        <v>0.37109999999999999</v>
      </c>
      <c r="L4637" s="3">
        <v>1.6000000000000001E-3</v>
      </c>
      <c r="M4637" s="3">
        <v>4.1999999999999997E-3</v>
      </c>
      <c r="N4637" s="3">
        <v>0.01</v>
      </c>
      <c r="O4637" s="3">
        <v>3.8100000000000002E-2</v>
      </c>
      <c r="P4637" s="3">
        <v>1.03E-2</v>
      </c>
      <c r="Q4637" s="3">
        <v>1.4999999999999999E-2</v>
      </c>
      <c r="R4637" s="3">
        <v>3.8E-3</v>
      </c>
      <c r="S4637" s="3">
        <v>3.6700000000000003E-2</v>
      </c>
      <c r="T4637" s="3">
        <v>0.50619999999999998</v>
      </c>
      <c r="U4637" s="3">
        <v>0.48080000000000001</v>
      </c>
    </row>
    <row r="4638" spans="1:21">
      <c r="A4638" t="s">
        <v>200</v>
      </c>
      <c r="B4638" t="s">
        <v>200</v>
      </c>
      <c r="C4638">
        <v>2674</v>
      </c>
      <c r="D4638" t="s">
        <v>200</v>
      </c>
      <c r="E4638">
        <v>2674</v>
      </c>
      <c r="F4638" s="3">
        <v>1.34E-2</v>
      </c>
      <c r="G4638" s="3">
        <v>1.67E-2</v>
      </c>
      <c r="H4638" s="3">
        <v>7.7000000000000002E-3</v>
      </c>
      <c r="I4638" s="3">
        <v>5.8200000000000002E-2</v>
      </c>
      <c r="J4638" s="3">
        <v>1.6000000000000001E-3</v>
      </c>
      <c r="K4638" s="3">
        <v>0.32950000000000002</v>
      </c>
      <c r="L4638" s="3">
        <v>7.1999999999999998E-3</v>
      </c>
      <c r="M4638" s="3">
        <v>3.5999999999999999E-3</v>
      </c>
      <c r="N4638" s="3">
        <v>2.1999999999999999E-2</v>
      </c>
      <c r="O4638" s="3">
        <v>3.44E-2</v>
      </c>
      <c r="P4638" s="3">
        <v>2.5999999999999999E-2</v>
      </c>
      <c r="Q4638" s="3">
        <v>1.7000000000000001E-2</v>
      </c>
      <c r="R4638" s="3">
        <v>1.04E-2</v>
      </c>
      <c r="S4638" s="3">
        <v>5.6000000000000001E-2</v>
      </c>
      <c r="T4638" s="3">
        <v>0.52159999999999995</v>
      </c>
      <c r="U4638" s="3">
        <v>0.48509999999999998</v>
      </c>
    </row>
    <row r="4640" spans="1:21" ht="45">
      <c r="A4640" s="22" t="s">
        <v>1123</v>
      </c>
    </row>
    <row r="4641" spans="1:11">
      <c r="A4641" t="s">
        <v>185</v>
      </c>
      <c r="B4641" t="s">
        <v>186</v>
      </c>
      <c r="C4641" t="s">
        <v>192</v>
      </c>
      <c r="D4641" t="s">
        <v>184</v>
      </c>
      <c r="E4641" t="s">
        <v>193</v>
      </c>
      <c r="F4641" t="s">
        <v>1094</v>
      </c>
      <c r="G4641" t="s">
        <v>257</v>
      </c>
      <c r="H4641" t="s">
        <v>1097</v>
      </c>
      <c r="I4641" t="s">
        <v>1124</v>
      </c>
      <c r="J4641" t="s">
        <v>247</v>
      </c>
      <c r="K4641" t="s">
        <v>1125</v>
      </c>
    </row>
    <row r="4642" spans="1:11">
      <c r="A4642" t="s">
        <v>195</v>
      </c>
      <c r="B4642" t="s">
        <v>222</v>
      </c>
      <c r="C4642">
        <v>207</v>
      </c>
      <c r="D4642" t="s">
        <v>194</v>
      </c>
      <c r="E4642">
        <v>2567</v>
      </c>
      <c r="F4642" s="3">
        <v>4.2000000000000003E-2</v>
      </c>
      <c r="G4642" s="3">
        <v>0.18329999999999999</v>
      </c>
      <c r="H4642" s="3">
        <v>0.45129999999999998</v>
      </c>
      <c r="I4642" s="3">
        <v>9.0200000000000002E-2</v>
      </c>
      <c r="J4642" s="3">
        <v>2.0999999999999999E-3</v>
      </c>
      <c r="K4642" s="3">
        <v>0.23119999999999999</v>
      </c>
    </row>
    <row r="4643" spans="1:11">
      <c r="A4643" t="s">
        <v>195</v>
      </c>
      <c r="B4643" t="s">
        <v>224</v>
      </c>
      <c r="C4643">
        <v>937</v>
      </c>
      <c r="D4643" t="s">
        <v>194</v>
      </c>
      <c r="E4643">
        <v>2567</v>
      </c>
      <c r="F4643" s="3">
        <v>4.7600000000000003E-2</v>
      </c>
      <c r="G4643" s="3">
        <v>4.2000000000000003E-2</v>
      </c>
      <c r="H4643" s="3">
        <v>0.54239999999999999</v>
      </c>
      <c r="I4643" s="3">
        <v>8.3500000000000005E-2</v>
      </c>
      <c r="K4643" s="3">
        <v>0.28449999999999998</v>
      </c>
    </row>
    <row r="4644" spans="1:11">
      <c r="A4644" t="s">
        <v>199</v>
      </c>
      <c r="B4644" t="s">
        <v>222</v>
      </c>
      <c r="C4644">
        <v>330</v>
      </c>
      <c r="D4644" t="s">
        <v>194</v>
      </c>
      <c r="E4644">
        <v>2567</v>
      </c>
      <c r="F4644" s="3">
        <v>3.95E-2</v>
      </c>
      <c r="G4644" s="3">
        <v>9.6799999999999997E-2</v>
      </c>
      <c r="H4644" s="3">
        <v>0.5111</v>
      </c>
      <c r="I4644" s="3">
        <v>9.4E-2</v>
      </c>
      <c r="K4644" s="3">
        <v>0.2586</v>
      </c>
    </row>
    <row r="4645" spans="1:11">
      <c r="A4645" t="s">
        <v>199</v>
      </c>
      <c r="B4645" t="s">
        <v>224</v>
      </c>
      <c r="C4645">
        <v>1093</v>
      </c>
      <c r="D4645" t="s">
        <v>194</v>
      </c>
      <c r="E4645">
        <v>2567</v>
      </c>
      <c r="F4645" s="3">
        <v>5.6300000000000003E-2</v>
      </c>
      <c r="G4645" s="3">
        <v>3.8800000000000001E-2</v>
      </c>
      <c r="H4645" s="3">
        <v>0.51590000000000003</v>
      </c>
      <c r="I4645" s="3">
        <v>0.1108</v>
      </c>
      <c r="J4645" s="3">
        <v>1.8E-3</v>
      </c>
      <c r="K4645" s="3">
        <v>0.27629999999999999</v>
      </c>
    </row>
    <row r="4646" spans="1:11">
      <c r="A4646" t="s">
        <v>200</v>
      </c>
      <c r="B4646" t="s">
        <v>200</v>
      </c>
      <c r="C4646">
        <v>2567</v>
      </c>
      <c r="D4646" t="s">
        <v>200</v>
      </c>
      <c r="E4646">
        <v>2567</v>
      </c>
      <c r="F4646" s="3">
        <v>4.9399999999999999E-2</v>
      </c>
      <c r="G4646" s="3">
        <v>6.2E-2</v>
      </c>
      <c r="H4646" s="3">
        <v>0.51859999999999995</v>
      </c>
      <c r="I4646" s="3">
        <v>9.6699999999999994E-2</v>
      </c>
      <c r="J4646" s="3">
        <v>8.9999999999999998E-4</v>
      </c>
      <c r="K4646" s="3">
        <v>0.27239999999999998</v>
      </c>
    </row>
    <row r="4648" spans="1:11" ht="45">
      <c r="A4648" s="22" t="s">
        <v>1126</v>
      </c>
    </row>
    <row r="4649" spans="1:11">
      <c r="A4649" t="s">
        <v>185</v>
      </c>
      <c r="B4649" t="s">
        <v>186</v>
      </c>
      <c r="C4649" t="s">
        <v>192</v>
      </c>
      <c r="D4649" t="s">
        <v>184</v>
      </c>
      <c r="E4649" t="s">
        <v>193</v>
      </c>
      <c r="F4649" t="s">
        <v>1094</v>
      </c>
      <c r="G4649" t="s">
        <v>257</v>
      </c>
      <c r="H4649" t="s">
        <v>1097</v>
      </c>
      <c r="I4649" t="s">
        <v>1124</v>
      </c>
      <c r="J4649" t="s">
        <v>247</v>
      </c>
      <c r="K4649" t="s">
        <v>1125</v>
      </c>
    </row>
    <row r="4650" spans="1:11">
      <c r="A4650" t="s">
        <v>195</v>
      </c>
      <c r="B4650" t="s">
        <v>229</v>
      </c>
      <c r="C4650">
        <v>125</v>
      </c>
      <c r="D4650" t="s">
        <v>194</v>
      </c>
      <c r="E4650">
        <v>2567</v>
      </c>
      <c r="F4650" s="3">
        <v>2.06E-2</v>
      </c>
      <c r="G4650" s="3">
        <v>6.3899999999999998E-2</v>
      </c>
      <c r="H4650" s="3">
        <v>0.54</v>
      </c>
      <c r="I4650" s="3">
        <v>0.1019</v>
      </c>
      <c r="K4650" s="3">
        <v>0.27360000000000001</v>
      </c>
    </row>
    <row r="4651" spans="1:11">
      <c r="A4651" t="s">
        <v>195</v>
      </c>
      <c r="B4651" t="s">
        <v>230</v>
      </c>
      <c r="C4651">
        <v>471</v>
      </c>
      <c r="D4651" t="s">
        <v>194</v>
      </c>
      <c r="E4651">
        <v>2567</v>
      </c>
      <c r="F4651" s="3">
        <v>2.7699999999999999E-2</v>
      </c>
      <c r="G4651" s="3">
        <v>6.1699999999999998E-2</v>
      </c>
      <c r="H4651" s="3">
        <v>0.51070000000000004</v>
      </c>
      <c r="I4651" s="3">
        <v>6.7599999999999993E-2</v>
      </c>
      <c r="J4651" s="3">
        <v>8.0000000000000004E-4</v>
      </c>
      <c r="K4651" s="3">
        <v>0.33139999999999997</v>
      </c>
    </row>
    <row r="4652" spans="1:11">
      <c r="A4652" t="s">
        <v>195</v>
      </c>
      <c r="B4652" t="s">
        <v>231</v>
      </c>
      <c r="C4652">
        <v>291</v>
      </c>
      <c r="D4652" t="s">
        <v>194</v>
      </c>
      <c r="E4652">
        <v>2567</v>
      </c>
      <c r="F4652" s="3">
        <v>6.5600000000000006E-2</v>
      </c>
      <c r="G4652" s="3">
        <v>9.2499999999999999E-2</v>
      </c>
      <c r="H4652" s="3">
        <v>0.48159999999999997</v>
      </c>
      <c r="I4652" s="3">
        <v>0.10150000000000001</v>
      </c>
      <c r="K4652" s="3">
        <v>0.25879999999999997</v>
      </c>
    </row>
    <row r="4653" spans="1:11">
      <c r="A4653" t="s">
        <v>195</v>
      </c>
      <c r="B4653" t="s">
        <v>232</v>
      </c>
      <c r="C4653">
        <v>257</v>
      </c>
      <c r="D4653" t="s">
        <v>194</v>
      </c>
      <c r="E4653">
        <v>2567</v>
      </c>
      <c r="F4653" s="3">
        <v>7.7100000000000002E-2</v>
      </c>
      <c r="G4653" s="3">
        <v>6.9699999999999998E-2</v>
      </c>
      <c r="H4653" s="3">
        <v>0.58109999999999995</v>
      </c>
      <c r="I4653" s="3">
        <v>8.7099999999999997E-2</v>
      </c>
      <c r="J4653" s="3">
        <v>4.0000000000000002E-4</v>
      </c>
      <c r="K4653" s="3">
        <v>0.18459999999999999</v>
      </c>
    </row>
    <row r="4654" spans="1:11">
      <c r="A4654" t="s">
        <v>199</v>
      </c>
      <c r="B4654" t="s">
        <v>229</v>
      </c>
      <c r="C4654">
        <v>138</v>
      </c>
      <c r="D4654" t="s">
        <v>194</v>
      </c>
      <c r="E4654">
        <v>2567</v>
      </c>
      <c r="F4654" s="3">
        <v>3.8899999999999997E-2</v>
      </c>
      <c r="G4654" s="3">
        <v>3.5999999999999997E-2</v>
      </c>
      <c r="H4654" s="3">
        <v>0.46879999999999999</v>
      </c>
      <c r="I4654" s="3">
        <v>0.1341</v>
      </c>
      <c r="J4654" s="3">
        <v>6.0000000000000001E-3</v>
      </c>
      <c r="K4654" s="3">
        <v>0.31609999999999999</v>
      </c>
    </row>
    <row r="4655" spans="1:11">
      <c r="A4655" t="s">
        <v>199</v>
      </c>
      <c r="B4655" t="s">
        <v>230</v>
      </c>
      <c r="C4655">
        <v>678</v>
      </c>
      <c r="D4655" t="s">
        <v>194</v>
      </c>
      <c r="E4655">
        <v>2567</v>
      </c>
      <c r="F4655" s="3">
        <v>5.2299999999999999E-2</v>
      </c>
      <c r="G4655" s="3">
        <v>6.3100000000000003E-2</v>
      </c>
      <c r="H4655" s="3">
        <v>0.53200000000000003</v>
      </c>
      <c r="I4655" s="3">
        <v>9.1700000000000004E-2</v>
      </c>
      <c r="J4655" s="3">
        <v>2.9999999999999997E-4</v>
      </c>
      <c r="K4655" s="3">
        <v>0.26050000000000001</v>
      </c>
    </row>
    <row r="4656" spans="1:11">
      <c r="A4656" t="s">
        <v>199</v>
      </c>
      <c r="B4656" t="s">
        <v>231</v>
      </c>
      <c r="C4656">
        <v>381</v>
      </c>
      <c r="D4656" t="s">
        <v>194</v>
      </c>
      <c r="E4656">
        <v>2567</v>
      </c>
      <c r="F4656" s="3">
        <v>5.0299999999999997E-2</v>
      </c>
      <c r="G4656" s="3">
        <v>5.5E-2</v>
      </c>
      <c r="H4656" s="3">
        <v>0.55800000000000005</v>
      </c>
      <c r="I4656" s="3">
        <v>9.9500000000000005E-2</v>
      </c>
      <c r="K4656" s="3">
        <v>0.23719999999999999</v>
      </c>
    </row>
    <row r="4657" spans="1:11">
      <c r="A4657" t="s">
        <v>199</v>
      </c>
      <c r="B4657" t="s">
        <v>232</v>
      </c>
      <c r="C4657">
        <v>226</v>
      </c>
      <c r="D4657" t="s">
        <v>194</v>
      </c>
      <c r="E4657">
        <v>2567</v>
      </c>
      <c r="F4657" s="3">
        <v>6.4799999999999996E-2</v>
      </c>
      <c r="G4657" s="3">
        <v>5.0700000000000002E-2</v>
      </c>
      <c r="H4657" s="3">
        <v>0.46300000000000002</v>
      </c>
      <c r="I4657" s="3">
        <v>0.12570000000000001</v>
      </c>
      <c r="J4657" s="3">
        <v>1E-3</v>
      </c>
      <c r="K4657" s="3">
        <v>0.2949</v>
      </c>
    </row>
    <row r="4658" spans="1:11">
      <c r="A4658" t="s">
        <v>200</v>
      </c>
      <c r="B4658" t="s">
        <v>200</v>
      </c>
      <c r="C4658">
        <v>2567</v>
      </c>
      <c r="D4658" t="s">
        <v>200</v>
      </c>
      <c r="E4658">
        <v>2567</v>
      </c>
      <c r="F4658" s="3">
        <v>4.9399999999999999E-2</v>
      </c>
      <c r="G4658" s="3">
        <v>6.2E-2</v>
      </c>
      <c r="H4658" s="3">
        <v>0.51859999999999995</v>
      </c>
      <c r="I4658" s="3">
        <v>9.6699999999999994E-2</v>
      </c>
      <c r="J4658" s="3">
        <v>8.9999999999999998E-4</v>
      </c>
      <c r="K4658" s="3">
        <v>0.27239999999999998</v>
      </c>
    </row>
    <row r="4660" spans="1:11" ht="45">
      <c r="A4660" s="22" t="s">
        <v>1127</v>
      </c>
    </row>
    <row r="4661" spans="1:11">
      <c r="A4661" t="s">
        <v>185</v>
      </c>
      <c r="B4661" t="s">
        <v>186</v>
      </c>
      <c r="C4661" t="s">
        <v>192</v>
      </c>
      <c r="D4661" t="s">
        <v>184</v>
      </c>
      <c r="E4661" t="s">
        <v>193</v>
      </c>
      <c r="F4661" t="s">
        <v>1094</v>
      </c>
      <c r="G4661" t="s">
        <v>257</v>
      </c>
      <c r="H4661" t="s">
        <v>1097</v>
      </c>
      <c r="I4661" t="s">
        <v>1124</v>
      </c>
      <c r="J4661" t="s">
        <v>247</v>
      </c>
      <c r="K4661" t="s">
        <v>1125</v>
      </c>
    </row>
    <row r="4662" spans="1:11">
      <c r="A4662" t="s">
        <v>195</v>
      </c>
      <c r="B4662" t="s">
        <v>196</v>
      </c>
      <c r="C4662">
        <v>397</v>
      </c>
      <c r="D4662" t="s">
        <v>194</v>
      </c>
      <c r="E4662">
        <v>2567</v>
      </c>
      <c r="F4662" s="3">
        <v>3.4799999999999998E-2</v>
      </c>
      <c r="G4662" s="3">
        <v>4.1200000000000001E-2</v>
      </c>
      <c r="H4662" s="3">
        <v>0.61109999999999998</v>
      </c>
      <c r="I4662" s="3">
        <v>6.6600000000000006E-2</v>
      </c>
      <c r="K4662" s="3">
        <v>0.2462</v>
      </c>
    </row>
    <row r="4663" spans="1:11">
      <c r="A4663" t="s">
        <v>195</v>
      </c>
      <c r="B4663" t="s">
        <v>198</v>
      </c>
      <c r="C4663">
        <v>726</v>
      </c>
      <c r="D4663" t="s">
        <v>194</v>
      </c>
      <c r="E4663">
        <v>2567</v>
      </c>
      <c r="F4663" s="3">
        <v>4.8599999999999997E-2</v>
      </c>
      <c r="G4663" s="3">
        <v>8.2100000000000006E-2</v>
      </c>
      <c r="H4663" s="3">
        <v>0.49359999999999998</v>
      </c>
      <c r="I4663" s="3">
        <v>9.0800000000000006E-2</v>
      </c>
      <c r="J4663" s="3">
        <v>5.9999999999999995E-4</v>
      </c>
      <c r="K4663" s="3">
        <v>0.2843</v>
      </c>
    </row>
    <row r="4664" spans="1:11">
      <c r="A4664" t="s">
        <v>199</v>
      </c>
      <c r="B4664" t="s">
        <v>196</v>
      </c>
      <c r="C4664">
        <v>516</v>
      </c>
      <c r="D4664" t="s">
        <v>194</v>
      </c>
      <c r="E4664">
        <v>2567</v>
      </c>
      <c r="F4664" s="3">
        <v>2.8500000000000001E-2</v>
      </c>
      <c r="G4664" s="3">
        <v>6.2799999999999995E-2</v>
      </c>
      <c r="H4664" s="3">
        <v>0.61499999999999999</v>
      </c>
      <c r="I4664" s="3">
        <v>5.45E-2</v>
      </c>
      <c r="J4664" s="3">
        <v>5.5999999999999999E-3</v>
      </c>
      <c r="K4664" s="3">
        <v>0.2336</v>
      </c>
    </row>
    <row r="4665" spans="1:11">
      <c r="A4665" t="s">
        <v>199</v>
      </c>
      <c r="B4665" t="s">
        <v>198</v>
      </c>
      <c r="C4665">
        <v>891</v>
      </c>
      <c r="D4665" t="s">
        <v>194</v>
      </c>
      <c r="E4665">
        <v>2567</v>
      </c>
      <c r="F4665" s="3">
        <v>5.6800000000000003E-2</v>
      </c>
      <c r="G4665" s="3">
        <v>5.2900000000000003E-2</v>
      </c>
      <c r="H4665" s="3">
        <v>0.49130000000000001</v>
      </c>
      <c r="I4665" s="3">
        <v>0.1182</v>
      </c>
      <c r="J4665" s="3">
        <v>2.0000000000000001E-4</v>
      </c>
      <c r="K4665" s="3">
        <v>0.28050000000000003</v>
      </c>
    </row>
    <row r="4666" spans="1:11">
      <c r="A4666" t="s">
        <v>200</v>
      </c>
      <c r="B4666" t="s">
        <v>200</v>
      </c>
      <c r="C4666">
        <v>2567</v>
      </c>
      <c r="D4666" t="s">
        <v>200</v>
      </c>
      <c r="E4666">
        <v>2567</v>
      </c>
      <c r="F4666" s="3">
        <v>4.9399999999999999E-2</v>
      </c>
      <c r="G4666" s="3">
        <v>6.2E-2</v>
      </c>
      <c r="H4666" s="3">
        <v>0.51859999999999995</v>
      </c>
      <c r="I4666" s="3">
        <v>9.6699999999999994E-2</v>
      </c>
      <c r="J4666" s="3">
        <v>8.9999999999999998E-4</v>
      </c>
      <c r="K4666" s="3">
        <v>0.27239999999999998</v>
      </c>
    </row>
    <row r="4668" spans="1:11" ht="45">
      <c r="A4668" s="22" t="s">
        <v>1128</v>
      </c>
    </row>
    <row r="4669" spans="1:11">
      <c r="A4669" t="s">
        <v>185</v>
      </c>
      <c r="B4669" t="s">
        <v>186</v>
      </c>
      <c r="C4669" t="s">
        <v>192</v>
      </c>
      <c r="D4669" t="s">
        <v>184</v>
      </c>
      <c r="E4669" t="s">
        <v>193</v>
      </c>
      <c r="F4669" t="s">
        <v>1094</v>
      </c>
      <c r="G4669" t="s">
        <v>257</v>
      </c>
      <c r="H4669" t="s">
        <v>1097</v>
      </c>
      <c r="I4669" t="s">
        <v>1124</v>
      </c>
      <c r="J4669" t="s">
        <v>247</v>
      </c>
      <c r="K4669" t="s">
        <v>1125</v>
      </c>
    </row>
    <row r="4670" spans="1:11">
      <c r="A4670" t="s">
        <v>195</v>
      </c>
      <c r="B4670" t="s">
        <v>202</v>
      </c>
      <c r="C4670">
        <v>513</v>
      </c>
      <c r="D4670" t="s">
        <v>194</v>
      </c>
      <c r="E4670">
        <v>2567</v>
      </c>
      <c r="F4670" s="3">
        <v>2.0299999999999999E-2</v>
      </c>
      <c r="G4670" s="3">
        <v>7.0900000000000005E-2</v>
      </c>
      <c r="H4670" s="3">
        <v>0.63449999999999995</v>
      </c>
      <c r="I4670" s="3">
        <v>4.0399999999999998E-2</v>
      </c>
      <c r="K4670" s="3">
        <v>0.2339</v>
      </c>
    </row>
    <row r="4671" spans="1:11">
      <c r="A4671" t="s">
        <v>195</v>
      </c>
      <c r="B4671" t="s">
        <v>204</v>
      </c>
      <c r="C4671">
        <v>292</v>
      </c>
      <c r="D4671" t="s">
        <v>194</v>
      </c>
      <c r="E4671">
        <v>2567</v>
      </c>
      <c r="F4671" s="3">
        <v>5.8999999999999997E-2</v>
      </c>
      <c r="G4671" s="3">
        <v>0.1031</v>
      </c>
      <c r="H4671" s="3">
        <v>0.40439999999999998</v>
      </c>
      <c r="I4671" s="3">
        <v>0.11609999999999999</v>
      </c>
      <c r="K4671" s="3">
        <v>0.3175</v>
      </c>
    </row>
    <row r="4672" spans="1:11">
      <c r="A4672" t="s">
        <v>195</v>
      </c>
      <c r="B4672" t="s">
        <v>205</v>
      </c>
      <c r="C4672">
        <v>318</v>
      </c>
      <c r="D4672" t="s">
        <v>194</v>
      </c>
      <c r="E4672">
        <v>2567</v>
      </c>
      <c r="F4672" s="3">
        <v>0.14599999999999999</v>
      </c>
      <c r="G4672" s="3">
        <v>1.9800000000000002E-2</v>
      </c>
      <c r="H4672" s="3">
        <v>0.17299999999999999</v>
      </c>
      <c r="I4672" s="3">
        <v>0.253</v>
      </c>
      <c r="J4672" s="3">
        <v>3.3E-3</v>
      </c>
      <c r="K4672" s="3">
        <v>0.40479999999999999</v>
      </c>
    </row>
    <row r="4673" spans="1:11">
      <c r="A4673" t="s">
        <v>199</v>
      </c>
      <c r="B4673" t="s">
        <v>202</v>
      </c>
      <c r="C4673">
        <v>519</v>
      </c>
      <c r="D4673" t="s">
        <v>194</v>
      </c>
      <c r="E4673">
        <v>2567</v>
      </c>
      <c r="F4673" s="3">
        <v>7.1000000000000004E-3</v>
      </c>
      <c r="G4673" s="3">
        <v>7.5899999999999995E-2</v>
      </c>
      <c r="H4673" s="3">
        <v>0.64710000000000001</v>
      </c>
      <c r="I4673" s="3">
        <v>5.4899999999999997E-2</v>
      </c>
      <c r="J4673" s="3">
        <v>1.6000000000000001E-3</v>
      </c>
      <c r="K4673" s="3">
        <v>0.21340000000000001</v>
      </c>
    </row>
    <row r="4674" spans="1:11">
      <c r="A4674" t="s">
        <v>199</v>
      </c>
      <c r="B4674" t="s">
        <v>204</v>
      </c>
      <c r="C4674">
        <v>402</v>
      </c>
      <c r="D4674" t="s">
        <v>194</v>
      </c>
      <c r="E4674">
        <v>2567</v>
      </c>
      <c r="F4674" s="3">
        <v>3.1199999999999999E-2</v>
      </c>
      <c r="G4674" s="3">
        <v>2.1899999999999999E-2</v>
      </c>
      <c r="H4674" s="3">
        <v>0.43059999999999998</v>
      </c>
      <c r="I4674" s="3">
        <v>0.10299999999999999</v>
      </c>
      <c r="K4674" s="3">
        <v>0.4133</v>
      </c>
    </row>
    <row r="4675" spans="1:11">
      <c r="A4675" t="s">
        <v>199</v>
      </c>
      <c r="B4675" t="s">
        <v>205</v>
      </c>
      <c r="C4675">
        <v>486</v>
      </c>
      <c r="D4675" t="s">
        <v>194</v>
      </c>
      <c r="E4675">
        <v>2567</v>
      </c>
      <c r="F4675" s="3">
        <v>0.2384</v>
      </c>
      <c r="G4675" s="3">
        <v>1.3299999999999999E-2</v>
      </c>
      <c r="H4675" s="3">
        <v>0.1188</v>
      </c>
      <c r="I4675" s="3">
        <v>0.29980000000000001</v>
      </c>
      <c r="J4675" s="3">
        <v>1E-3</v>
      </c>
      <c r="K4675" s="3">
        <v>0.32869999999999999</v>
      </c>
    </row>
    <row r="4676" spans="1:11">
      <c r="A4676" t="s">
        <v>200</v>
      </c>
      <c r="B4676" t="s">
        <v>200</v>
      </c>
      <c r="C4676">
        <v>2567</v>
      </c>
      <c r="D4676" t="s">
        <v>200</v>
      </c>
      <c r="E4676">
        <v>2567</v>
      </c>
      <c r="F4676" s="3">
        <v>4.9399999999999999E-2</v>
      </c>
      <c r="G4676" s="3">
        <v>6.2E-2</v>
      </c>
      <c r="H4676" s="3">
        <v>0.51859999999999995</v>
      </c>
      <c r="I4676" s="3">
        <v>9.6699999999999994E-2</v>
      </c>
      <c r="J4676" s="3">
        <v>8.9999999999999998E-4</v>
      </c>
      <c r="K4676" s="3">
        <v>0.27239999999999998</v>
      </c>
    </row>
    <row r="4678" spans="1:11" ht="45">
      <c r="A4678" s="22" t="s">
        <v>1129</v>
      </c>
    </row>
    <row r="4679" spans="1:11">
      <c r="A4679" t="s">
        <v>185</v>
      </c>
      <c r="B4679" t="s">
        <v>186</v>
      </c>
      <c r="C4679" t="s">
        <v>192</v>
      </c>
      <c r="D4679" t="s">
        <v>184</v>
      </c>
      <c r="E4679" t="s">
        <v>193</v>
      </c>
      <c r="F4679" t="s">
        <v>1094</v>
      </c>
      <c r="G4679" t="s">
        <v>257</v>
      </c>
      <c r="H4679" t="s">
        <v>1097</v>
      </c>
      <c r="I4679" t="s">
        <v>1124</v>
      </c>
      <c r="J4679" t="s">
        <v>247</v>
      </c>
      <c r="K4679" t="s">
        <v>1125</v>
      </c>
    </row>
    <row r="4680" spans="1:11">
      <c r="A4680" t="s">
        <v>195</v>
      </c>
      <c r="B4680" t="s">
        <v>207</v>
      </c>
      <c r="C4680">
        <v>312</v>
      </c>
      <c r="D4680" t="s">
        <v>194</v>
      </c>
      <c r="E4680">
        <v>2567</v>
      </c>
      <c r="F4680" s="3">
        <v>8.5500000000000007E-2</v>
      </c>
      <c r="G4680" s="3">
        <v>8.2900000000000001E-2</v>
      </c>
      <c r="H4680" s="3">
        <v>0.50849999999999995</v>
      </c>
      <c r="I4680" s="3">
        <v>8.9399999999999993E-2</v>
      </c>
      <c r="K4680" s="3">
        <v>0.23380000000000001</v>
      </c>
    </row>
    <row r="4681" spans="1:11">
      <c r="A4681" t="s">
        <v>195</v>
      </c>
      <c r="B4681" t="s">
        <v>209</v>
      </c>
      <c r="C4681">
        <v>832</v>
      </c>
      <c r="D4681" t="s">
        <v>194</v>
      </c>
      <c r="E4681">
        <v>2567</v>
      </c>
      <c r="F4681" s="3">
        <v>3.27E-2</v>
      </c>
      <c r="G4681" s="3">
        <v>6.6900000000000001E-2</v>
      </c>
      <c r="H4681" s="3">
        <v>0.52900000000000003</v>
      </c>
      <c r="I4681" s="3">
        <v>8.3299999999999999E-2</v>
      </c>
      <c r="J4681" s="3">
        <v>5.9999999999999995E-4</v>
      </c>
      <c r="K4681" s="3">
        <v>0.28760000000000002</v>
      </c>
    </row>
    <row r="4682" spans="1:11">
      <c r="A4682" t="s">
        <v>199</v>
      </c>
      <c r="B4682" t="s">
        <v>207</v>
      </c>
      <c r="C4682">
        <v>274</v>
      </c>
      <c r="D4682" t="s">
        <v>194</v>
      </c>
      <c r="E4682">
        <v>2567</v>
      </c>
      <c r="F4682" s="3">
        <v>6.7500000000000004E-2</v>
      </c>
      <c r="G4682" s="3">
        <v>9.8000000000000004E-2</v>
      </c>
      <c r="H4682" s="3">
        <v>0.41980000000000001</v>
      </c>
      <c r="I4682" s="3">
        <v>0.16109999999999999</v>
      </c>
      <c r="J4682" s="3">
        <v>1.1999999999999999E-3</v>
      </c>
      <c r="K4682" s="3">
        <v>0.25240000000000001</v>
      </c>
    </row>
    <row r="4683" spans="1:11">
      <c r="A4683" t="s">
        <v>199</v>
      </c>
      <c r="B4683" t="s">
        <v>209</v>
      </c>
      <c r="C4683">
        <v>1149</v>
      </c>
      <c r="D4683" t="s">
        <v>194</v>
      </c>
      <c r="E4683">
        <v>2567</v>
      </c>
      <c r="F4683" s="3">
        <v>4.9500000000000002E-2</v>
      </c>
      <c r="G4683" s="3">
        <v>4.8800000000000003E-2</v>
      </c>
      <c r="H4683" s="3">
        <v>0.52790000000000004</v>
      </c>
      <c r="I4683" s="3">
        <v>9.8400000000000001E-2</v>
      </c>
      <c r="J4683" s="3">
        <v>1.4E-3</v>
      </c>
      <c r="K4683" s="3">
        <v>0.27410000000000001</v>
      </c>
    </row>
    <row r="4684" spans="1:11">
      <c r="A4684" t="s">
        <v>200</v>
      </c>
      <c r="B4684" t="s">
        <v>200</v>
      </c>
      <c r="C4684">
        <v>2567</v>
      </c>
      <c r="D4684" t="s">
        <v>200</v>
      </c>
      <c r="E4684">
        <v>2567</v>
      </c>
      <c r="F4684" s="3">
        <v>4.9399999999999999E-2</v>
      </c>
      <c r="G4684" s="3">
        <v>6.2E-2</v>
      </c>
      <c r="H4684" s="3">
        <v>0.51859999999999995</v>
      </c>
      <c r="I4684" s="3">
        <v>9.6699999999999994E-2</v>
      </c>
      <c r="J4684" s="3">
        <v>8.9999999999999998E-4</v>
      </c>
      <c r="K4684" s="3">
        <v>0.27239999999999998</v>
      </c>
    </row>
    <row r="4686" spans="1:11" ht="45">
      <c r="A4686" s="22" t="s">
        <v>1130</v>
      </c>
    </row>
    <row r="4687" spans="1:11">
      <c r="A4687" t="s">
        <v>185</v>
      </c>
      <c r="B4687" t="s">
        <v>192</v>
      </c>
      <c r="C4687" t="s">
        <v>184</v>
      </c>
      <c r="D4687" t="s">
        <v>193</v>
      </c>
      <c r="E4687" t="s">
        <v>1094</v>
      </c>
      <c r="F4687" t="s">
        <v>257</v>
      </c>
      <c r="G4687" t="s">
        <v>1097</v>
      </c>
      <c r="H4687" t="s">
        <v>1124</v>
      </c>
      <c r="I4687" t="s">
        <v>247</v>
      </c>
      <c r="J4687" t="s">
        <v>1125</v>
      </c>
    </row>
    <row r="4688" spans="1:11">
      <c r="A4688" t="s">
        <v>195</v>
      </c>
      <c r="B4688">
        <v>1144</v>
      </c>
      <c r="C4688" t="s">
        <v>194</v>
      </c>
      <c r="D4688">
        <v>2567</v>
      </c>
      <c r="E4688" s="3">
        <v>4.6399999999999997E-2</v>
      </c>
      <c r="F4688" s="3">
        <v>7.0999999999999994E-2</v>
      </c>
      <c r="G4688" s="3">
        <v>0.52359999999999995</v>
      </c>
      <c r="H4688" s="3">
        <v>8.4900000000000003E-2</v>
      </c>
      <c r="I4688" s="3">
        <v>4.0000000000000002E-4</v>
      </c>
      <c r="J4688" s="3">
        <v>0.27360000000000001</v>
      </c>
    </row>
    <row r="4689" spans="1:11">
      <c r="A4689" t="s">
        <v>199</v>
      </c>
      <c r="B4689">
        <v>1423</v>
      </c>
      <c r="C4689" t="s">
        <v>194</v>
      </c>
      <c r="D4689">
        <v>2567</v>
      </c>
      <c r="E4689" s="3">
        <v>5.1700000000000003E-2</v>
      </c>
      <c r="F4689" s="3">
        <v>5.4800000000000001E-2</v>
      </c>
      <c r="G4689" s="3">
        <v>0.51459999999999995</v>
      </c>
      <c r="H4689" s="3">
        <v>0.1061</v>
      </c>
      <c r="I4689" s="3">
        <v>1.2999999999999999E-3</v>
      </c>
      <c r="J4689" s="3">
        <v>0.27139999999999997</v>
      </c>
    </row>
    <row r="4690" spans="1:11">
      <c r="A4690" t="s">
        <v>200</v>
      </c>
      <c r="B4690">
        <v>2567</v>
      </c>
      <c r="C4690" t="s">
        <v>200</v>
      </c>
      <c r="D4690">
        <v>2567</v>
      </c>
      <c r="E4690" s="3">
        <v>4.9399999999999999E-2</v>
      </c>
      <c r="F4690" s="3">
        <v>6.2E-2</v>
      </c>
      <c r="G4690" s="3">
        <v>0.51859999999999995</v>
      </c>
      <c r="H4690" s="3">
        <v>9.6699999999999994E-2</v>
      </c>
      <c r="I4690" s="3">
        <v>8.9999999999999998E-4</v>
      </c>
      <c r="J4690" s="3">
        <v>0.27239999999999998</v>
      </c>
    </row>
    <row r="4692" spans="1:11" ht="45">
      <c r="A4692" s="22" t="s">
        <v>1131</v>
      </c>
    </row>
    <row r="4693" spans="1:11">
      <c r="A4693" t="s">
        <v>185</v>
      </c>
      <c r="B4693" t="s">
        <v>186</v>
      </c>
      <c r="C4693" t="s">
        <v>192</v>
      </c>
      <c r="D4693" t="s">
        <v>184</v>
      </c>
      <c r="E4693" t="s">
        <v>193</v>
      </c>
      <c r="F4693" t="s">
        <v>1094</v>
      </c>
      <c r="G4693" t="s">
        <v>257</v>
      </c>
      <c r="H4693" t="s">
        <v>1097</v>
      </c>
      <c r="I4693" t="s">
        <v>1124</v>
      </c>
      <c r="J4693" t="s">
        <v>247</v>
      </c>
      <c r="K4693" t="s">
        <v>1125</v>
      </c>
    </row>
    <row r="4694" spans="1:11">
      <c r="A4694" t="s">
        <v>195</v>
      </c>
      <c r="B4694" t="s">
        <v>212</v>
      </c>
      <c r="C4694">
        <v>863</v>
      </c>
      <c r="D4694" t="s">
        <v>194</v>
      </c>
      <c r="E4694">
        <v>2567</v>
      </c>
      <c r="F4694" s="3">
        <v>4.0099999999999997E-2</v>
      </c>
      <c r="G4694" s="3">
        <v>5.8000000000000003E-2</v>
      </c>
      <c r="H4694" s="3">
        <v>0.53039999999999998</v>
      </c>
      <c r="I4694" s="3">
        <v>8.4099999999999994E-2</v>
      </c>
      <c r="J4694" s="3">
        <v>5.0000000000000001E-4</v>
      </c>
      <c r="K4694" s="3">
        <v>0.28689999999999999</v>
      </c>
    </row>
    <row r="4695" spans="1:11">
      <c r="A4695" t="s">
        <v>195</v>
      </c>
      <c r="B4695" t="s">
        <v>214</v>
      </c>
      <c r="C4695">
        <v>147</v>
      </c>
      <c r="D4695" t="s">
        <v>194</v>
      </c>
      <c r="E4695">
        <v>2567</v>
      </c>
      <c r="F4695" s="3">
        <v>7.2700000000000001E-2</v>
      </c>
      <c r="G4695" s="3">
        <v>0.15909999999999999</v>
      </c>
      <c r="H4695" s="3">
        <v>0.52490000000000003</v>
      </c>
      <c r="I4695" s="3">
        <v>9.2700000000000005E-2</v>
      </c>
      <c r="K4695" s="3">
        <v>0.15060000000000001</v>
      </c>
    </row>
    <row r="4696" spans="1:11">
      <c r="A4696" t="s">
        <v>195</v>
      </c>
      <c r="B4696" t="s">
        <v>215</v>
      </c>
      <c r="C4696">
        <v>134</v>
      </c>
      <c r="D4696" t="s">
        <v>194</v>
      </c>
      <c r="E4696">
        <v>2567</v>
      </c>
      <c r="F4696" s="3">
        <v>6.4899999999999999E-2</v>
      </c>
      <c r="G4696" s="3">
        <v>5.8700000000000002E-2</v>
      </c>
      <c r="H4696" s="3">
        <v>0.46150000000000002</v>
      </c>
      <c r="I4696" s="3">
        <v>8.0799999999999997E-2</v>
      </c>
      <c r="K4696" s="3">
        <v>0.33400000000000002</v>
      </c>
    </row>
    <row r="4697" spans="1:11">
      <c r="A4697" t="s">
        <v>199</v>
      </c>
      <c r="B4697" t="s">
        <v>212</v>
      </c>
      <c r="C4697">
        <v>1102</v>
      </c>
      <c r="D4697" t="s">
        <v>194</v>
      </c>
      <c r="E4697">
        <v>2567</v>
      </c>
      <c r="F4697" s="3">
        <v>5.6000000000000001E-2</v>
      </c>
      <c r="G4697" s="3">
        <v>4.8300000000000003E-2</v>
      </c>
      <c r="H4697" s="3">
        <v>0.53869999999999996</v>
      </c>
      <c r="I4697" s="3">
        <v>0.1052</v>
      </c>
      <c r="J4697" s="3">
        <v>1.2999999999999999E-3</v>
      </c>
      <c r="K4697" s="3">
        <v>0.2505</v>
      </c>
    </row>
    <row r="4698" spans="1:11">
      <c r="A4698" t="s">
        <v>199</v>
      </c>
      <c r="B4698" t="s">
        <v>214</v>
      </c>
      <c r="C4698">
        <v>149</v>
      </c>
      <c r="D4698" t="s">
        <v>194</v>
      </c>
      <c r="E4698">
        <v>2567</v>
      </c>
      <c r="F4698" s="3">
        <v>3.8699999999999998E-2</v>
      </c>
      <c r="G4698" s="3">
        <v>6.6000000000000003E-2</v>
      </c>
      <c r="H4698" s="3">
        <v>0.35439999999999999</v>
      </c>
      <c r="I4698" s="3">
        <v>0.1216</v>
      </c>
      <c r="J4698" s="3">
        <v>1.1999999999999999E-3</v>
      </c>
      <c r="K4698" s="3">
        <v>0.41799999999999998</v>
      </c>
    </row>
    <row r="4699" spans="1:11">
      <c r="A4699" t="s">
        <v>199</v>
      </c>
      <c r="B4699" t="s">
        <v>215</v>
      </c>
      <c r="C4699">
        <v>172</v>
      </c>
      <c r="D4699" t="s">
        <v>194</v>
      </c>
      <c r="E4699">
        <v>2567</v>
      </c>
      <c r="F4699" s="3">
        <v>3.0700000000000002E-2</v>
      </c>
      <c r="G4699" s="3">
        <v>9.9099999999999994E-2</v>
      </c>
      <c r="H4699" s="3">
        <v>0.51600000000000001</v>
      </c>
      <c r="I4699" s="3">
        <v>9.35E-2</v>
      </c>
      <c r="J4699" s="3">
        <v>1.5E-3</v>
      </c>
      <c r="K4699" s="3">
        <v>0.2591</v>
      </c>
    </row>
    <row r="4700" spans="1:11">
      <c r="A4700" t="s">
        <v>200</v>
      </c>
      <c r="B4700" t="s">
        <v>200</v>
      </c>
      <c r="C4700">
        <v>2567</v>
      </c>
      <c r="D4700" t="s">
        <v>200</v>
      </c>
      <c r="E4700">
        <v>2567</v>
      </c>
      <c r="F4700" s="3">
        <v>4.9399999999999999E-2</v>
      </c>
      <c r="G4700" s="3">
        <v>6.2E-2</v>
      </c>
      <c r="H4700" s="3">
        <v>0.51859999999999995</v>
      </c>
      <c r="I4700" s="3">
        <v>9.6699999999999994E-2</v>
      </c>
      <c r="J4700" s="3">
        <v>8.9999999999999998E-4</v>
      </c>
      <c r="K4700" s="3">
        <v>0.27239999999999998</v>
      </c>
    </row>
    <row r="4702" spans="1:11" ht="45">
      <c r="A4702" s="22" t="s">
        <v>1132</v>
      </c>
    </row>
    <row r="4703" spans="1:11">
      <c r="A4703" t="s">
        <v>185</v>
      </c>
      <c r="B4703" t="s">
        <v>186</v>
      </c>
      <c r="C4703" t="s">
        <v>192</v>
      </c>
      <c r="D4703" t="s">
        <v>184</v>
      </c>
      <c r="E4703" t="s">
        <v>193</v>
      </c>
      <c r="F4703" t="s">
        <v>1094</v>
      </c>
      <c r="G4703" t="s">
        <v>257</v>
      </c>
      <c r="H4703" t="s">
        <v>1097</v>
      </c>
      <c r="I4703" t="s">
        <v>1124</v>
      </c>
      <c r="J4703" t="s">
        <v>247</v>
      </c>
      <c r="K4703" t="s">
        <v>1125</v>
      </c>
    </row>
    <row r="4704" spans="1:11">
      <c r="A4704" t="s">
        <v>195</v>
      </c>
      <c r="B4704" t="s">
        <v>217</v>
      </c>
      <c r="C4704">
        <v>497</v>
      </c>
      <c r="D4704" t="s">
        <v>194</v>
      </c>
      <c r="E4704">
        <v>2567</v>
      </c>
      <c r="F4704" s="3">
        <v>4.5999999999999999E-2</v>
      </c>
      <c r="G4704" s="3">
        <v>4.7699999999999999E-2</v>
      </c>
      <c r="H4704" s="3">
        <v>0.50119999999999998</v>
      </c>
      <c r="I4704" s="3">
        <v>6.9500000000000006E-2</v>
      </c>
      <c r="J4704" s="3">
        <v>1E-3</v>
      </c>
      <c r="K4704" s="3">
        <v>0.33460000000000001</v>
      </c>
    </row>
    <row r="4705" spans="1:19">
      <c r="A4705" t="s">
        <v>195</v>
      </c>
      <c r="B4705" t="s">
        <v>219</v>
      </c>
      <c r="C4705">
        <v>503</v>
      </c>
      <c r="D4705" t="s">
        <v>194</v>
      </c>
      <c r="E4705">
        <v>2567</v>
      </c>
      <c r="F4705" s="3">
        <v>4.6699999999999998E-2</v>
      </c>
      <c r="G4705" s="3">
        <v>5.45E-2</v>
      </c>
      <c r="H4705" s="3">
        <v>0.56689999999999996</v>
      </c>
      <c r="I4705" s="3">
        <v>8.72E-2</v>
      </c>
      <c r="K4705" s="3">
        <v>0.24460000000000001</v>
      </c>
    </row>
    <row r="4706" spans="1:19">
      <c r="A4706" t="s">
        <v>195</v>
      </c>
      <c r="B4706" t="s">
        <v>220</v>
      </c>
      <c r="C4706">
        <v>143</v>
      </c>
      <c r="D4706" t="s">
        <v>194</v>
      </c>
      <c r="E4706">
        <v>2567</v>
      </c>
      <c r="F4706" s="3">
        <v>4.65E-2</v>
      </c>
      <c r="G4706" s="3">
        <v>0.18390000000000001</v>
      </c>
      <c r="H4706" s="3">
        <v>0.47220000000000001</v>
      </c>
      <c r="I4706" s="3">
        <v>0.1235</v>
      </c>
      <c r="K4706" s="3">
        <v>0.1739</v>
      </c>
    </row>
    <row r="4707" spans="1:19">
      <c r="A4707" t="s">
        <v>199</v>
      </c>
      <c r="B4707" t="s">
        <v>217</v>
      </c>
      <c r="C4707">
        <v>807</v>
      </c>
      <c r="D4707" t="s">
        <v>194</v>
      </c>
      <c r="E4707">
        <v>2567</v>
      </c>
      <c r="F4707" s="3">
        <v>5.3400000000000003E-2</v>
      </c>
      <c r="G4707" s="3">
        <v>5.4800000000000001E-2</v>
      </c>
      <c r="H4707" s="3">
        <v>0.52449999999999997</v>
      </c>
      <c r="I4707" s="3">
        <v>9.5399999999999999E-2</v>
      </c>
      <c r="J4707" s="3">
        <v>1.9E-3</v>
      </c>
      <c r="K4707" s="3">
        <v>0.27</v>
      </c>
    </row>
    <row r="4708" spans="1:19">
      <c r="A4708" t="s">
        <v>199</v>
      </c>
      <c r="B4708" t="s">
        <v>219</v>
      </c>
      <c r="C4708">
        <v>449</v>
      </c>
      <c r="D4708" t="s">
        <v>194</v>
      </c>
      <c r="E4708">
        <v>2567</v>
      </c>
      <c r="F4708" s="3">
        <v>4.48E-2</v>
      </c>
      <c r="G4708" s="3">
        <v>7.7100000000000002E-2</v>
      </c>
      <c r="H4708" s="3">
        <v>0.46060000000000001</v>
      </c>
      <c r="I4708" s="3">
        <v>0.1149</v>
      </c>
      <c r="J4708" s="3">
        <v>5.9999999999999995E-4</v>
      </c>
      <c r="K4708" s="3">
        <v>0.30199999999999999</v>
      </c>
    </row>
    <row r="4709" spans="1:19">
      <c r="A4709" t="s">
        <v>199</v>
      </c>
      <c r="B4709" t="s">
        <v>220</v>
      </c>
      <c r="C4709">
        <v>167</v>
      </c>
      <c r="D4709" t="s">
        <v>194</v>
      </c>
      <c r="E4709">
        <v>2567</v>
      </c>
      <c r="F4709" s="3">
        <v>5.7500000000000002E-2</v>
      </c>
      <c r="G4709" s="3">
        <v>8.2000000000000007E-3</v>
      </c>
      <c r="H4709" s="3">
        <v>0.57799999999999996</v>
      </c>
      <c r="I4709" s="3">
        <v>0.1424</v>
      </c>
      <c r="K4709" s="3">
        <v>0.21390000000000001</v>
      </c>
    </row>
    <row r="4710" spans="1:19">
      <c r="A4710" t="s">
        <v>200</v>
      </c>
      <c r="B4710" t="s">
        <v>200</v>
      </c>
      <c r="C4710">
        <v>2567</v>
      </c>
      <c r="D4710" t="s">
        <v>200</v>
      </c>
      <c r="E4710">
        <v>2567</v>
      </c>
      <c r="F4710" s="3">
        <v>4.9399999999999999E-2</v>
      </c>
      <c r="G4710" s="3">
        <v>6.2E-2</v>
      </c>
      <c r="H4710" s="3">
        <v>0.51859999999999995</v>
      </c>
      <c r="I4710" s="3">
        <v>9.6699999999999994E-2</v>
      </c>
      <c r="J4710" s="3">
        <v>8.9999999999999998E-4</v>
      </c>
      <c r="K4710" s="3">
        <v>0.27239999999999998</v>
      </c>
    </row>
    <row r="4712" spans="1:19" ht="45">
      <c r="A4712" s="22" t="s">
        <v>1133</v>
      </c>
    </row>
    <row r="4713" spans="1:19">
      <c r="A4713" t="s">
        <v>185</v>
      </c>
      <c r="B4713" t="s">
        <v>186</v>
      </c>
      <c r="C4713" t="s">
        <v>192</v>
      </c>
      <c r="D4713" t="s">
        <v>184</v>
      </c>
      <c r="E4713" t="s">
        <v>193</v>
      </c>
      <c r="F4713" t="s">
        <v>1134</v>
      </c>
      <c r="G4713" t="s">
        <v>1135</v>
      </c>
      <c r="H4713" t="s">
        <v>1136</v>
      </c>
      <c r="I4713" t="s">
        <v>570</v>
      </c>
      <c r="J4713" t="s">
        <v>1137</v>
      </c>
      <c r="K4713" t="s">
        <v>1138</v>
      </c>
      <c r="L4713" t="s">
        <v>1139</v>
      </c>
      <c r="M4713" t="s">
        <v>1028</v>
      </c>
      <c r="N4713" t="s">
        <v>1140</v>
      </c>
      <c r="O4713" t="s">
        <v>1141</v>
      </c>
      <c r="P4713" t="s">
        <v>247</v>
      </c>
      <c r="Q4713" t="s">
        <v>1142</v>
      </c>
      <c r="R4713" t="s">
        <v>1143</v>
      </c>
      <c r="S4713" t="s">
        <v>1144</v>
      </c>
    </row>
    <row r="4714" spans="1:19">
      <c r="A4714" t="s">
        <v>195</v>
      </c>
      <c r="B4714" t="s">
        <v>222</v>
      </c>
      <c r="C4714">
        <v>169</v>
      </c>
      <c r="D4714" t="s">
        <v>194</v>
      </c>
      <c r="E4714">
        <v>1834</v>
      </c>
      <c r="F4714" s="3">
        <v>2.7300000000000001E-2</v>
      </c>
      <c r="G4714" s="3">
        <v>1.52E-2</v>
      </c>
      <c r="H4714" s="3">
        <v>6.7999999999999996E-3</v>
      </c>
      <c r="I4714" s="3">
        <v>0.53510000000000002</v>
      </c>
      <c r="J4714" s="3">
        <v>6.1499999999999999E-2</v>
      </c>
      <c r="K4714" s="3">
        <v>1.8700000000000001E-2</v>
      </c>
      <c r="L4714" s="3">
        <v>6.2600000000000003E-2</v>
      </c>
      <c r="M4714" s="3">
        <v>6.7000000000000002E-3</v>
      </c>
      <c r="N4714" s="3">
        <v>0.11269999999999999</v>
      </c>
      <c r="O4714" s="3">
        <v>0.1802</v>
      </c>
      <c r="P4714" s="3">
        <v>2.8500000000000001E-2</v>
      </c>
      <c r="Q4714" s="3">
        <v>0.1169</v>
      </c>
      <c r="R4714" s="3">
        <v>5.04E-2</v>
      </c>
      <c r="S4714" s="3">
        <v>0.1202</v>
      </c>
    </row>
    <row r="4715" spans="1:19">
      <c r="A4715" t="s">
        <v>195</v>
      </c>
      <c r="B4715" t="s">
        <v>224</v>
      </c>
      <c r="C4715">
        <v>606</v>
      </c>
      <c r="D4715" t="s">
        <v>194</v>
      </c>
      <c r="E4715">
        <v>1834</v>
      </c>
      <c r="F4715" s="3">
        <v>1.4E-2</v>
      </c>
      <c r="G4715" s="3">
        <v>2.5999999999999999E-3</v>
      </c>
      <c r="H4715" s="3">
        <v>2.8E-3</v>
      </c>
      <c r="I4715" s="3">
        <v>0.4037</v>
      </c>
      <c r="J4715" s="3">
        <v>0.10539999999999999</v>
      </c>
      <c r="K4715" s="3">
        <v>5.62E-2</v>
      </c>
      <c r="L4715" s="3">
        <v>6.4000000000000001E-2</v>
      </c>
      <c r="M4715" s="3">
        <v>1.43E-2</v>
      </c>
      <c r="N4715" s="3">
        <v>0.18490000000000001</v>
      </c>
      <c r="O4715" s="3">
        <v>0.3296</v>
      </c>
      <c r="P4715" s="3">
        <v>7.6E-3</v>
      </c>
      <c r="Q4715" s="3">
        <v>0.13</v>
      </c>
      <c r="R4715" s="3">
        <v>0.11749999999999999</v>
      </c>
      <c r="S4715" s="3">
        <v>0.1046</v>
      </c>
    </row>
    <row r="4716" spans="1:19">
      <c r="A4716" t="s">
        <v>199</v>
      </c>
      <c r="B4716" t="s">
        <v>222</v>
      </c>
      <c r="C4716">
        <v>283</v>
      </c>
      <c r="D4716" t="s">
        <v>194</v>
      </c>
      <c r="E4716">
        <v>1834</v>
      </c>
      <c r="F4716" s="3">
        <v>4.1999999999999997E-3</v>
      </c>
      <c r="G4716" s="3">
        <v>1.1000000000000001E-3</v>
      </c>
      <c r="H4716" s="3">
        <v>2.8E-3</v>
      </c>
      <c r="I4716" s="3">
        <v>0.3725</v>
      </c>
      <c r="J4716" s="3">
        <v>8.43E-2</v>
      </c>
      <c r="K4716" s="3">
        <v>0.10390000000000001</v>
      </c>
      <c r="L4716" s="3">
        <v>9.01E-2</v>
      </c>
      <c r="M4716" s="3">
        <v>1.4E-2</v>
      </c>
      <c r="N4716" s="3">
        <v>0.26129999999999998</v>
      </c>
      <c r="O4716" s="3">
        <v>0.33210000000000001</v>
      </c>
      <c r="P4716" s="3">
        <v>5.7000000000000002E-3</v>
      </c>
      <c r="Q4716" s="3">
        <v>0.1232</v>
      </c>
      <c r="R4716" s="3">
        <v>0.13139999999999999</v>
      </c>
      <c r="S4716" s="3">
        <v>0.2429</v>
      </c>
    </row>
    <row r="4717" spans="1:19">
      <c r="A4717" t="s">
        <v>199</v>
      </c>
      <c r="B4717" t="s">
        <v>224</v>
      </c>
      <c r="C4717">
        <v>776</v>
      </c>
      <c r="D4717" t="s">
        <v>194</v>
      </c>
      <c r="E4717">
        <v>1834</v>
      </c>
      <c r="F4717" s="3">
        <v>1.14E-2</v>
      </c>
      <c r="G4717" s="3">
        <v>9.4000000000000004E-3</v>
      </c>
      <c r="H4717" s="3">
        <v>1.0500000000000001E-2</v>
      </c>
      <c r="I4717" s="3">
        <v>0.24360000000000001</v>
      </c>
      <c r="J4717" s="3">
        <v>0.1216</v>
      </c>
      <c r="K4717" s="3">
        <v>0.1532</v>
      </c>
      <c r="L4717" s="3">
        <v>0.17710000000000001</v>
      </c>
      <c r="M4717" s="3">
        <v>1.8200000000000001E-2</v>
      </c>
      <c r="N4717" s="3">
        <v>0.17829999999999999</v>
      </c>
      <c r="O4717" s="3">
        <v>0.42980000000000002</v>
      </c>
      <c r="P4717" s="3">
        <v>8.8000000000000005E-3</v>
      </c>
      <c r="Q4717" s="3">
        <v>9.98E-2</v>
      </c>
      <c r="R4717" s="3">
        <v>9.98E-2</v>
      </c>
      <c r="S4717" s="3">
        <v>0.187</v>
      </c>
    </row>
    <row r="4718" spans="1:19">
      <c r="A4718" t="s">
        <v>200</v>
      </c>
      <c r="B4718" t="s">
        <v>200</v>
      </c>
      <c r="C4718">
        <v>1834</v>
      </c>
      <c r="D4718" t="s">
        <v>200</v>
      </c>
      <c r="E4718">
        <v>1834</v>
      </c>
      <c r="F4718" s="3">
        <v>1.29E-2</v>
      </c>
      <c r="G4718" s="3">
        <v>6.3E-3</v>
      </c>
      <c r="H4718" s="3">
        <v>6.1999999999999998E-3</v>
      </c>
      <c r="I4718" s="3">
        <v>0.35139999999999999</v>
      </c>
      <c r="J4718" s="3">
        <v>0.10340000000000001</v>
      </c>
      <c r="K4718" s="3">
        <v>9.7199999999999995E-2</v>
      </c>
      <c r="L4718" s="3">
        <v>0.1116</v>
      </c>
      <c r="M4718" s="3">
        <v>1.49E-2</v>
      </c>
      <c r="N4718" s="3">
        <v>0.187</v>
      </c>
      <c r="O4718" s="3">
        <v>0.35220000000000001</v>
      </c>
      <c r="P4718" s="3">
        <v>0.01</v>
      </c>
      <c r="Q4718" s="3">
        <v>0.1158</v>
      </c>
      <c r="R4718" s="3">
        <v>0.1056</v>
      </c>
      <c r="S4718" s="3">
        <v>0.16059999999999999</v>
      </c>
    </row>
    <row r="4720" spans="1:19" ht="45">
      <c r="A4720" s="22" t="s">
        <v>1145</v>
      </c>
    </row>
    <row r="4721" spans="1:19">
      <c r="A4721" t="s">
        <v>185</v>
      </c>
      <c r="B4721" t="s">
        <v>186</v>
      </c>
      <c r="C4721" t="s">
        <v>192</v>
      </c>
      <c r="D4721" t="s">
        <v>184</v>
      </c>
      <c r="E4721" t="s">
        <v>193</v>
      </c>
      <c r="F4721" t="s">
        <v>1134</v>
      </c>
      <c r="G4721" t="s">
        <v>1135</v>
      </c>
      <c r="H4721" t="s">
        <v>1136</v>
      </c>
      <c r="I4721" t="s">
        <v>570</v>
      </c>
      <c r="J4721" t="s">
        <v>1137</v>
      </c>
      <c r="K4721" t="s">
        <v>1138</v>
      </c>
      <c r="L4721" t="s">
        <v>1139</v>
      </c>
      <c r="M4721" t="s">
        <v>1028</v>
      </c>
      <c r="N4721" t="s">
        <v>1140</v>
      </c>
      <c r="O4721" t="s">
        <v>1141</v>
      </c>
      <c r="P4721" t="s">
        <v>247</v>
      </c>
      <c r="Q4721" t="s">
        <v>1142</v>
      </c>
      <c r="R4721" t="s">
        <v>1143</v>
      </c>
      <c r="S4721" t="s">
        <v>1144</v>
      </c>
    </row>
    <row r="4722" spans="1:19">
      <c r="A4722" t="s">
        <v>195</v>
      </c>
      <c r="B4722" t="s">
        <v>229</v>
      </c>
      <c r="C4722">
        <v>75</v>
      </c>
      <c r="D4722" t="s">
        <v>194</v>
      </c>
      <c r="E4722">
        <v>1834</v>
      </c>
      <c r="F4722" s="3">
        <v>8.8000000000000005E-3</v>
      </c>
      <c r="G4722" s="3">
        <v>1.38E-2</v>
      </c>
      <c r="I4722" s="3">
        <v>0.27539999999999998</v>
      </c>
      <c r="J4722" s="3">
        <v>1.8700000000000001E-2</v>
      </c>
      <c r="K4722" s="3">
        <v>5.0299999999999997E-2</v>
      </c>
      <c r="L4722" s="3">
        <v>9.4700000000000006E-2</v>
      </c>
      <c r="M4722" s="3">
        <v>2.0899999999999998E-2</v>
      </c>
      <c r="N4722" s="3">
        <v>0.19719999999999999</v>
      </c>
      <c r="O4722" s="3">
        <v>0.36730000000000002</v>
      </c>
      <c r="P4722" s="3">
        <v>4.0000000000000002E-4</v>
      </c>
      <c r="Q4722" s="3">
        <v>4.1700000000000001E-2</v>
      </c>
      <c r="R4722" s="3">
        <v>0.1384</v>
      </c>
      <c r="S4722" s="3">
        <v>0.1923</v>
      </c>
    </row>
    <row r="4723" spans="1:19">
      <c r="A4723" t="s">
        <v>195</v>
      </c>
      <c r="B4723" t="s">
        <v>230</v>
      </c>
      <c r="C4723">
        <v>324</v>
      </c>
      <c r="D4723" t="s">
        <v>194</v>
      </c>
      <c r="E4723">
        <v>1834</v>
      </c>
      <c r="F4723" s="3">
        <v>1.49E-2</v>
      </c>
      <c r="G4723" s="3">
        <v>4.0000000000000001E-3</v>
      </c>
      <c r="H4723" s="3">
        <v>4.7000000000000002E-3</v>
      </c>
      <c r="I4723" s="3">
        <v>0.3977</v>
      </c>
      <c r="J4723" s="3">
        <v>0.1167</v>
      </c>
      <c r="K4723" s="3">
        <v>4.8099999999999997E-2</v>
      </c>
      <c r="L4723" s="3">
        <v>7.4899999999999994E-2</v>
      </c>
      <c r="M4723" s="3">
        <v>4.0000000000000001E-3</v>
      </c>
      <c r="N4723" s="3">
        <v>0.16</v>
      </c>
      <c r="O4723" s="3">
        <v>0.31009999999999999</v>
      </c>
      <c r="P4723" s="3">
        <v>1.8700000000000001E-2</v>
      </c>
      <c r="Q4723" s="3">
        <v>0.14949999999999999</v>
      </c>
      <c r="R4723" s="3">
        <v>0.1017</v>
      </c>
      <c r="S4723" s="3">
        <v>9.1200000000000003E-2</v>
      </c>
    </row>
    <row r="4724" spans="1:19">
      <c r="A4724" t="s">
        <v>195</v>
      </c>
      <c r="B4724" t="s">
        <v>231</v>
      </c>
      <c r="C4724">
        <v>203</v>
      </c>
      <c r="D4724" t="s">
        <v>194</v>
      </c>
      <c r="E4724">
        <v>1834</v>
      </c>
      <c r="F4724" s="3">
        <v>1.4800000000000001E-2</v>
      </c>
      <c r="G4724" s="3">
        <v>1.9E-3</v>
      </c>
      <c r="H4724" s="3">
        <v>1.4E-3</v>
      </c>
      <c r="I4724" s="3">
        <v>0.45800000000000002</v>
      </c>
      <c r="J4724" s="3">
        <v>0.1071</v>
      </c>
      <c r="K4724" s="3">
        <v>7.3800000000000004E-2</v>
      </c>
      <c r="L4724" s="3">
        <v>6.9900000000000004E-2</v>
      </c>
      <c r="M4724" s="3">
        <v>2.86E-2</v>
      </c>
      <c r="N4724" s="3">
        <v>0.1847</v>
      </c>
      <c r="O4724" s="3">
        <v>0.33339999999999997</v>
      </c>
      <c r="P4724" s="3">
        <v>1.78E-2</v>
      </c>
      <c r="Q4724" s="3">
        <v>0.11509999999999999</v>
      </c>
      <c r="R4724" s="3">
        <v>0.1086</v>
      </c>
      <c r="S4724" s="3">
        <v>0.12559999999999999</v>
      </c>
    </row>
    <row r="4725" spans="1:19">
      <c r="A4725" t="s">
        <v>195</v>
      </c>
      <c r="B4725" t="s">
        <v>232</v>
      </c>
      <c r="C4725">
        <v>173</v>
      </c>
      <c r="D4725" t="s">
        <v>194</v>
      </c>
      <c r="E4725">
        <v>1834</v>
      </c>
      <c r="F4725" s="3">
        <v>3.09E-2</v>
      </c>
      <c r="G4725" s="3">
        <v>8.2000000000000007E-3</v>
      </c>
      <c r="H4725" s="3">
        <v>7.7000000000000002E-3</v>
      </c>
      <c r="I4725" s="3">
        <v>0.59530000000000005</v>
      </c>
      <c r="J4725" s="3">
        <v>8.7900000000000006E-2</v>
      </c>
      <c r="K4725" s="3">
        <v>8.5000000000000006E-3</v>
      </c>
      <c r="L4725" s="3">
        <v>1.12E-2</v>
      </c>
      <c r="M4725" s="3">
        <v>2.8E-3</v>
      </c>
      <c r="N4725" s="3">
        <v>0.13919999999999999</v>
      </c>
      <c r="O4725" s="3">
        <v>0.15659999999999999</v>
      </c>
      <c r="P4725" s="3">
        <v>2.7000000000000001E-3</v>
      </c>
      <c r="Q4725" s="3">
        <v>0.15590000000000001</v>
      </c>
      <c r="R4725" s="3">
        <v>6.4699999999999994E-2</v>
      </c>
      <c r="S4725" s="3">
        <v>6.2199999999999998E-2</v>
      </c>
    </row>
    <row r="4726" spans="1:19">
      <c r="A4726" t="s">
        <v>199</v>
      </c>
      <c r="B4726" t="s">
        <v>229</v>
      </c>
      <c r="C4726">
        <v>95</v>
      </c>
      <c r="D4726" t="s">
        <v>194</v>
      </c>
      <c r="E4726">
        <v>1834</v>
      </c>
      <c r="G4726" s="3">
        <v>1.8499999999999999E-2</v>
      </c>
      <c r="H4726" s="3">
        <v>1.8499999999999999E-2</v>
      </c>
      <c r="I4726" s="3">
        <v>0.15590000000000001</v>
      </c>
      <c r="J4726" s="3">
        <v>0.18909999999999999</v>
      </c>
      <c r="K4726" s="3">
        <v>0.2112</v>
      </c>
      <c r="L4726" s="3">
        <v>0.20699999999999999</v>
      </c>
      <c r="M4726" s="3">
        <v>2.0999999999999999E-3</v>
      </c>
      <c r="N4726" s="3">
        <v>0.3029</v>
      </c>
      <c r="O4726" s="3">
        <v>0.59540000000000004</v>
      </c>
      <c r="P4726" s="3">
        <v>1.6000000000000001E-3</v>
      </c>
      <c r="Q4726" s="3">
        <v>4.87E-2</v>
      </c>
      <c r="R4726" s="3">
        <v>0.1084</v>
      </c>
      <c r="S4726" s="3">
        <v>0.22</v>
      </c>
    </row>
    <row r="4727" spans="1:19">
      <c r="A4727" t="s">
        <v>199</v>
      </c>
      <c r="B4727" t="s">
        <v>230</v>
      </c>
      <c r="C4727">
        <v>497</v>
      </c>
      <c r="D4727" t="s">
        <v>194</v>
      </c>
      <c r="E4727">
        <v>1834</v>
      </c>
      <c r="F4727" s="3">
        <v>9.7000000000000003E-3</v>
      </c>
      <c r="G4727" s="3">
        <v>4.8999999999999998E-3</v>
      </c>
      <c r="H4727" s="3">
        <v>6.8999999999999999E-3</v>
      </c>
      <c r="I4727" s="3">
        <v>0.26700000000000002</v>
      </c>
      <c r="J4727" s="3">
        <v>9.1200000000000003E-2</v>
      </c>
      <c r="K4727" s="3">
        <v>0.1515</v>
      </c>
      <c r="L4727" s="3">
        <v>0.17979999999999999</v>
      </c>
      <c r="M4727" s="3">
        <v>1.9699999999999999E-2</v>
      </c>
      <c r="N4727" s="3">
        <v>0.19650000000000001</v>
      </c>
      <c r="O4727" s="3">
        <v>0.40010000000000001</v>
      </c>
      <c r="P4727" s="3">
        <v>1.14E-2</v>
      </c>
      <c r="Q4727" s="3">
        <v>0.1104</v>
      </c>
      <c r="R4727" s="3">
        <v>0.13170000000000001</v>
      </c>
      <c r="S4727" s="3">
        <v>0.2074</v>
      </c>
    </row>
    <row r="4728" spans="1:19">
      <c r="A4728" t="s">
        <v>199</v>
      </c>
      <c r="B4728" t="s">
        <v>231</v>
      </c>
      <c r="C4728">
        <v>302</v>
      </c>
      <c r="D4728" t="s">
        <v>194</v>
      </c>
      <c r="E4728">
        <v>1834</v>
      </c>
      <c r="F4728" s="3">
        <v>1.8100000000000002E-2</v>
      </c>
      <c r="G4728" s="3">
        <v>3.8999999999999998E-3</v>
      </c>
      <c r="H4728" s="3">
        <v>7.1000000000000004E-3</v>
      </c>
      <c r="I4728" s="3">
        <v>0.36759999999999998</v>
      </c>
      <c r="J4728" s="3">
        <v>0.1399</v>
      </c>
      <c r="K4728" s="3">
        <v>2.3199999999999998E-2</v>
      </c>
      <c r="L4728" s="3">
        <v>9.0800000000000006E-2</v>
      </c>
      <c r="M4728" s="3">
        <v>4.0000000000000001E-3</v>
      </c>
      <c r="N4728" s="3">
        <v>0.1903</v>
      </c>
      <c r="O4728" s="3">
        <v>0.34620000000000001</v>
      </c>
      <c r="P4728" s="3">
        <v>2.0999999999999999E-3</v>
      </c>
      <c r="Q4728" s="3">
        <v>0.1182</v>
      </c>
      <c r="R4728" s="3">
        <v>4.3799999999999999E-2</v>
      </c>
      <c r="S4728" s="3">
        <v>0.21260000000000001</v>
      </c>
    </row>
    <row r="4729" spans="1:19">
      <c r="A4729" t="s">
        <v>199</v>
      </c>
      <c r="B4729" t="s">
        <v>232</v>
      </c>
      <c r="C4729">
        <v>165</v>
      </c>
      <c r="D4729" t="s">
        <v>194</v>
      </c>
      <c r="E4729">
        <v>1834</v>
      </c>
      <c r="F4729" s="3">
        <v>8.2000000000000007E-3</v>
      </c>
      <c r="G4729" s="3">
        <v>4.0000000000000001E-3</v>
      </c>
      <c r="H4729" s="3">
        <v>2.5000000000000001E-3</v>
      </c>
      <c r="I4729" s="3">
        <v>0.36509999999999998</v>
      </c>
      <c r="J4729" s="3">
        <v>5.3900000000000003E-2</v>
      </c>
      <c r="K4729" s="3">
        <v>0.14829999999999999</v>
      </c>
      <c r="L4729" s="3">
        <v>7.4999999999999997E-2</v>
      </c>
      <c r="M4729" s="3">
        <v>3.8100000000000002E-2</v>
      </c>
      <c r="N4729" s="3">
        <v>0.13289999999999999</v>
      </c>
      <c r="O4729" s="3">
        <v>0.2596</v>
      </c>
      <c r="P4729" s="3">
        <v>1.01E-2</v>
      </c>
      <c r="Q4729" s="3">
        <v>0.14410000000000001</v>
      </c>
      <c r="R4729" s="3">
        <v>0.1145</v>
      </c>
      <c r="S4729" s="3">
        <v>0.16650000000000001</v>
      </c>
    </row>
    <row r="4730" spans="1:19">
      <c r="A4730" t="s">
        <v>200</v>
      </c>
      <c r="B4730" t="s">
        <v>200</v>
      </c>
      <c r="C4730">
        <v>1834</v>
      </c>
      <c r="D4730" t="s">
        <v>200</v>
      </c>
      <c r="E4730">
        <v>1834</v>
      </c>
      <c r="F4730" s="3">
        <v>1.29E-2</v>
      </c>
      <c r="G4730" s="3">
        <v>6.3E-3</v>
      </c>
      <c r="H4730" s="3">
        <v>6.1999999999999998E-3</v>
      </c>
      <c r="I4730" s="3">
        <v>0.35139999999999999</v>
      </c>
      <c r="J4730" s="3">
        <v>0.10340000000000001</v>
      </c>
      <c r="K4730" s="3">
        <v>9.7199999999999995E-2</v>
      </c>
      <c r="L4730" s="3">
        <v>0.1116</v>
      </c>
      <c r="M4730" s="3">
        <v>1.49E-2</v>
      </c>
      <c r="N4730" s="3">
        <v>0.187</v>
      </c>
      <c r="O4730" s="3">
        <v>0.35220000000000001</v>
      </c>
      <c r="P4730" s="3">
        <v>0.01</v>
      </c>
      <c r="Q4730" s="3">
        <v>0.1158</v>
      </c>
      <c r="R4730" s="3">
        <v>0.1056</v>
      </c>
      <c r="S4730" s="3">
        <v>0.16059999999999999</v>
      </c>
    </row>
    <row r="4732" spans="1:19" ht="45">
      <c r="A4732" s="22" t="s">
        <v>1146</v>
      </c>
    </row>
    <row r="4733" spans="1:19">
      <c r="A4733" t="s">
        <v>185</v>
      </c>
      <c r="B4733" t="s">
        <v>186</v>
      </c>
      <c r="C4733" t="s">
        <v>192</v>
      </c>
      <c r="D4733" t="s">
        <v>184</v>
      </c>
      <c r="E4733" t="s">
        <v>193</v>
      </c>
      <c r="F4733" t="s">
        <v>1134</v>
      </c>
      <c r="G4733" t="s">
        <v>1135</v>
      </c>
      <c r="H4733" t="s">
        <v>1136</v>
      </c>
      <c r="I4733" t="s">
        <v>570</v>
      </c>
      <c r="J4733" t="s">
        <v>1137</v>
      </c>
      <c r="K4733" t="s">
        <v>1138</v>
      </c>
      <c r="L4733" t="s">
        <v>1139</v>
      </c>
      <c r="M4733" t="s">
        <v>1028</v>
      </c>
      <c r="N4733" t="s">
        <v>1140</v>
      </c>
      <c r="O4733" t="s">
        <v>1141</v>
      </c>
      <c r="P4733" t="s">
        <v>247</v>
      </c>
      <c r="Q4733" t="s">
        <v>1142</v>
      </c>
      <c r="R4733" t="s">
        <v>1143</v>
      </c>
      <c r="S4733" t="s">
        <v>1144</v>
      </c>
    </row>
    <row r="4734" spans="1:19">
      <c r="A4734" t="s">
        <v>195</v>
      </c>
      <c r="B4734" t="s">
        <v>196</v>
      </c>
      <c r="C4734">
        <v>236</v>
      </c>
      <c r="D4734" t="s">
        <v>194</v>
      </c>
      <c r="E4734">
        <v>1834</v>
      </c>
      <c r="F4734" s="3">
        <v>1.54E-2</v>
      </c>
      <c r="G4734" s="3">
        <v>4.4000000000000003E-3</v>
      </c>
      <c r="H4734" s="3">
        <v>4.4000000000000003E-3</v>
      </c>
      <c r="I4734" s="3">
        <v>0.45979999999999999</v>
      </c>
      <c r="J4734" s="3">
        <v>8.5800000000000001E-2</v>
      </c>
      <c r="K4734" s="3">
        <v>4.4900000000000002E-2</v>
      </c>
      <c r="L4734" s="3">
        <v>2.4299999999999999E-2</v>
      </c>
      <c r="M4734" s="3">
        <v>2.5000000000000001E-3</v>
      </c>
      <c r="N4734" s="3">
        <v>0.13139999999999999</v>
      </c>
      <c r="O4734" s="3">
        <v>0.28010000000000002</v>
      </c>
      <c r="P4734" s="3">
        <v>2.1600000000000001E-2</v>
      </c>
      <c r="Q4734" s="3">
        <v>0.14069999999999999</v>
      </c>
      <c r="R4734" s="3">
        <v>6.1400000000000003E-2</v>
      </c>
      <c r="S4734" s="3">
        <v>6.4000000000000001E-2</v>
      </c>
    </row>
    <row r="4735" spans="1:19">
      <c r="A4735" t="s">
        <v>195</v>
      </c>
      <c r="B4735" t="s">
        <v>198</v>
      </c>
      <c r="C4735">
        <v>522</v>
      </c>
      <c r="D4735" t="s">
        <v>194</v>
      </c>
      <c r="E4735">
        <v>1834</v>
      </c>
      <c r="F4735" s="3">
        <v>1.78E-2</v>
      </c>
      <c r="G4735" s="3">
        <v>6.1000000000000004E-3</v>
      </c>
      <c r="H4735" s="3">
        <v>3.7000000000000002E-3</v>
      </c>
      <c r="I4735" s="3">
        <v>0.4299</v>
      </c>
      <c r="J4735" s="3">
        <v>9.5299999999999996E-2</v>
      </c>
      <c r="K4735" s="3">
        <v>4.8099999999999997E-2</v>
      </c>
      <c r="L4735" s="3">
        <v>7.4999999999999997E-2</v>
      </c>
      <c r="M4735" s="3">
        <v>1.52E-2</v>
      </c>
      <c r="N4735" s="3">
        <v>0.1762</v>
      </c>
      <c r="O4735" s="3">
        <v>0.29899999999999999</v>
      </c>
      <c r="P4735" s="3">
        <v>1.04E-2</v>
      </c>
      <c r="Q4735" s="3">
        <v>0.11940000000000001</v>
      </c>
      <c r="R4735" s="3">
        <v>0.1105</v>
      </c>
      <c r="S4735" s="3">
        <v>0.121</v>
      </c>
    </row>
    <row r="4736" spans="1:19">
      <c r="A4736" t="s">
        <v>199</v>
      </c>
      <c r="B4736" t="s">
        <v>196</v>
      </c>
      <c r="C4736">
        <v>343</v>
      </c>
      <c r="D4736" t="s">
        <v>194</v>
      </c>
      <c r="E4736">
        <v>1834</v>
      </c>
      <c r="F4736" s="3">
        <v>1.29E-2</v>
      </c>
      <c r="G4736" s="3">
        <v>4.7000000000000002E-3</v>
      </c>
      <c r="H4736" s="3">
        <v>8.3000000000000001E-3</v>
      </c>
      <c r="I4736" s="3">
        <v>0.4617</v>
      </c>
      <c r="J4736" s="3">
        <v>3.0800000000000001E-2</v>
      </c>
      <c r="K4736" s="3">
        <v>0.1057</v>
      </c>
      <c r="L4736" s="3">
        <v>2.46E-2</v>
      </c>
      <c r="M4736" s="3">
        <v>2.69E-2</v>
      </c>
      <c r="N4736" s="3">
        <v>0.12470000000000001</v>
      </c>
      <c r="O4736" s="3">
        <v>0.31909999999999999</v>
      </c>
      <c r="P4736" s="3">
        <v>2.5399999999999999E-2</v>
      </c>
      <c r="Q4736" s="3">
        <v>4.5499999999999999E-2</v>
      </c>
      <c r="R4736" s="3">
        <v>3.6700000000000003E-2</v>
      </c>
      <c r="S4736" s="3">
        <v>0.12509999999999999</v>
      </c>
    </row>
    <row r="4737" spans="1:19">
      <c r="A4737" t="s">
        <v>199</v>
      </c>
      <c r="B4737" t="s">
        <v>198</v>
      </c>
      <c r="C4737">
        <v>699</v>
      </c>
      <c r="D4737" t="s">
        <v>194</v>
      </c>
      <c r="E4737">
        <v>1834</v>
      </c>
      <c r="F4737" s="3">
        <v>8.5000000000000006E-3</v>
      </c>
      <c r="G4737" s="3">
        <v>7.4000000000000003E-3</v>
      </c>
      <c r="H4737" s="3">
        <v>8.0999999999999996E-3</v>
      </c>
      <c r="I4737" s="3">
        <v>0.24529999999999999</v>
      </c>
      <c r="J4737" s="3">
        <v>0.12640000000000001</v>
      </c>
      <c r="K4737" s="3">
        <v>0.1454</v>
      </c>
      <c r="L4737" s="3">
        <v>0.17699999999999999</v>
      </c>
      <c r="M4737" s="3">
        <v>1.4999999999999999E-2</v>
      </c>
      <c r="N4737" s="3">
        <v>0.21879999999999999</v>
      </c>
      <c r="O4737" s="3">
        <v>0.4178</v>
      </c>
      <c r="P4737" s="3">
        <v>4.3E-3</v>
      </c>
      <c r="Q4737" s="3">
        <v>0.1192</v>
      </c>
      <c r="R4737" s="3">
        <v>0.1241</v>
      </c>
      <c r="S4737" s="3">
        <v>0.2198</v>
      </c>
    </row>
    <row r="4738" spans="1:19">
      <c r="A4738" t="s">
        <v>200</v>
      </c>
      <c r="B4738" t="s">
        <v>200</v>
      </c>
      <c r="C4738">
        <v>1834</v>
      </c>
      <c r="D4738" t="s">
        <v>200</v>
      </c>
      <c r="E4738">
        <v>1834</v>
      </c>
      <c r="F4738" s="3">
        <v>1.29E-2</v>
      </c>
      <c r="G4738" s="3">
        <v>6.3E-3</v>
      </c>
      <c r="H4738" s="3">
        <v>6.1999999999999998E-3</v>
      </c>
      <c r="I4738" s="3">
        <v>0.35139999999999999</v>
      </c>
      <c r="J4738" s="3">
        <v>0.10340000000000001</v>
      </c>
      <c r="K4738" s="3">
        <v>9.7199999999999995E-2</v>
      </c>
      <c r="L4738" s="3">
        <v>0.1116</v>
      </c>
      <c r="M4738" s="3">
        <v>1.49E-2</v>
      </c>
      <c r="N4738" s="3">
        <v>0.187</v>
      </c>
      <c r="O4738" s="3">
        <v>0.35220000000000001</v>
      </c>
      <c r="P4738" s="3">
        <v>0.01</v>
      </c>
      <c r="Q4738" s="3">
        <v>0.1158</v>
      </c>
      <c r="R4738" s="3">
        <v>0.1056</v>
      </c>
      <c r="S4738" s="3">
        <v>0.16059999999999999</v>
      </c>
    </row>
    <row r="4740" spans="1:19" ht="45">
      <c r="A4740" s="22" t="s">
        <v>1147</v>
      </c>
    </row>
    <row r="4741" spans="1:19">
      <c r="A4741" t="s">
        <v>185</v>
      </c>
      <c r="B4741" t="s">
        <v>186</v>
      </c>
      <c r="C4741" t="s">
        <v>192</v>
      </c>
      <c r="D4741" t="s">
        <v>184</v>
      </c>
      <c r="E4741" t="s">
        <v>193</v>
      </c>
      <c r="F4741" t="s">
        <v>1134</v>
      </c>
      <c r="G4741" t="s">
        <v>1135</v>
      </c>
      <c r="H4741" t="s">
        <v>1136</v>
      </c>
      <c r="I4741" t="s">
        <v>570</v>
      </c>
      <c r="J4741" t="s">
        <v>1137</v>
      </c>
      <c r="K4741" t="s">
        <v>1138</v>
      </c>
      <c r="L4741" t="s">
        <v>1139</v>
      </c>
      <c r="M4741" t="s">
        <v>1028</v>
      </c>
      <c r="N4741" t="s">
        <v>1140</v>
      </c>
      <c r="O4741" t="s">
        <v>1141</v>
      </c>
      <c r="P4741" t="s">
        <v>247</v>
      </c>
      <c r="Q4741" t="s">
        <v>1142</v>
      </c>
      <c r="R4741" t="s">
        <v>1143</v>
      </c>
      <c r="S4741" t="s">
        <v>1144</v>
      </c>
    </row>
    <row r="4742" spans="1:19">
      <c r="A4742" t="s">
        <v>195</v>
      </c>
      <c r="B4742" t="s">
        <v>202</v>
      </c>
      <c r="C4742">
        <v>292</v>
      </c>
      <c r="D4742" t="s">
        <v>194</v>
      </c>
      <c r="E4742">
        <v>1834</v>
      </c>
      <c r="F4742" s="3">
        <v>1.1299999999999999E-2</v>
      </c>
      <c r="G4742" s="3">
        <v>3.5000000000000001E-3</v>
      </c>
      <c r="I4742" s="3">
        <v>0.46800000000000003</v>
      </c>
      <c r="J4742" s="3">
        <v>9.4200000000000006E-2</v>
      </c>
      <c r="K4742" s="3">
        <v>4.8899999999999999E-2</v>
      </c>
      <c r="L4742" s="3">
        <v>5.4100000000000002E-2</v>
      </c>
      <c r="M4742" s="3">
        <v>8.6999999999999994E-3</v>
      </c>
      <c r="N4742" s="3">
        <v>0.13700000000000001</v>
      </c>
      <c r="O4742" s="3">
        <v>0.32119999999999999</v>
      </c>
      <c r="P4742" s="3">
        <v>1.77E-2</v>
      </c>
      <c r="Q4742" s="3">
        <v>8.5699999999999998E-2</v>
      </c>
      <c r="R4742" s="3">
        <v>7.9000000000000001E-2</v>
      </c>
      <c r="S4742" s="3">
        <v>3.9399999999999998E-2</v>
      </c>
    </row>
    <row r="4743" spans="1:19">
      <c r="A4743" t="s">
        <v>195</v>
      </c>
      <c r="B4743" t="s">
        <v>204</v>
      </c>
      <c r="C4743">
        <v>199</v>
      </c>
      <c r="D4743" t="s">
        <v>194</v>
      </c>
      <c r="E4743">
        <v>1834</v>
      </c>
      <c r="F4743" s="3">
        <v>1.2800000000000001E-2</v>
      </c>
      <c r="G4743" s="3">
        <v>2.8E-3</v>
      </c>
      <c r="H4743" s="3">
        <v>3.5000000000000001E-3</v>
      </c>
      <c r="I4743" s="3">
        <v>0.39789999999999998</v>
      </c>
      <c r="J4743" s="3">
        <v>8.1299999999999997E-2</v>
      </c>
      <c r="K4743" s="3">
        <v>5.62E-2</v>
      </c>
      <c r="L4743" s="3">
        <v>0.1116</v>
      </c>
      <c r="M4743" s="3">
        <v>2.1600000000000001E-2</v>
      </c>
      <c r="N4743" s="3">
        <v>0.17710000000000001</v>
      </c>
      <c r="O4743" s="3">
        <v>0.3367</v>
      </c>
      <c r="P4743" s="3">
        <v>6.8999999999999999E-3</v>
      </c>
      <c r="Q4743" s="3">
        <v>0.13730000000000001</v>
      </c>
      <c r="R4743" s="3">
        <v>0.16589999999999999</v>
      </c>
      <c r="S4743" s="3">
        <v>0.15290000000000001</v>
      </c>
    </row>
    <row r="4744" spans="1:19">
      <c r="A4744" t="s">
        <v>195</v>
      </c>
      <c r="B4744" t="s">
        <v>205</v>
      </c>
      <c r="C4744">
        <v>267</v>
      </c>
      <c r="D4744" t="s">
        <v>194</v>
      </c>
      <c r="E4744">
        <v>1834</v>
      </c>
      <c r="F4744" s="3">
        <v>4.1700000000000001E-2</v>
      </c>
      <c r="G4744" s="3">
        <v>1.6400000000000001E-2</v>
      </c>
      <c r="H4744" s="3">
        <v>1.5800000000000002E-2</v>
      </c>
      <c r="I4744" s="3">
        <v>0.39169999999999999</v>
      </c>
      <c r="J4744" s="3">
        <v>0.10639999999999999</v>
      </c>
      <c r="K4744" s="3">
        <v>3.1199999999999999E-2</v>
      </c>
      <c r="L4744" s="3">
        <v>3.1099999999999999E-2</v>
      </c>
      <c r="M4744" s="3">
        <v>1.1900000000000001E-2</v>
      </c>
      <c r="N4744" s="3">
        <v>0.2424</v>
      </c>
      <c r="O4744" s="3">
        <v>0.1593</v>
      </c>
      <c r="P4744" s="3">
        <v>5.4999999999999997E-3</v>
      </c>
      <c r="Q4744" s="3">
        <v>0.22209999999999999</v>
      </c>
      <c r="R4744" s="3">
        <v>7.5499999999999998E-2</v>
      </c>
      <c r="S4744" s="3">
        <v>0.26050000000000001</v>
      </c>
    </row>
    <row r="4745" spans="1:19">
      <c r="A4745" t="s">
        <v>199</v>
      </c>
      <c r="B4745" t="s">
        <v>202</v>
      </c>
      <c r="C4745">
        <v>280</v>
      </c>
      <c r="D4745" t="s">
        <v>194</v>
      </c>
      <c r="E4745">
        <v>1834</v>
      </c>
      <c r="G4745" s="3">
        <v>6.4000000000000003E-3</v>
      </c>
      <c r="H4745" s="3">
        <v>6.4000000000000003E-3</v>
      </c>
      <c r="I4745" s="3">
        <v>0.32369999999999999</v>
      </c>
      <c r="J4745" s="3">
        <v>3.9699999999999999E-2</v>
      </c>
      <c r="K4745" s="3">
        <v>0.17760000000000001</v>
      </c>
      <c r="L4745" s="3">
        <v>0.21740000000000001</v>
      </c>
      <c r="M4745" s="3">
        <v>8.8999999999999999E-3</v>
      </c>
      <c r="N4745" s="3">
        <v>0.16400000000000001</v>
      </c>
      <c r="O4745" s="3">
        <v>0.45529999999999998</v>
      </c>
      <c r="P4745" s="3">
        <v>1.06E-2</v>
      </c>
      <c r="Q4745" s="3">
        <v>1.3599999999999999E-2</v>
      </c>
      <c r="R4745" s="3">
        <v>8.9300000000000004E-2</v>
      </c>
      <c r="S4745" s="3">
        <v>7.9200000000000007E-2</v>
      </c>
    </row>
    <row r="4746" spans="1:19">
      <c r="A4746" t="s">
        <v>199</v>
      </c>
      <c r="B4746" t="s">
        <v>204</v>
      </c>
      <c r="C4746">
        <v>329</v>
      </c>
      <c r="D4746" t="s">
        <v>194</v>
      </c>
      <c r="E4746">
        <v>1834</v>
      </c>
      <c r="F4746" s="3">
        <v>1.03E-2</v>
      </c>
      <c r="G4746" s="3">
        <v>4.4999999999999997E-3</v>
      </c>
      <c r="H4746" s="3">
        <v>4.1999999999999997E-3</v>
      </c>
      <c r="I4746" s="3">
        <v>0.27250000000000002</v>
      </c>
      <c r="J4746" s="3">
        <v>0.13059999999999999</v>
      </c>
      <c r="K4746" s="3">
        <v>0.1366</v>
      </c>
      <c r="L4746" s="3">
        <v>0.1203</v>
      </c>
      <c r="M4746" s="3">
        <v>1.14E-2</v>
      </c>
      <c r="N4746" s="3">
        <v>0.152</v>
      </c>
      <c r="O4746" s="3">
        <v>0.4572</v>
      </c>
      <c r="P4746" s="3">
        <v>1E-4</v>
      </c>
      <c r="Q4746" s="3">
        <v>0.1386</v>
      </c>
      <c r="R4746" s="3">
        <v>0.17330000000000001</v>
      </c>
      <c r="S4746" s="3">
        <v>0.27589999999999998</v>
      </c>
    </row>
    <row r="4747" spans="1:19">
      <c r="A4747" t="s">
        <v>199</v>
      </c>
      <c r="B4747" t="s">
        <v>205</v>
      </c>
      <c r="C4747">
        <v>433</v>
      </c>
      <c r="D4747" t="s">
        <v>194</v>
      </c>
      <c r="E4747">
        <v>1834</v>
      </c>
      <c r="F4747" s="3">
        <v>2.63E-2</v>
      </c>
      <c r="G4747" s="3">
        <v>1.04E-2</v>
      </c>
      <c r="H4747" s="3">
        <v>1.54E-2</v>
      </c>
      <c r="I4747" s="3">
        <v>0.20780000000000001</v>
      </c>
      <c r="J4747" s="3">
        <v>0.22950000000000001</v>
      </c>
      <c r="K4747" s="3">
        <v>6.4500000000000002E-2</v>
      </c>
      <c r="L4747" s="3">
        <v>5.2299999999999999E-2</v>
      </c>
      <c r="M4747" s="3">
        <v>3.8300000000000001E-2</v>
      </c>
      <c r="N4747" s="3">
        <v>0.32869999999999999</v>
      </c>
      <c r="O4747" s="3">
        <v>0.24110000000000001</v>
      </c>
      <c r="P4747" s="3">
        <v>9.7999999999999997E-3</v>
      </c>
      <c r="Q4747" s="3">
        <v>0.25919999999999999</v>
      </c>
      <c r="R4747" s="3">
        <v>8.7300000000000003E-2</v>
      </c>
      <c r="S4747" s="3">
        <v>0.37909999999999999</v>
      </c>
    </row>
    <row r="4748" spans="1:19">
      <c r="A4748" t="s">
        <v>200</v>
      </c>
      <c r="B4748" t="s">
        <v>200</v>
      </c>
      <c r="C4748">
        <v>1834</v>
      </c>
      <c r="D4748" t="s">
        <v>200</v>
      </c>
      <c r="E4748">
        <v>1834</v>
      </c>
      <c r="F4748" s="3">
        <v>1.29E-2</v>
      </c>
      <c r="G4748" s="3">
        <v>6.3E-3</v>
      </c>
      <c r="H4748" s="3">
        <v>6.1999999999999998E-3</v>
      </c>
      <c r="I4748" s="3">
        <v>0.35139999999999999</v>
      </c>
      <c r="J4748" s="3">
        <v>0.10340000000000001</v>
      </c>
      <c r="K4748" s="3">
        <v>9.7199999999999995E-2</v>
      </c>
      <c r="L4748" s="3">
        <v>0.1116</v>
      </c>
      <c r="M4748" s="3">
        <v>1.49E-2</v>
      </c>
      <c r="N4748" s="3">
        <v>0.187</v>
      </c>
      <c r="O4748" s="3">
        <v>0.35220000000000001</v>
      </c>
      <c r="P4748" s="3">
        <v>0.01</v>
      </c>
      <c r="Q4748" s="3">
        <v>0.1158</v>
      </c>
      <c r="R4748" s="3">
        <v>0.1056</v>
      </c>
      <c r="S4748" s="3">
        <v>0.16059999999999999</v>
      </c>
    </row>
    <row r="4750" spans="1:19" ht="45">
      <c r="A4750" s="22" t="s">
        <v>1148</v>
      </c>
    </row>
    <row r="4751" spans="1:19">
      <c r="A4751" t="s">
        <v>185</v>
      </c>
      <c r="B4751" t="s">
        <v>186</v>
      </c>
      <c r="C4751" t="s">
        <v>192</v>
      </c>
      <c r="D4751" t="s">
        <v>184</v>
      </c>
      <c r="E4751" t="s">
        <v>193</v>
      </c>
      <c r="F4751" t="s">
        <v>1134</v>
      </c>
      <c r="G4751" t="s">
        <v>1135</v>
      </c>
      <c r="H4751" t="s">
        <v>1136</v>
      </c>
      <c r="I4751" t="s">
        <v>570</v>
      </c>
      <c r="J4751" t="s">
        <v>1137</v>
      </c>
      <c r="K4751" t="s">
        <v>1138</v>
      </c>
      <c r="L4751" t="s">
        <v>1139</v>
      </c>
      <c r="M4751" t="s">
        <v>1028</v>
      </c>
      <c r="N4751" t="s">
        <v>1140</v>
      </c>
      <c r="O4751" t="s">
        <v>1141</v>
      </c>
      <c r="P4751" t="s">
        <v>247</v>
      </c>
      <c r="Q4751" t="s">
        <v>1142</v>
      </c>
      <c r="R4751" t="s">
        <v>1143</v>
      </c>
      <c r="S4751" t="s">
        <v>1144</v>
      </c>
    </row>
    <row r="4752" spans="1:19">
      <c r="A4752" t="s">
        <v>195</v>
      </c>
      <c r="B4752" t="s">
        <v>207</v>
      </c>
      <c r="C4752">
        <v>198</v>
      </c>
      <c r="D4752" t="s">
        <v>194</v>
      </c>
      <c r="E4752">
        <v>1834</v>
      </c>
      <c r="F4752" s="3">
        <v>3.7499999999999999E-2</v>
      </c>
      <c r="G4752" s="3">
        <v>9.9000000000000008E-3</v>
      </c>
      <c r="H4752" s="3">
        <v>0.01</v>
      </c>
      <c r="I4752" s="3">
        <v>0.40410000000000001</v>
      </c>
      <c r="J4752" s="3">
        <v>9.9500000000000005E-2</v>
      </c>
      <c r="K4752" s="3">
        <v>9.64E-2</v>
      </c>
      <c r="L4752" s="3">
        <v>9.4399999999999998E-2</v>
      </c>
      <c r="M4752" s="3">
        <v>1.7000000000000001E-2</v>
      </c>
      <c r="N4752" s="3">
        <v>0.2238</v>
      </c>
      <c r="O4752" s="3">
        <v>0.24390000000000001</v>
      </c>
      <c r="P4752" s="3">
        <v>7.4000000000000003E-3</v>
      </c>
      <c r="Q4752" s="3">
        <v>0.15090000000000001</v>
      </c>
      <c r="R4752" s="3">
        <v>0.10829999999999999</v>
      </c>
      <c r="S4752" s="3">
        <v>9.6600000000000005E-2</v>
      </c>
    </row>
    <row r="4753" spans="1:19">
      <c r="A4753" t="s">
        <v>195</v>
      </c>
      <c r="B4753" t="s">
        <v>209</v>
      </c>
      <c r="C4753">
        <v>577</v>
      </c>
      <c r="D4753" t="s">
        <v>194</v>
      </c>
      <c r="E4753">
        <v>1834</v>
      </c>
      <c r="F4753" s="3">
        <v>1.0800000000000001E-2</v>
      </c>
      <c r="G4753" s="3">
        <v>4.3E-3</v>
      </c>
      <c r="H4753" s="3">
        <v>1.8E-3</v>
      </c>
      <c r="I4753" s="3">
        <v>0.44540000000000002</v>
      </c>
      <c r="J4753" s="3">
        <v>9.3200000000000005E-2</v>
      </c>
      <c r="K4753" s="3">
        <v>3.1600000000000003E-2</v>
      </c>
      <c r="L4753" s="3">
        <v>5.3999999999999999E-2</v>
      </c>
      <c r="M4753" s="3">
        <v>1.0999999999999999E-2</v>
      </c>
      <c r="N4753" s="3">
        <v>0.14960000000000001</v>
      </c>
      <c r="O4753" s="3">
        <v>0.309</v>
      </c>
      <c r="P4753" s="3">
        <v>1.44E-2</v>
      </c>
      <c r="Q4753" s="3">
        <v>0.1192</v>
      </c>
      <c r="R4753" s="3">
        <v>9.9000000000000005E-2</v>
      </c>
      <c r="S4753" s="3">
        <v>0.11210000000000001</v>
      </c>
    </row>
    <row r="4754" spans="1:19">
      <c r="A4754" t="s">
        <v>199</v>
      </c>
      <c r="B4754" t="s">
        <v>207</v>
      </c>
      <c r="C4754">
        <v>222</v>
      </c>
      <c r="D4754" t="s">
        <v>194</v>
      </c>
      <c r="E4754">
        <v>1834</v>
      </c>
      <c r="F4754" s="3">
        <v>1.5599999999999999E-2</v>
      </c>
      <c r="G4754" s="3">
        <v>8.6E-3</v>
      </c>
      <c r="H4754" s="3">
        <v>1.0200000000000001E-2</v>
      </c>
      <c r="I4754" s="3">
        <v>0.46289999999999998</v>
      </c>
      <c r="J4754" s="3">
        <v>0.12939999999999999</v>
      </c>
      <c r="K4754" s="3">
        <v>0.12130000000000001</v>
      </c>
      <c r="L4754" s="3">
        <v>7.8399999999999997E-2</v>
      </c>
      <c r="M4754" s="3">
        <v>2.58E-2</v>
      </c>
      <c r="N4754" s="3">
        <v>0.20480000000000001</v>
      </c>
      <c r="O4754" s="3">
        <v>0.29189999999999999</v>
      </c>
      <c r="P4754" s="3">
        <v>1.4E-3</v>
      </c>
      <c r="Q4754" s="3">
        <v>0.1004</v>
      </c>
      <c r="R4754" s="3">
        <v>0.1351</v>
      </c>
      <c r="S4754" s="3">
        <v>9.6699999999999994E-2</v>
      </c>
    </row>
    <row r="4755" spans="1:19">
      <c r="A4755" t="s">
        <v>199</v>
      </c>
      <c r="B4755" t="s">
        <v>209</v>
      </c>
      <c r="C4755">
        <v>837</v>
      </c>
      <c r="D4755" t="s">
        <v>194</v>
      </c>
      <c r="E4755">
        <v>1834</v>
      </c>
      <c r="F4755" s="3">
        <v>8.2000000000000007E-3</v>
      </c>
      <c r="G4755" s="3">
        <v>6.6E-3</v>
      </c>
      <c r="H4755" s="3">
        <v>7.7999999999999996E-3</v>
      </c>
      <c r="I4755" s="3">
        <v>0.25109999999999999</v>
      </c>
      <c r="J4755" s="3">
        <v>0.1072</v>
      </c>
      <c r="K4755" s="3">
        <v>0.1414</v>
      </c>
      <c r="L4755" s="3">
        <v>0.16370000000000001</v>
      </c>
      <c r="M4755" s="3">
        <v>1.55E-2</v>
      </c>
      <c r="N4755" s="3">
        <v>0.20280000000000001</v>
      </c>
      <c r="O4755" s="3">
        <v>0.41930000000000001</v>
      </c>
      <c r="P4755" s="3">
        <v>8.8999999999999999E-3</v>
      </c>
      <c r="Q4755" s="3">
        <v>0.1079</v>
      </c>
      <c r="R4755" s="3">
        <v>0.1048</v>
      </c>
      <c r="S4755" s="3">
        <v>0.222</v>
      </c>
    </row>
    <row r="4756" spans="1:19">
      <c r="A4756" t="s">
        <v>200</v>
      </c>
      <c r="B4756" t="s">
        <v>200</v>
      </c>
      <c r="C4756">
        <v>1834</v>
      </c>
      <c r="D4756" t="s">
        <v>200</v>
      </c>
      <c r="E4756">
        <v>1834</v>
      </c>
      <c r="F4756" s="3">
        <v>1.29E-2</v>
      </c>
      <c r="G4756" s="3">
        <v>6.3E-3</v>
      </c>
      <c r="H4756" s="3">
        <v>6.1999999999999998E-3</v>
      </c>
      <c r="I4756" s="3">
        <v>0.35139999999999999</v>
      </c>
      <c r="J4756" s="3">
        <v>0.10340000000000001</v>
      </c>
      <c r="K4756" s="3">
        <v>9.7199999999999995E-2</v>
      </c>
      <c r="L4756" s="3">
        <v>0.1116</v>
      </c>
      <c r="M4756" s="3">
        <v>1.49E-2</v>
      </c>
      <c r="N4756" s="3">
        <v>0.187</v>
      </c>
      <c r="O4756" s="3">
        <v>0.35220000000000001</v>
      </c>
      <c r="P4756" s="3">
        <v>0.01</v>
      </c>
      <c r="Q4756" s="3">
        <v>0.1158</v>
      </c>
      <c r="R4756" s="3">
        <v>0.1056</v>
      </c>
      <c r="S4756" s="3">
        <v>0.16059999999999999</v>
      </c>
    </row>
    <row r="4758" spans="1:19" ht="45">
      <c r="A4758" s="22" t="s">
        <v>1149</v>
      </c>
    </row>
    <row r="4759" spans="1:19">
      <c r="A4759" t="s">
        <v>185</v>
      </c>
      <c r="B4759" t="s">
        <v>192</v>
      </c>
      <c r="C4759" t="s">
        <v>184</v>
      </c>
      <c r="D4759" t="s">
        <v>193</v>
      </c>
      <c r="E4759" t="s">
        <v>1134</v>
      </c>
      <c r="F4759" t="s">
        <v>1135</v>
      </c>
      <c r="G4759" t="s">
        <v>1136</v>
      </c>
      <c r="H4759" t="s">
        <v>570</v>
      </c>
      <c r="I4759" t="s">
        <v>1137</v>
      </c>
      <c r="J4759" t="s">
        <v>1138</v>
      </c>
      <c r="K4759" t="s">
        <v>1139</v>
      </c>
      <c r="L4759" t="s">
        <v>1028</v>
      </c>
      <c r="M4759" t="s">
        <v>1140</v>
      </c>
      <c r="N4759" t="s">
        <v>1141</v>
      </c>
      <c r="O4759" t="s">
        <v>247</v>
      </c>
      <c r="P4759" t="s">
        <v>1142</v>
      </c>
      <c r="Q4759" t="s">
        <v>1143</v>
      </c>
      <c r="R4759" t="s">
        <v>1144</v>
      </c>
    </row>
    <row r="4760" spans="1:19">
      <c r="A4760" t="s">
        <v>195</v>
      </c>
      <c r="B4760">
        <v>775</v>
      </c>
      <c r="C4760" t="s">
        <v>194</v>
      </c>
      <c r="D4760">
        <v>1834</v>
      </c>
      <c r="E4760" s="3">
        <v>1.72E-2</v>
      </c>
      <c r="F4760" s="3">
        <v>5.7000000000000002E-3</v>
      </c>
      <c r="G4760" s="3">
        <v>3.8E-3</v>
      </c>
      <c r="H4760" s="3">
        <v>0.4355</v>
      </c>
      <c r="I4760" s="3">
        <v>9.4700000000000006E-2</v>
      </c>
      <c r="J4760" s="3">
        <v>4.7100000000000003E-2</v>
      </c>
      <c r="K4760" s="3">
        <v>6.3700000000000007E-2</v>
      </c>
      <c r="L4760" s="3">
        <v>1.24E-2</v>
      </c>
      <c r="M4760" s="3">
        <v>0.16739999999999999</v>
      </c>
      <c r="N4760" s="3">
        <v>0.29339999999999999</v>
      </c>
      <c r="O4760" s="3">
        <v>1.2699999999999999E-2</v>
      </c>
      <c r="P4760" s="3">
        <v>0.1268</v>
      </c>
      <c r="Q4760" s="3">
        <v>0.1012</v>
      </c>
      <c r="R4760" s="3">
        <v>0.1084</v>
      </c>
    </row>
    <row r="4761" spans="1:19">
      <c r="A4761" t="s">
        <v>199</v>
      </c>
      <c r="B4761">
        <v>1059</v>
      </c>
      <c r="C4761" t="s">
        <v>194</v>
      </c>
      <c r="D4761">
        <v>1834</v>
      </c>
      <c r="E4761" s="3">
        <v>9.2999999999999992E-3</v>
      </c>
      <c r="F4761" s="3">
        <v>6.8999999999999999E-3</v>
      </c>
      <c r="G4761" s="3">
        <v>8.2000000000000007E-3</v>
      </c>
      <c r="H4761" s="3">
        <v>0.28210000000000002</v>
      </c>
      <c r="I4761" s="3">
        <v>0.1105</v>
      </c>
      <c r="J4761" s="3">
        <v>0.13850000000000001</v>
      </c>
      <c r="K4761" s="3">
        <v>0.1512</v>
      </c>
      <c r="L4761" s="3">
        <v>1.7000000000000001E-2</v>
      </c>
      <c r="M4761" s="3">
        <v>0.2031</v>
      </c>
      <c r="N4761" s="3">
        <v>0.4007</v>
      </c>
      <c r="O4761" s="3">
        <v>7.7999999999999996E-3</v>
      </c>
      <c r="P4761" s="3">
        <v>0.10680000000000001</v>
      </c>
      <c r="Q4761" s="3">
        <v>0.10920000000000001</v>
      </c>
      <c r="R4761" s="3">
        <v>0.20369999999999999</v>
      </c>
    </row>
    <row r="4762" spans="1:19">
      <c r="A4762" t="s">
        <v>200</v>
      </c>
      <c r="B4762">
        <v>1834</v>
      </c>
      <c r="C4762" t="s">
        <v>200</v>
      </c>
      <c r="D4762">
        <v>1834</v>
      </c>
      <c r="E4762" s="3">
        <v>1.29E-2</v>
      </c>
      <c r="F4762" s="3">
        <v>6.3E-3</v>
      </c>
      <c r="G4762" s="3">
        <v>6.1999999999999998E-3</v>
      </c>
      <c r="H4762" s="3">
        <v>0.35139999999999999</v>
      </c>
      <c r="I4762" s="3">
        <v>0.10340000000000001</v>
      </c>
      <c r="J4762" s="3">
        <v>9.7199999999999995E-2</v>
      </c>
      <c r="K4762" s="3">
        <v>0.1116</v>
      </c>
      <c r="L4762" s="3">
        <v>1.49E-2</v>
      </c>
      <c r="M4762" s="3">
        <v>0.187</v>
      </c>
      <c r="N4762" s="3">
        <v>0.35220000000000001</v>
      </c>
      <c r="O4762" s="3">
        <v>0.01</v>
      </c>
      <c r="P4762" s="3">
        <v>0.1158</v>
      </c>
      <c r="Q4762" s="3">
        <v>0.1056</v>
      </c>
      <c r="R4762" s="3">
        <v>0.16059999999999999</v>
      </c>
    </row>
    <row r="4764" spans="1:19" ht="45">
      <c r="A4764" s="22" t="s">
        <v>1150</v>
      </c>
    </row>
    <row r="4765" spans="1:19">
      <c r="A4765" t="s">
        <v>185</v>
      </c>
      <c r="B4765" t="s">
        <v>186</v>
      </c>
      <c r="C4765" t="s">
        <v>192</v>
      </c>
      <c r="D4765" t="s">
        <v>184</v>
      </c>
      <c r="E4765" t="s">
        <v>193</v>
      </c>
      <c r="F4765" t="s">
        <v>1134</v>
      </c>
      <c r="G4765" t="s">
        <v>1135</v>
      </c>
      <c r="H4765" t="s">
        <v>1136</v>
      </c>
      <c r="I4765" t="s">
        <v>570</v>
      </c>
      <c r="J4765" t="s">
        <v>1137</v>
      </c>
      <c r="K4765" t="s">
        <v>1138</v>
      </c>
      <c r="L4765" t="s">
        <v>1139</v>
      </c>
      <c r="M4765" t="s">
        <v>1028</v>
      </c>
      <c r="N4765" t="s">
        <v>1140</v>
      </c>
      <c r="O4765" t="s">
        <v>1141</v>
      </c>
      <c r="P4765" t="s">
        <v>247</v>
      </c>
      <c r="Q4765" t="s">
        <v>1142</v>
      </c>
      <c r="R4765" t="s">
        <v>1143</v>
      </c>
      <c r="S4765" t="s">
        <v>1144</v>
      </c>
    </row>
    <row r="4766" spans="1:19">
      <c r="A4766" t="s">
        <v>195</v>
      </c>
      <c r="B4766" t="s">
        <v>212</v>
      </c>
      <c r="C4766">
        <v>562</v>
      </c>
      <c r="D4766" t="s">
        <v>194</v>
      </c>
      <c r="E4766">
        <v>1834</v>
      </c>
      <c r="F4766" s="3">
        <v>1.8700000000000001E-2</v>
      </c>
      <c r="G4766" s="3">
        <v>5.8999999999999999E-3</v>
      </c>
      <c r="H4766" s="3">
        <v>3.0000000000000001E-3</v>
      </c>
      <c r="I4766" s="3">
        <v>0.3926</v>
      </c>
      <c r="J4766" s="3">
        <v>0.1105</v>
      </c>
      <c r="K4766" s="3">
        <v>5.0999999999999997E-2</v>
      </c>
      <c r="L4766" s="3">
        <v>7.22E-2</v>
      </c>
      <c r="M4766" s="3">
        <v>1.7000000000000001E-2</v>
      </c>
      <c r="N4766" s="3">
        <v>0.20169999999999999</v>
      </c>
      <c r="O4766" s="3">
        <v>0.31080000000000002</v>
      </c>
      <c r="P4766" s="3">
        <v>7.1000000000000004E-3</v>
      </c>
      <c r="Q4766" s="3">
        <v>0.1376</v>
      </c>
      <c r="R4766" s="3">
        <v>0.1167</v>
      </c>
      <c r="S4766" s="3">
        <v>0.12989999999999999</v>
      </c>
    </row>
    <row r="4767" spans="1:19">
      <c r="A4767" t="s">
        <v>195</v>
      </c>
      <c r="B4767" t="s">
        <v>214</v>
      </c>
      <c r="C4767">
        <v>127</v>
      </c>
      <c r="D4767" t="s">
        <v>194</v>
      </c>
      <c r="E4767">
        <v>1834</v>
      </c>
      <c r="F4767" s="3">
        <v>7.0000000000000001E-3</v>
      </c>
      <c r="G4767" s="3">
        <v>4.0000000000000001E-3</v>
      </c>
      <c r="H4767" s="3">
        <v>4.0000000000000001E-3</v>
      </c>
      <c r="I4767" s="3">
        <v>0.59609999999999996</v>
      </c>
      <c r="J4767" s="3">
        <v>3.6200000000000003E-2</v>
      </c>
      <c r="K4767" s="3">
        <v>3.1800000000000002E-2</v>
      </c>
      <c r="L4767" s="3">
        <v>4.4200000000000003E-2</v>
      </c>
      <c r="N4767" s="3">
        <v>6.8199999999999997E-2</v>
      </c>
      <c r="O4767" s="3">
        <v>0.26340000000000002</v>
      </c>
      <c r="P4767" s="3">
        <v>2.8999999999999998E-3</v>
      </c>
      <c r="Q4767" s="3">
        <v>5.9200000000000003E-2</v>
      </c>
      <c r="R4767" s="3">
        <v>5.7200000000000001E-2</v>
      </c>
      <c r="S4767" s="3">
        <v>5.9299999999999999E-2</v>
      </c>
    </row>
    <row r="4768" spans="1:19">
      <c r="A4768" t="s">
        <v>195</v>
      </c>
      <c r="B4768" t="s">
        <v>215</v>
      </c>
      <c r="C4768">
        <v>86</v>
      </c>
      <c r="D4768" t="s">
        <v>194</v>
      </c>
      <c r="E4768">
        <v>1834</v>
      </c>
      <c r="F4768" s="3">
        <v>2.7300000000000001E-2</v>
      </c>
      <c r="G4768" s="3">
        <v>6.7999999999999996E-3</v>
      </c>
      <c r="H4768" s="3">
        <v>1.0699999999999999E-2</v>
      </c>
      <c r="I4768" s="3">
        <v>0.45610000000000001</v>
      </c>
      <c r="J4768" s="3">
        <v>8.6499999999999994E-2</v>
      </c>
      <c r="K4768" s="3">
        <v>4.6300000000000001E-2</v>
      </c>
      <c r="L4768" s="3">
        <v>3.09E-2</v>
      </c>
      <c r="N4768" s="3">
        <v>8.4000000000000005E-2</v>
      </c>
      <c r="O4768" s="3">
        <v>0.20469999999999999</v>
      </c>
      <c r="P4768" s="3">
        <v>8.5199999999999998E-2</v>
      </c>
      <c r="Q4768" s="3">
        <v>0.18410000000000001</v>
      </c>
      <c r="R4768" s="3">
        <v>6.1499999999999999E-2</v>
      </c>
      <c r="S4768" s="3">
        <v>2.63E-2</v>
      </c>
    </row>
    <row r="4769" spans="1:19">
      <c r="A4769" t="s">
        <v>199</v>
      </c>
      <c r="B4769" t="s">
        <v>212</v>
      </c>
      <c r="C4769">
        <v>795</v>
      </c>
      <c r="D4769" t="s">
        <v>194</v>
      </c>
      <c r="E4769">
        <v>1834</v>
      </c>
      <c r="F4769" s="3">
        <v>9.2999999999999992E-3</v>
      </c>
      <c r="G4769" s="3">
        <v>8.0000000000000002E-3</v>
      </c>
      <c r="H4769" s="3">
        <v>9.7000000000000003E-3</v>
      </c>
      <c r="I4769" s="3">
        <v>0.25669999999999998</v>
      </c>
      <c r="J4769" s="3">
        <v>0.1221</v>
      </c>
      <c r="K4769" s="3">
        <v>0.13300000000000001</v>
      </c>
      <c r="L4769" s="3">
        <v>0.1346</v>
      </c>
      <c r="M4769" s="3">
        <v>1.6199999999999999E-2</v>
      </c>
      <c r="N4769" s="3">
        <v>0.2019</v>
      </c>
      <c r="O4769" s="3">
        <v>0.41830000000000001</v>
      </c>
      <c r="P4769" s="3">
        <v>8.0000000000000002E-3</v>
      </c>
      <c r="Q4769" s="3">
        <v>0.12189999999999999</v>
      </c>
      <c r="R4769" s="3">
        <v>0.1178</v>
      </c>
      <c r="S4769" s="3">
        <v>0.2145</v>
      </c>
    </row>
    <row r="4770" spans="1:19">
      <c r="A4770" t="s">
        <v>199</v>
      </c>
      <c r="B4770" t="s">
        <v>214</v>
      </c>
      <c r="C4770">
        <v>144</v>
      </c>
      <c r="D4770" t="s">
        <v>194</v>
      </c>
      <c r="E4770">
        <v>1834</v>
      </c>
      <c r="F4770" s="3">
        <v>4.7000000000000002E-3</v>
      </c>
      <c r="G4770" s="3">
        <v>1.9E-3</v>
      </c>
      <c r="H4770" s="3">
        <v>2.0000000000000001E-4</v>
      </c>
      <c r="I4770" s="3">
        <v>0.18260000000000001</v>
      </c>
      <c r="J4770" s="3">
        <v>9.2999999999999999E-2</v>
      </c>
      <c r="K4770" s="3">
        <v>0.20430000000000001</v>
      </c>
      <c r="L4770" s="3">
        <v>0.32100000000000001</v>
      </c>
      <c r="M4770" s="3">
        <v>1.1599999999999999E-2</v>
      </c>
      <c r="N4770" s="3">
        <v>0.26960000000000001</v>
      </c>
      <c r="O4770" s="3">
        <v>0.46689999999999998</v>
      </c>
      <c r="P4770" s="3">
        <v>1.12E-2</v>
      </c>
      <c r="Q4770" s="3">
        <v>6.6199999999999995E-2</v>
      </c>
      <c r="R4770" s="3">
        <v>0.1183</v>
      </c>
      <c r="S4770" s="3">
        <v>0.19589999999999999</v>
      </c>
    </row>
    <row r="4771" spans="1:19">
      <c r="A4771" t="s">
        <v>199</v>
      </c>
      <c r="B4771" t="s">
        <v>215</v>
      </c>
      <c r="C4771">
        <v>120</v>
      </c>
      <c r="D4771" t="s">
        <v>194</v>
      </c>
      <c r="E4771">
        <v>1834</v>
      </c>
      <c r="F4771" s="3">
        <v>1.66E-2</v>
      </c>
      <c r="G4771" s="3">
        <v>6.1000000000000004E-3</v>
      </c>
      <c r="H4771" s="3">
        <v>8.3999999999999995E-3</v>
      </c>
      <c r="I4771" s="3">
        <v>0.66879999999999995</v>
      </c>
      <c r="J4771" s="3">
        <v>4.0300000000000002E-2</v>
      </c>
      <c r="K4771" s="3">
        <v>7.3999999999999996E-2</v>
      </c>
      <c r="L4771" s="3">
        <v>6.1000000000000004E-3</v>
      </c>
      <c r="M4771" s="3">
        <v>3.3099999999999997E-2</v>
      </c>
      <c r="N4771" s="3">
        <v>0.1009</v>
      </c>
      <c r="O4771" s="3">
        <v>0.1376</v>
      </c>
      <c r="P4771" s="3">
        <v>4.0000000000000002E-4</v>
      </c>
      <c r="Q4771" s="3">
        <v>4.58E-2</v>
      </c>
      <c r="R4771" s="3">
        <v>2.0199999999999999E-2</v>
      </c>
      <c r="S4771" s="3">
        <v>0.1235</v>
      </c>
    </row>
    <row r="4772" spans="1:19">
      <c r="A4772" t="s">
        <v>200</v>
      </c>
      <c r="B4772" t="s">
        <v>200</v>
      </c>
      <c r="C4772">
        <v>1834</v>
      </c>
      <c r="D4772" t="s">
        <v>200</v>
      </c>
      <c r="E4772">
        <v>1834</v>
      </c>
      <c r="F4772" s="3">
        <v>1.29E-2</v>
      </c>
      <c r="G4772" s="3">
        <v>6.3E-3</v>
      </c>
      <c r="H4772" s="3">
        <v>6.1999999999999998E-3</v>
      </c>
      <c r="I4772" s="3">
        <v>0.35139999999999999</v>
      </c>
      <c r="J4772" s="3">
        <v>0.10340000000000001</v>
      </c>
      <c r="K4772" s="3">
        <v>9.7199999999999995E-2</v>
      </c>
      <c r="L4772" s="3">
        <v>0.1116</v>
      </c>
      <c r="M4772" s="3">
        <v>1.49E-2</v>
      </c>
      <c r="N4772" s="3">
        <v>0.187</v>
      </c>
      <c r="O4772" s="3">
        <v>0.35220000000000001</v>
      </c>
      <c r="P4772" s="3">
        <v>0.01</v>
      </c>
      <c r="Q4772" s="3">
        <v>0.1158</v>
      </c>
      <c r="R4772" s="3">
        <v>0.1056</v>
      </c>
      <c r="S4772" s="3">
        <v>0.16059999999999999</v>
      </c>
    </row>
    <row r="4774" spans="1:19" ht="45">
      <c r="A4774" s="22" t="s">
        <v>1151</v>
      </c>
    </row>
    <row r="4775" spans="1:19">
      <c r="A4775" t="s">
        <v>185</v>
      </c>
      <c r="B4775" t="s">
        <v>186</v>
      </c>
      <c r="C4775" t="s">
        <v>192</v>
      </c>
      <c r="D4775" t="s">
        <v>184</v>
      </c>
      <c r="E4775" t="s">
        <v>193</v>
      </c>
      <c r="F4775" t="s">
        <v>1134</v>
      </c>
      <c r="G4775" t="s">
        <v>1135</v>
      </c>
      <c r="H4775" t="s">
        <v>1136</v>
      </c>
      <c r="I4775" t="s">
        <v>570</v>
      </c>
      <c r="J4775" t="s">
        <v>1137</v>
      </c>
      <c r="K4775" t="s">
        <v>1138</v>
      </c>
      <c r="L4775" t="s">
        <v>1139</v>
      </c>
      <c r="M4775" t="s">
        <v>1028</v>
      </c>
      <c r="N4775" t="s">
        <v>1140</v>
      </c>
      <c r="O4775" t="s">
        <v>1141</v>
      </c>
      <c r="P4775" t="s">
        <v>247</v>
      </c>
      <c r="Q4775" t="s">
        <v>1142</v>
      </c>
      <c r="R4775" t="s">
        <v>1143</v>
      </c>
      <c r="S4775" t="s">
        <v>1144</v>
      </c>
    </row>
    <row r="4776" spans="1:19">
      <c r="A4776" t="s">
        <v>195</v>
      </c>
      <c r="B4776" t="s">
        <v>217</v>
      </c>
      <c r="C4776">
        <v>319</v>
      </c>
      <c r="D4776" t="s">
        <v>194</v>
      </c>
      <c r="E4776">
        <v>1834</v>
      </c>
      <c r="F4776" s="3">
        <v>8.3999999999999995E-3</v>
      </c>
      <c r="G4776" s="3">
        <v>7.1000000000000004E-3</v>
      </c>
      <c r="H4776" s="3">
        <v>2.3999999999999998E-3</v>
      </c>
      <c r="I4776" s="3">
        <v>0.38</v>
      </c>
      <c r="J4776" s="3">
        <v>0.11459999999999999</v>
      </c>
      <c r="K4776" s="3">
        <v>3.8899999999999997E-2</v>
      </c>
      <c r="L4776" s="3">
        <v>4.7699999999999999E-2</v>
      </c>
      <c r="M4776" s="3">
        <v>2.0199999999999999E-2</v>
      </c>
      <c r="N4776" s="3">
        <v>0.19939999999999999</v>
      </c>
      <c r="O4776" s="3">
        <v>0.3</v>
      </c>
      <c r="P4776" s="3">
        <v>1.8100000000000002E-2</v>
      </c>
      <c r="Q4776" s="3">
        <v>0.105</v>
      </c>
      <c r="R4776" s="3">
        <v>0.12889999999999999</v>
      </c>
      <c r="S4776" s="3">
        <v>0.12570000000000001</v>
      </c>
    </row>
    <row r="4777" spans="1:19">
      <c r="A4777" t="s">
        <v>195</v>
      </c>
      <c r="B4777" t="s">
        <v>219</v>
      </c>
      <c r="C4777">
        <v>328</v>
      </c>
      <c r="D4777" t="s">
        <v>194</v>
      </c>
      <c r="E4777">
        <v>1834</v>
      </c>
      <c r="F4777" s="3">
        <v>1.7899999999999999E-2</v>
      </c>
      <c r="G4777" s="3">
        <v>4.7000000000000002E-3</v>
      </c>
      <c r="H4777" s="3">
        <v>5.1999999999999998E-3</v>
      </c>
      <c r="I4777" s="3">
        <v>0.46700000000000003</v>
      </c>
      <c r="J4777" s="3">
        <v>0.1012</v>
      </c>
      <c r="K4777" s="3">
        <v>3.9899999999999998E-2</v>
      </c>
      <c r="L4777" s="3">
        <v>4.3799999999999999E-2</v>
      </c>
      <c r="M4777" s="3">
        <v>1.01E-2</v>
      </c>
      <c r="N4777" s="3">
        <v>0.14799999999999999</v>
      </c>
      <c r="O4777" s="3">
        <v>0.30109999999999998</v>
      </c>
      <c r="P4777" s="3">
        <v>4.5999999999999999E-3</v>
      </c>
      <c r="Q4777" s="3">
        <v>0.14860000000000001</v>
      </c>
      <c r="R4777" s="3">
        <v>6.93E-2</v>
      </c>
      <c r="S4777" s="3">
        <v>5.7500000000000002E-2</v>
      </c>
    </row>
    <row r="4778" spans="1:19">
      <c r="A4778" t="s">
        <v>195</v>
      </c>
      <c r="B4778" t="s">
        <v>220</v>
      </c>
      <c r="C4778">
        <v>127</v>
      </c>
      <c r="D4778" t="s">
        <v>194</v>
      </c>
      <c r="E4778">
        <v>1834</v>
      </c>
      <c r="F4778" s="3">
        <v>3.4299999999999997E-2</v>
      </c>
      <c r="G4778" s="3">
        <v>4.4999999999999997E-3</v>
      </c>
      <c r="H4778" s="3">
        <v>4.0000000000000001E-3</v>
      </c>
      <c r="I4778" s="3">
        <v>0.49180000000000001</v>
      </c>
      <c r="J4778" s="3">
        <v>0.04</v>
      </c>
      <c r="K4778" s="3">
        <v>7.8399999999999997E-2</v>
      </c>
      <c r="L4778" s="3">
        <v>0.1361</v>
      </c>
      <c r="M4778" s="3">
        <v>5.0000000000000001E-4</v>
      </c>
      <c r="N4778" s="3">
        <v>0.1371</v>
      </c>
      <c r="O4778" s="3">
        <v>0.26440000000000002</v>
      </c>
      <c r="P4778" s="3">
        <v>1.7100000000000001E-2</v>
      </c>
      <c r="Q4778" s="3">
        <v>0.13039999999999999</v>
      </c>
      <c r="R4778" s="3">
        <v>0.1047</v>
      </c>
      <c r="S4778" s="3">
        <v>0.1709</v>
      </c>
    </row>
    <row r="4779" spans="1:19">
      <c r="A4779" t="s">
        <v>199</v>
      </c>
      <c r="B4779" t="s">
        <v>217</v>
      </c>
      <c r="C4779">
        <v>568</v>
      </c>
      <c r="D4779" t="s">
        <v>194</v>
      </c>
      <c r="E4779">
        <v>1834</v>
      </c>
      <c r="F4779" s="3">
        <v>5.0000000000000001E-3</v>
      </c>
      <c r="G4779" s="3">
        <v>2.8E-3</v>
      </c>
      <c r="H4779" s="3">
        <v>3.5000000000000001E-3</v>
      </c>
      <c r="I4779" s="3">
        <v>0.28920000000000001</v>
      </c>
      <c r="J4779" s="3">
        <v>0.1188</v>
      </c>
      <c r="K4779" s="3">
        <v>0.13320000000000001</v>
      </c>
      <c r="L4779" s="3">
        <v>0.1206</v>
      </c>
      <c r="M4779" s="3">
        <v>1.7500000000000002E-2</v>
      </c>
      <c r="N4779" s="3">
        <v>0.19739999999999999</v>
      </c>
      <c r="O4779" s="3">
        <v>0.37559999999999999</v>
      </c>
      <c r="P4779" s="3">
        <v>5.8999999999999999E-3</v>
      </c>
      <c r="Q4779" s="3">
        <v>0.115</v>
      </c>
      <c r="R4779" s="3">
        <v>0.1077</v>
      </c>
      <c r="S4779" s="3">
        <v>0.2329</v>
      </c>
    </row>
    <row r="4780" spans="1:19">
      <c r="A4780" t="s">
        <v>199</v>
      </c>
      <c r="B4780" t="s">
        <v>219</v>
      </c>
      <c r="C4780">
        <v>329</v>
      </c>
      <c r="D4780" t="s">
        <v>194</v>
      </c>
      <c r="E4780">
        <v>1834</v>
      </c>
      <c r="F4780" s="3">
        <v>1.52E-2</v>
      </c>
      <c r="G4780" s="3">
        <v>4.7000000000000002E-3</v>
      </c>
      <c r="H4780" s="3">
        <v>5.7000000000000002E-3</v>
      </c>
      <c r="I4780" s="3">
        <v>0.2364</v>
      </c>
      <c r="J4780" s="3">
        <v>8.3900000000000002E-2</v>
      </c>
      <c r="K4780" s="3">
        <v>0.14710000000000001</v>
      </c>
      <c r="L4780" s="3">
        <v>0.2319</v>
      </c>
      <c r="M4780" s="3">
        <v>2.3E-2</v>
      </c>
      <c r="N4780" s="3">
        <v>0.20599999999999999</v>
      </c>
      <c r="O4780" s="3">
        <v>0.51100000000000001</v>
      </c>
      <c r="P4780" s="3">
        <v>9.4999999999999998E-3</v>
      </c>
      <c r="Q4780" s="3">
        <v>9.3200000000000005E-2</v>
      </c>
      <c r="R4780" s="3">
        <v>0.1066</v>
      </c>
      <c r="S4780" s="3">
        <v>0.11700000000000001</v>
      </c>
    </row>
    <row r="4781" spans="1:19">
      <c r="A4781" t="s">
        <v>199</v>
      </c>
      <c r="B4781" t="s">
        <v>220</v>
      </c>
      <c r="C4781">
        <v>162</v>
      </c>
      <c r="D4781" t="s">
        <v>194</v>
      </c>
      <c r="E4781">
        <v>1834</v>
      </c>
      <c r="F4781" s="3">
        <v>1.7600000000000001E-2</v>
      </c>
      <c r="G4781" s="3">
        <v>2.93E-2</v>
      </c>
      <c r="H4781" s="3">
        <v>3.3099999999999997E-2</v>
      </c>
      <c r="I4781" s="3">
        <v>0.3342</v>
      </c>
      <c r="J4781" s="3">
        <v>0.12230000000000001</v>
      </c>
      <c r="K4781" s="3">
        <v>0.1462</v>
      </c>
      <c r="L4781" s="3">
        <v>0.1389</v>
      </c>
      <c r="M4781" s="3">
        <v>3.7000000000000002E-3</v>
      </c>
      <c r="N4781" s="3">
        <v>0.22270000000000001</v>
      </c>
      <c r="O4781" s="3">
        <v>0.31030000000000002</v>
      </c>
      <c r="P4781" s="3">
        <v>1.3299999999999999E-2</v>
      </c>
      <c r="Q4781" s="3">
        <v>9.5100000000000004E-2</v>
      </c>
      <c r="R4781" s="3">
        <v>0.1206</v>
      </c>
      <c r="S4781" s="3">
        <v>0.23300000000000001</v>
      </c>
    </row>
    <row r="4782" spans="1:19">
      <c r="A4782" t="s">
        <v>200</v>
      </c>
      <c r="B4782" t="s">
        <v>200</v>
      </c>
      <c r="C4782">
        <v>1834</v>
      </c>
      <c r="D4782" t="s">
        <v>200</v>
      </c>
      <c r="E4782">
        <v>1834</v>
      </c>
      <c r="F4782" s="3">
        <v>1.29E-2</v>
      </c>
      <c r="G4782" s="3">
        <v>6.3E-3</v>
      </c>
      <c r="H4782" s="3">
        <v>6.1999999999999998E-3</v>
      </c>
      <c r="I4782" s="3">
        <v>0.35139999999999999</v>
      </c>
      <c r="J4782" s="3">
        <v>0.10340000000000001</v>
      </c>
      <c r="K4782" s="3">
        <v>9.7199999999999995E-2</v>
      </c>
      <c r="L4782" s="3">
        <v>0.1116</v>
      </c>
      <c r="M4782" s="3">
        <v>1.49E-2</v>
      </c>
      <c r="N4782" s="3">
        <v>0.187</v>
      </c>
      <c r="O4782" s="3">
        <v>0.35220000000000001</v>
      </c>
      <c r="P4782" s="3">
        <v>0.01</v>
      </c>
      <c r="Q4782" s="3">
        <v>0.1158</v>
      </c>
      <c r="R4782" s="3">
        <v>0.1056</v>
      </c>
      <c r="S4782" s="3">
        <v>0.16059999999999999</v>
      </c>
    </row>
    <row r="4784" spans="1:19" ht="45">
      <c r="A4784" s="22" t="s">
        <v>1152</v>
      </c>
    </row>
    <row r="4785" spans="1:23">
      <c r="A4785" t="s">
        <v>185</v>
      </c>
      <c r="B4785" t="s">
        <v>186</v>
      </c>
      <c r="C4785" t="s">
        <v>192</v>
      </c>
      <c r="D4785" t="s">
        <v>184</v>
      </c>
      <c r="E4785" t="s">
        <v>193</v>
      </c>
      <c r="F4785" t="s">
        <v>1051</v>
      </c>
      <c r="G4785" t="s">
        <v>1115</v>
      </c>
      <c r="H4785" t="s">
        <v>1052</v>
      </c>
      <c r="I4785" t="s">
        <v>1053</v>
      </c>
      <c r="J4785" t="s">
        <v>257</v>
      </c>
      <c r="K4785" t="s">
        <v>1054</v>
      </c>
      <c r="L4785" t="s">
        <v>1055</v>
      </c>
      <c r="M4785" t="s">
        <v>329</v>
      </c>
      <c r="N4785" t="s">
        <v>274</v>
      </c>
      <c r="O4785" t="s">
        <v>247</v>
      </c>
      <c r="P4785" t="s">
        <v>1057</v>
      </c>
      <c r="Q4785" t="s">
        <v>1058</v>
      </c>
      <c r="R4785" t="s">
        <v>1059</v>
      </c>
      <c r="S4785" t="s">
        <v>1060</v>
      </c>
      <c r="T4785" t="s">
        <v>1061</v>
      </c>
      <c r="U4785" t="s">
        <v>1062</v>
      </c>
      <c r="V4785" t="s">
        <v>1064</v>
      </c>
      <c r="W4785" t="s">
        <v>1065</v>
      </c>
    </row>
    <row r="4786" spans="1:23">
      <c r="A4786" t="s">
        <v>195</v>
      </c>
      <c r="B4786" t="s">
        <v>222</v>
      </c>
      <c r="C4786">
        <v>248</v>
      </c>
      <c r="D4786" t="s">
        <v>194</v>
      </c>
      <c r="E4786">
        <v>2675</v>
      </c>
      <c r="F4786" s="3">
        <v>0.1007</v>
      </c>
      <c r="G4786" s="3">
        <v>2.2000000000000001E-3</v>
      </c>
      <c r="H4786" s="3">
        <v>0.41470000000000001</v>
      </c>
      <c r="I4786" s="3">
        <v>1.04E-2</v>
      </c>
      <c r="J4786" s="3">
        <v>1.89E-2</v>
      </c>
      <c r="M4786" s="3">
        <v>0.28599999999999998</v>
      </c>
      <c r="O4786" s="3">
        <v>2.9999999999999997E-4</v>
      </c>
      <c r="Q4786" s="3">
        <v>6.2799999999999995E-2</v>
      </c>
      <c r="R4786" s="3">
        <v>9.7000000000000003E-3</v>
      </c>
      <c r="V4786" s="3">
        <v>0.41489999999999999</v>
      </c>
      <c r="W4786" s="3">
        <v>0.38819999999999999</v>
      </c>
    </row>
    <row r="4787" spans="1:23">
      <c r="A4787" t="s">
        <v>195</v>
      </c>
      <c r="B4787" t="s">
        <v>224</v>
      </c>
      <c r="C4787">
        <v>940</v>
      </c>
      <c r="D4787" t="s">
        <v>194</v>
      </c>
      <c r="E4787">
        <v>2675</v>
      </c>
      <c r="F4787" s="3">
        <v>4.0899999999999999E-2</v>
      </c>
      <c r="G4787" s="3">
        <v>1.4E-3</v>
      </c>
      <c r="H4787" s="3">
        <v>0.34350000000000003</v>
      </c>
      <c r="I4787" s="3">
        <v>1.6999999999999999E-3</v>
      </c>
      <c r="J4787" s="3">
        <v>0.12809999999999999</v>
      </c>
      <c r="L4787" s="3">
        <v>2.0000000000000001E-4</v>
      </c>
      <c r="M4787" s="3">
        <v>0.24959999999999999</v>
      </c>
      <c r="N4787" s="3">
        <v>1.4E-3</v>
      </c>
      <c r="P4787" s="3">
        <v>2.8999999999999998E-3</v>
      </c>
      <c r="Q4787" s="3">
        <v>3.27E-2</v>
      </c>
      <c r="R4787" s="3">
        <v>1.32E-2</v>
      </c>
      <c r="S4787" s="3">
        <v>7.1000000000000004E-3</v>
      </c>
      <c r="T4787" s="3">
        <v>2.3E-3</v>
      </c>
      <c r="U4787" s="3">
        <v>4.1999999999999997E-3</v>
      </c>
      <c r="V4787" s="3">
        <v>0.4073</v>
      </c>
      <c r="W4787" s="3">
        <v>0.379</v>
      </c>
    </row>
    <row r="4788" spans="1:23">
      <c r="A4788" t="s">
        <v>199</v>
      </c>
      <c r="B4788" t="s">
        <v>222</v>
      </c>
      <c r="C4788">
        <v>390</v>
      </c>
      <c r="D4788" t="s">
        <v>194</v>
      </c>
      <c r="E4788">
        <v>2675</v>
      </c>
      <c r="F4788" s="3">
        <v>0.12529999999999999</v>
      </c>
      <c r="G4788" s="3">
        <v>8.9999999999999993E-3</v>
      </c>
      <c r="H4788" s="3">
        <v>0.61370000000000002</v>
      </c>
      <c r="J4788" s="3">
        <v>0.06</v>
      </c>
      <c r="L4788" s="3">
        <v>6.7000000000000002E-3</v>
      </c>
      <c r="M4788" s="3">
        <v>0.13289999999999999</v>
      </c>
      <c r="N4788" s="3">
        <v>6.9999999999999999E-4</v>
      </c>
      <c r="O4788" s="3">
        <v>1.8E-3</v>
      </c>
      <c r="P4788" s="3">
        <v>1.5599999999999999E-2</v>
      </c>
      <c r="Q4788" s="3">
        <v>9.4799999999999995E-2</v>
      </c>
      <c r="R4788" s="3">
        <v>1.95E-2</v>
      </c>
      <c r="S4788" s="3">
        <v>6.1000000000000004E-3</v>
      </c>
      <c r="T4788" s="3">
        <v>2.8999999999999998E-3</v>
      </c>
      <c r="U4788" s="3">
        <v>7.3000000000000001E-3</v>
      </c>
      <c r="V4788" s="3">
        <v>0.40510000000000002</v>
      </c>
      <c r="W4788" s="3">
        <v>0.39229999999999998</v>
      </c>
    </row>
    <row r="4789" spans="1:23">
      <c r="A4789" t="s">
        <v>199</v>
      </c>
      <c r="B4789" t="s">
        <v>224</v>
      </c>
      <c r="C4789">
        <v>1097</v>
      </c>
      <c r="D4789" t="s">
        <v>194</v>
      </c>
      <c r="E4789">
        <v>2675</v>
      </c>
      <c r="F4789" s="3">
        <v>0.1008</v>
      </c>
      <c r="G4789" s="3">
        <v>1.8E-3</v>
      </c>
      <c r="H4789" s="3">
        <v>0.52470000000000006</v>
      </c>
      <c r="I4789" s="3">
        <v>5.9999999999999995E-4</v>
      </c>
      <c r="J4789" s="3">
        <v>0.1245</v>
      </c>
      <c r="K4789" s="3">
        <v>7.1000000000000004E-3</v>
      </c>
      <c r="L4789" s="3">
        <v>3.0000000000000001E-3</v>
      </c>
      <c r="M4789" s="3">
        <v>0.1615</v>
      </c>
      <c r="N4789" s="3">
        <v>1E-4</v>
      </c>
      <c r="O4789" s="3">
        <v>1E-3</v>
      </c>
      <c r="P4789" s="3">
        <v>2.53E-2</v>
      </c>
      <c r="Q4789" s="3">
        <v>0.1076</v>
      </c>
      <c r="R4789" s="3">
        <v>4.2500000000000003E-2</v>
      </c>
      <c r="S4789" s="3">
        <v>1E-3</v>
      </c>
      <c r="T4789" s="3">
        <v>8.9999999999999998E-4</v>
      </c>
      <c r="U4789" s="3">
        <v>3.5999999999999999E-3</v>
      </c>
      <c r="V4789" s="3">
        <v>0.35859999999999997</v>
      </c>
      <c r="W4789" s="3">
        <v>0.3397</v>
      </c>
    </row>
    <row r="4790" spans="1:23">
      <c r="A4790" t="s">
        <v>200</v>
      </c>
      <c r="B4790" t="s">
        <v>200</v>
      </c>
      <c r="C4790">
        <v>2675</v>
      </c>
      <c r="D4790" t="s">
        <v>200</v>
      </c>
      <c r="E4790">
        <v>2675</v>
      </c>
      <c r="F4790" s="3">
        <v>8.48E-2</v>
      </c>
      <c r="G4790" s="3">
        <v>2.8999999999999998E-3</v>
      </c>
      <c r="H4790" s="3">
        <v>0.46700000000000003</v>
      </c>
      <c r="I4790" s="3">
        <v>1.9E-3</v>
      </c>
      <c r="J4790" s="3">
        <v>0.10340000000000001</v>
      </c>
      <c r="K4790" s="3">
        <v>2.7000000000000001E-3</v>
      </c>
      <c r="L4790" s="3">
        <v>2.3999999999999998E-3</v>
      </c>
      <c r="M4790" s="3">
        <v>0.1996</v>
      </c>
      <c r="N4790" s="3">
        <v>5.9999999999999995E-4</v>
      </c>
      <c r="O4790" s="3">
        <v>6.9999999999999999E-4</v>
      </c>
      <c r="P4790" s="3">
        <v>1.34E-2</v>
      </c>
      <c r="Q4790" s="3">
        <v>7.5399999999999995E-2</v>
      </c>
      <c r="R4790" s="3">
        <v>2.52E-2</v>
      </c>
      <c r="S4790" s="3">
        <v>3.8E-3</v>
      </c>
      <c r="T4790" s="3">
        <v>1.6000000000000001E-3</v>
      </c>
      <c r="U4790" s="3">
        <v>4.1000000000000003E-3</v>
      </c>
      <c r="V4790" s="3">
        <v>0.38900000000000001</v>
      </c>
      <c r="W4790" s="3">
        <v>0.36709999999999998</v>
      </c>
    </row>
    <row r="4792" spans="1:23" ht="45">
      <c r="A4792" s="22" t="s">
        <v>1153</v>
      </c>
    </row>
    <row r="4793" spans="1:23">
      <c r="A4793" t="s">
        <v>185</v>
      </c>
      <c r="B4793" t="s">
        <v>186</v>
      </c>
      <c r="C4793" t="s">
        <v>192</v>
      </c>
      <c r="D4793" t="s">
        <v>184</v>
      </c>
      <c r="E4793" t="s">
        <v>193</v>
      </c>
      <c r="F4793" t="s">
        <v>1051</v>
      </c>
      <c r="G4793" t="s">
        <v>1115</v>
      </c>
      <c r="H4793" t="s">
        <v>1052</v>
      </c>
      <c r="I4793" t="s">
        <v>1053</v>
      </c>
      <c r="J4793" t="s">
        <v>257</v>
      </c>
      <c r="K4793" t="s">
        <v>1054</v>
      </c>
      <c r="L4793" t="s">
        <v>1055</v>
      </c>
      <c r="M4793" t="s">
        <v>329</v>
      </c>
      <c r="N4793" t="s">
        <v>274</v>
      </c>
      <c r="O4793" t="s">
        <v>247</v>
      </c>
      <c r="P4793" t="s">
        <v>1057</v>
      </c>
      <c r="Q4793" t="s">
        <v>1058</v>
      </c>
      <c r="R4793" t="s">
        <v>1059</v>
      </c>
      <c r="S4793" t="s">
        <v>1060</v>
      </c>
      <c r="T4793" t="s">
        <v>1061</v>
      </c>
      <c r="U4793" t="s">
        <v>1062</v>
      </c>
      <c r="V4793" t="s">
        <v>1064</v>
      </c>
      <c r="W4793" t="s">
        <v>1065</v>
      </c>
    </row>
    <row r="4794" spans="1:23">
      <c r="A4794" t="s">
        <v>195</v>
      </c>
      <c r="B4794" t="s">
        <v>229</v>
      </c>
      <c r="C4794">
        <v>129</v>
      </c>
      <c r="D4794" t="s">
        <v>194</v>
      </c>
      <c r="E4794">
        <v>2675</v>
      </c>
      <c r="F4794" s="3">
        <v>9.2700000000000005E-2</v>
      </c>
      <c r="G4794" s="3">
        <v>3.2000000000000002E-3</v>
      </c>
      <c r="H4794" s="3">
        <v>0.53820000000000001</v>
      </c>
      <c r="J4794" s="3">
        <v>3.9399999999999998E-2</v>
      </c>
      <c r="M4794" s="3">
        <v>0.2009</v>
      </c>
      <c r="N4794" s="3">
        <v>6.4000000000000003E-3</v>
      </c>
      <c r="Q4794" s="3">
        <v>3.3399999999999999E-2</v>
      </c>
      <c r="R4794" s="3">
        <v>1.6899999999999998E-2</v>
      </c>
      <c r="V4794" s="3">
        <v>0.41410000000000002</v>
      </c>
      <c r="W4794" s="3">
        <v>0.3669</v>
      </c>
    </row>
    <row r="4795" spans="1:23">
      <c r="A4795" t="s">
        <v>195</v>
      </c>
      <c r="B4795" t="s">
        <v>230</v>
      </c>
      <c r="C4795">
        <v>486</v>
      </c>
      <c r="D4795" t="s">
        <v>194</v>
      </c>
      <c r="E4795">
        <v>2675</v>
      </c>
      <c r="F4795" s="3">
        <v>4.36E-2</v>
      </c>
      <c r="G4795" s="3">
        <v>2.7000000000000001E-3</v>
      </c>
      <c r="H4795" s="3">
        <v>0.37009999999999998</v>
      </c>
      <c r="I4795" s="3">
        <v>8.3999999999999995E-3</v>
      </c>
      <c r="J4795" s="3">
        <v>9.4799999999999995E-2</v>
      </c>
      <c r="L4795" s="3">
        <v>2.9999999999999997E-4</v>
      </c>
      <c r="M4795" s="3">
        <v>0.26240000000000002</v>
      </c>
      <c r="N4795" s="3">
        <v>2.9999999999999997E-4</v>
      </c>
      <c r="P4795" s="3">
        <v>5.0000000000000001E-3</v>
      </c>
      <c r="Q4795" s="3">
        <v>5.45E-2</v>
      </c>
      <c r="R4795" s="3">
        <v>1.5900000000000001E-2</v>
      </c>
      <c r="S4795" s="3">
        <v>1.37E-2</v>
      </c>
      <c r="T4795" s="3">
        <v>3.2000000000000002E-3</v>
      </c>
      <c r="U4795" s="3">
        <v>6.7000000000000002E-3</v>
      </c>
      <c r="V4795" s="3">
        <v>0.3926</v>
      </c>
      <c r="W4795" s="3">
        <v>0.34860000000000002</v>
      </c>
    </row>
    <row r="4796" spans="1:23">
      <c r="A4796" t="s">
        <v>195</v>
      </c>
      <c r="B4796" t="s">
        <v>231</v>
      </c>
      <c r="C4796">
        <v>305</v>
      </c>
      <c r="D4796" t="s">
        <v>194</v>
      </c>
      <c r="E4796">
        <v>2675</v>
      </c>
      <c r="F4796" s="3">
        <v>8.1500000000000003E-2</v>
      </c>
      <c r="H4796" s="3">
        <v>0.34749999999999998</v>
      </c>
      <c r="J4796" s="3">
        <v>9.2100000000000001E-2</v>
      </c>
      <c r="M4796" s="3">
        <v>0.24859999999999999</v>
      </c>
      <c r="O4796" s="3">
        <v>2.9999999999999997E-4</v>
      </c>
      <c r="P4796" s="3">
        <v>8.0000000000000004E-4</v>
      </c>
      <c r="Q4796" s="3">
        <v>3.5799999999999998E-2</v>
      </c>
      <c r="R4796" s="3">
        <v>1.2699999999999999E-2</v>
      </c>
      <c r="T4796" s="3">
        <v>1.9E-3</v>
      </c>
      <c r="V4796" s="3">
        <v>0.45390000000000003</v>
      </c>
      <c r="W4796" s="3">
        <v>0.44569999999999999</v>
      </c>
    </row>
    <row r="4797" spans="1:23">
      <c r="A4797" t="s">
        <v>195</v>
      </c>
      <c r="B4797" t="s">
        <v>232</v>
      </c>
      <c r="C4797">
        <v>268</v>
      </c>
      <c r="D4797" t="s">
        <v>194</v>
      </c>
      <c r="E4797">
        <v>2675</v>
      </c>
      <c r="F4797" s="3">
        <v>2.1299999999999999E-2</v>
      </c>
      <c r="G4797" s="3">
        <v>2.9999999999999997E-4</v>
      </c>
      <c r="H4797" s="3">
        <v>0.23469999999999999</v>
      </c>
      <c r="I4797" s="3">
        <v>2.2000000000000001E-3</v>
      </c>
      <c r="J4797" s="3">
        <v>0.1691</v>
      </c>
      <c r="M4797" s="3">
        <v>0.3019</v>
      </c>
      <c r="P4797" s="3">
        <v>2.0000000000000001E-4</v>
      </c>
      <c r="Q4797" s="3">
        <v>2.2499999999999999E-2</v>
      </c>
      <c r="R4797" s="3">
        <v>2.2000000000000001E-3</v>
      </c>
      <c r="U4797" s="3">
        <v>2.5999999999999999E-3</v>
      </c>
      <c r="V4797" s="3">
        <v>0.38540000000000002</v>
      </c>
      <c r="W4797" s="3">
        <v>0.37819999999999998</v>
      </c>
    </row>
    <row r="4798" spans="1:23">
      <c r="A4798" t="s">
        <v>199</v>
      </c>
      <c r="B4798" t="s">
        <v>229</v>
      </c>
      <c r="C4798">
        <v>150</v>
      </c>
      <c r="D4798" t="s">
        <v>194</v>
      </c>
      <c r="E4798">
        <v>2675</v>
      </c>
      <c r="F4798" s="3">
        <v>0.1608</v>
      </c>
      <c r="G4798" s="3">
        <v>8.0000000000000004E-4</v>
      </c>
      <c r="H4798" s="3">
        <v>0.60529999999999995</v>
      </c>
      <c r="I4798" s="3">
        <v>2.3999999999999998E-3</v>
      </c>
      <c r="J4798" s="3">
        <v>7.0000000000000007E-2</v>
      </c>
      <c r="K4798" s="3">
        <v>2.7400000000000001E-2</v>
      </c>
      <c r="M4798" s="3">
        <v>8.2600000000000007E-2</v>
      </c>
      <c r="P4798" s="3">
        <v>1.3599999999999999E-2</v>
      </c>
      <c r="Q4798" s="3">
        <v>8.72E-2</v>
      </c>
      <c r="R4798" s="3">
        <v>3.7000000000000002E-3</v>
      </c>
      <c r="S4798" s="3">
        <v>4.4000000000000003E-3</v>
      </c>
      <c r="V4798" s="3">
        <v>0.35859999999999997</v>
      </c>
      <c r="W4798" s="3">
        <v>0.28839999999999999</v>
      </c>
    </row>
    <row r="4799" spans="1:23">
      <c r="A4799" t="s">
        <v>199</v>
      </c>
      <c r="B4799" t="s">
        <v>230</v>
      </c>
      <c r="C4799">
        <v>701</v>
      </c>
      <c r="D4799" t="s">
        <v>194</v>
      </c>
      <c r="E4799">
        <v>2675</v>
      </c>
      <c r="F4799" s="3">
        <v>0.112</v>
      </c>
      <c r="G4799" s="3">
        <v>6.7000000000000002E-3</v>
      </c>
      <c r="H4799" s="3">
        <v>0.59660000000000002</v>
      </c>
      <c r="J4799" s="3">
        <v>9.8199999999999996E-2</v>
      </c>
      <c r="L4799" s="3">
        <v>8.6E-3</v>
      </c>
      <c r="M4799" s="3">
        <v>0.15870000000000001</v>
      </c>
      <c r="N4799" s="3">
        <v>5.0000000000000001E-4</v>
      </c>
      <c r="O4799" s="3">
        <v>1.8E-3</v>
      </c>
      <c r="P4799" s="3">
        <v>1.9800000000000002E-2</v>
      </c>
      <c r="Q4799" s="3">
        <v>0.1249</v>
      </c>
      <c r="R4799" s="3">
        <v>4.2799999999999998E-2</v>
      </c>
      <c r="S4799" s="3">
        <v>2.8999999999999998E-3</v>
      </c>
      <c r="T4799" s="3">
        <v>2.5999999999999999E-3</v>
      </c>
      <c r="U4799" s="3">
        <v>6.1000000000000004E-3</v>
      </c>
      <c r="V4799" s="3">
        <v>0.37369999999999998</v>
      </c>
      <c r="W4799" s="3">
        <v>0.34949999999999998</v>
      </c>
    </row>
    <row r="4800" spans="1:23">
      <c r="A4800" t="s">
        <v>199</v>
      </c>
      <c r="B4800" t="s">
        <v>231</v>
      </c>
      <c r="C4800">
        <v>396</v>
      </c>
      <c r="D4800" t="s">
        <v>194</v>
      </c>
      <c r="E4800">
        <v>2675</v>
      </c>
      <c r="F4800" s="3">
        <v>0.1216</v>
      </c>
      <c r="G4800" s="3">
        <v>1E-4</v>
      </c>
      <c r="H4800" s="3">
        <v>0.48630000000000001</v>
      </c>
      <c r="J4800" s="3">
        <v>0.1376</v>
      </c>
      <c r="M4800" s="3">
        <v>0.1429</v>
      </c>
      <c r="N4800" s="3">
        <v>2.9999999999999997E-4</v>
      </c>
      <c r="O4800" s="3">
        <v>1.5E-3</v>
      </c>
      <c r="P4800" s="3">
        <v>1.2999999999999999E-2</v>
      </c>
      <c r="Q4800" s="3">
        <v>7.5300000000000006E-2</v>
      </c>
      <c r="R4800" s="3">
        <v>6.7000000000000004E-2</v>
      </c>
      <c r="S4800" s="3">
        <v>2.3999999999999998E-3</v>
      </c>
      <c r="T4800" s="3">
        <v>1.6000000000000001E-3</v>
      </c>
      <c r="U4800" s="3">
        <v>1.0200000000000001E-2</v>
      </c>
      <c r="V4800" s="3">
        <v>0.35699999999999998</v>
      </c>
      <c r="W4800" s="3">
        <v>0.38740000000000002</v>
      </c>
    </row>
    <row r="4801" spans="1:23">
      <c r="A4801" t="s">
        <v>199</v>
      </c>
      <c r="B4801" t="s">
        <v>232</v>
      </c>
      <c r="C4801">
        <v>240</v>
      </c>
      <c r="D4801" t="s">
        <v>194</v>
      </c>
      <c r="E4801">
        <v>2675</v>
      </c>
      <c r="F4801" s="3">
        <v>2.7400000000000001E-2</v>
      </c>
      <c r="G4801" s="3">
        <v>4.1999999999999997E-3</v>
      </c>
      <c r="H4801" s="3">
        <v>0.443</v>
      </c>
      <c r="J4801" s="3">
        <v>0.1235</v>
      </c>
      <c r="L4801" s="3">
        <v>6.9999999999999999E-4</v>
      </c>
      <c r="M4801" s="3">
        <v>0.22140000000000001</v>
      </c>
      <c r="O4801" s="3">
        <v>6.9999999999999999E-4</v>
      </c>
      <c r="P4801" s="3">
        <v>4.8800000000000003E-2</v>
      </c>
      <c r="Q4801" s="3">
        <v>9.35E-2</v>
      </c>
      <c r="R4801" s="3">
        <v>1.43E-2</v>
      </c>
      <c r="U4801" s="3">
        <v>1E-4</v>
      </c>
      <c r="V4801" s="3">
        <v>0.40310000000000001</v>
      </c>
      <c r="W4801" s="3">
        <v>0.4103</v>
      </c>
    </row>
    <row r="4802" spans="1:23">
      <c r="A4802" t="s">
        <v>200</v>
      </c>
      <c r="B4802" t="s">
        <v>200</v>
      </c>
      <c r="C4802">
        <v>2675</v>
      </c>
      <c r="D4802" t="s">
        <v>200</v>
      </c>
      <c r="E4802">
        <v>2675</v>
      </c>
      <c r="F4802" s="3">
        <v>8.48E-2</v>
      </c>
      <c r="G4802" s="3">
        <v>2.8999999999999998E-3</v>
      </c>
      <c r="H4802" s="3">
        <v>0.46700000000000003</v>
      </c>
      <c r="I4802" s="3">
        <v>1.9E-3</v>
      </c>
      <c r="J4802" s="3">
        <v>0.10340000000000001</v>
      </c>
      <c r="K4802" s="3">
        <v>2.7000000000000001E-3</v>
      </c>
      <c r="L4802" s="3">
        <v>2.3999999999999998E-3</v>
      </c>
      <c r="M4802" s="3">
        <v>0.1996</v>
      </c>
      <c r="N4802" s="3">
        <v>5.9999999999999995E-4</v>
      </c>
      <c r="O4802" s="3">
        <v>6.9999999999999999E-4</v>
      </c>
      <c r="P4802" s="3">
        <v>1.34E-2</v>
      </c>
      <c r="Q4802" s="3">
        <v>7.5399999999999995E-2</v>
      </c>
      <c r="R4802" s="3">
        <v>2.52E-2</v>
      </c>
      <c r="S4802" s="3">
        <v>3.8E-3</v>
      </c>
      <c r="T4802" s="3">
        <v>1.6000000000000001E-3</v>
      </c>
      <c r="U4802" s="3">
        <v>4.1000000000000003E-3</v>
      </c>
      <c r="V4802" s="3">
        <v>0.38900000000000001</v>
      </c>
      <c r="W4802" s="3">
        <v>0.36709999999999998</v>
      </c>
    </row>
    <row r="4804" spans="1:23" ht="45">
      <c r="A4804" s="22" t="s">
        <v>1154</v>
      </c>
    </row>
    <row r="4805" spans="1:23">
      <c r="A4805" t="s">
        <v>185</v>
      </c>
      <c r="B4805" t="s">
        <v>186</v>
      </c>
      <c r="C4805" t="s">
        <v>192</v>
      </c>
      <c r="D4805" t="s">
        <v>184</v>
      </c>
      <c r="E4805" t="s">
        <v>193</v>
      </c>
      <c r="F4805" t="s">
        <v>1051</v>
      </c>
      <c r="G4805" t="s">
        <v>1115</v>
      </c>
      <c r="H4805" t="s">
        <v>1052</v>
      </c>
      <c r="I4805" t="s">
        <v>1053</v>
      </c>
      <c r="J4805" t="s">
        <v>257</v>
      </c>
      <c r="K4805" t="s">
        <v>1054</v>
      </c>
      <c r="L4805" t="s">
        <v>1055</v>
      </c>
      <c r="M4805" t="s">
        <v>329</v>
      </c>
      <c r="N4805" t="s">
        <v>274</v>
      </c>
      <c r="O4805" t="s">
        <v>247</v>
      </c>
      <c r="P4805" t="s">
        <v>1057</v>
      </c>
      <c r="Q4805" t="s">
        <v>1058</v>
      </c>
      <c r="R4805" t="s">
        <v>1059</v>
      </c>
      <c r="S4805" t="s">
        <v>1060</v>
      </c>
      <c r="T4805" t="s">
        <v>1061</v>
      </c>
      <c r="U4805" t="s">
        <v>1062</v>
      </c>
      <c r="V4805" t="s">
        <v>1064</v>
      </c>
      <c r="W4805" t="s">
        <v>1065</v>
      </c>
    </row>
    <row r="4806" spans="1:23">
      <c r="A4806" t="s">
        <v>195</v>
      </c>
      <c r="B4806" t="s">
        <v>196</v>
      </c>
      <c r="C4806">
        <v>413</v>
      </c>
      <c r="D4806" t="s">
        <v>194</v>
      </c>
      <c r="E4806">
        <v>2675</v>
      </c>
      <c r="F4806" s="3">
        <v>9.11E-2</v>
      </c>
      <c r="G4806" s="3">
        <v>2.9999999999999997E-4</v>
      </c>
      <c r="H4806" s="3">
        <v>0.37159999999999999</v>
      </c>
      <c r="I4806" s="3">
        <v>2.0999999999999999E-3</v>
      </c>
      <c r="J4806" s="3">
        <v>9.1899999999999996E-2</v>
      </c>
      <c r="M4806" s="3">
        <v>0.33689999999999998</v>
      </c>
      <c r="P4806" s="3">
        <v>2.0999999999999999E-3</v>
      </c>
      <c r="Q4806" s="3">
        <v>7.0900000000000005E-2</v>
      </c>
      <c r="R4806" s="3">
        <v>2.0899999999999998E-2</v>
      </c>
      <c r="T4806" s="3">
        <v>6.4999999999999997E-3</v>
      </c>
      <c r="U4806" s="3">
        <v>4.7000000000000002E-3</v>
      </c>
      <c r="V4806" s="3">
        <v>0.31309999999999999</v>
      </c>
      <c r="W4806" s="3">
        <v>0.29409999999999997</v>
      </c>
    </row>
    <row r="4807" spans="1:23">
      <c r="A4807" t="s">
        <v>195</v>
      </c>
      <c r="B4807" t="s">
        <v>198</v>
      </c>
      <c r="C4807">
        <v>754</v>
      </c>
      <c r="D4807" t="s">
        <v>194</v>
      </c>
      <c r="E4807">
        <v>2675</v>
      </c>
      <c r="F4807" s="3">
        <v>4.2599999999999999E-2</v>
      </c>
      <c r="G4807" s="3">
        <v>2.0999999999999999E-3</v>
      </c>
      <c r="H4807" s="3">
        <v>0.35859999999999997</v>
      </c>
      <c r="I4807" s="3">
        <v>4.4999999999999997E-3</v>
      </c>
      <c r="J4807" s="3">
        <v>0.1041</v>
      </c>
      <c r="L4807" s="3">
        <v>2.0000000000000001E-4</v>
      </c>
      <c r="M4807" s="3">
        <v>0.23080000000000001</v>
      </c>
      <c r="N4807" s="3">
        <v>1.5E-3</v>
      </c>
      <c r="O4807" s="3">
        <v>1E-4</v>
      </c>
      <c r="P4807" s="3">
        <v>2.2000000000000001E-3</v>
      </c>
      <c r="Q4807" s="3">
        <v>2.8899999999999999E-2</v>
      </c>
      <c r="R4807" s="3">
        <v>9.2999999999999992E-3</v>
      </c>
      <c r="S4807" s="3">
        <v>7.4000000000000003E-3</v>
      </c>
      <c r="U4807" s="3">
        <v>2.7000000000000001E-3</v>
      </c>
      <c r="V4807" s="3">
        <v>0.44340000000000002</v>
      </c>
      <c r="W4807" s="3">
        <v>0.41199999999999998</v>
      </c>
    </row>
    <row r="4808" spans="1:23">
      <c r="A4808" t="s">
        <v>199</v>
      </c>
      <c r="B4808" t="s">
        <v>196</v>
      </c>
      <c r="C4808">
        <v>525</v>
      </c>
      <c r="D4808" t="s">
        <v>194</v>
      </c>
      <c r="E4808">
        <v>2675</v>
      </c>
      <c r="F4808" s="3">
        <v>0.10100000000000001</v>
      </c>
      <c r="G4808" s="3">
        <v>3.2000000000000002E-3</v>
      </c>
      <c r="H4808" s="3">
        <v>0.4657</v>
      </c>
      <c r="J4808" s="3">
        <v>9.6000000000000002E-2</v>
      </c>
      <c r="L4808" s="3">
        <v>1.17E-2</v>
      </c>
      <c r="M4808" s="3">
        <v>0.25059999999999999</v>
      </c>
      <c r="O4808" s="3">
        <v>1E-3</v>
      </c>
      <c r="P4808" s="3">
        <v>0.03</v>
      </c>
      <c r="Q4808" s="3">
        <v>7.46E-2</v>
      </c>
      <c r="R4808" s="3">
        <v>1.6199999999999999E-2</v>
      </c>
      <c r="S4808" s="3">
        <v>2.3999999999999998E-3</v>
      </c>
      <c r="U4808" s="3">
        <v>5.1000000000000004E-3</v>
      </c>
      <c r="V4808" s="3">
        <v>0.28120000000000001</v>
      </c>
      <c r="W4808" s="3">
        <v>0.24829999999999999</v>
      </c>
    </row>
    <row r="4809" spans="1:23">
      <c r="A4809" t="s">
        <v>199</v>
      </c>
      <c r="B4809" t="s">
        <v>198</v>
      </c>
      <c r="C4809">
        <v>944</v>
      </c>
      <c r="D4809" t="s">
        <v>194</v>
      </c>
      <c r="E4809">
        <v>2675</v>
      </c>
      <c r="F4809" s="3">
        <v>0.1101</v>
      </c>
      <c r="G4809" s="3">
        <v>4.1999999999999997E-3</v>
      </c>
      <c r="H4809" s="3">
        <v>0.57199999999999995</v>
      </c>
      <c r="I4809" s="3">
        <v>5.0000000000000001E-4</v>
      </c>
      <c r="J4809" s="3">
        <v>0.1065</v>
      </c>
      <c r="K4809" s="3">
        <v>6.0000000000000001E-3</v>
      </c>
      <c r="L4809" s="3">
        <v>2.3999999999999998E-3</v>
      </c>
      <c r="M4809" s="3">
        <v>0.1305</v>
      </c>
      <c r="N4809" s="3">
        <v>2.9999999999999997E-4</v>
      </c>
      <c r="O4809" s="3">
        <v>1.2999999999999999E-3</v>
      </c>
      <c r="P4809" s="3">
        <v>2.0400000000000001E-2</v>
      </c>
      <c r="Q4809" s="3">
        <v>0.1105</v>
      </c>
      <c r="R4809" s="3">
        <v>3.9899999999999998E-2</v>
      </c>
      <c r="S4809" s="3">
        <v>2.5999999999999999E-3</v>
      </c>
      <c r="T4809" s="3">
        <v>1.9E-3</v>
      </c>
      <c r="U4809" s="3">
        <v>4.4999999999999997E-3</v>
      </c>
      <c r="V4809" s="3">
        <v>0.39340000000000003</v>
      </c>
      <c r="W4809" s="3">
        <v>0.37990000000000002</v>
      </c>
    </row>
    <row r="4810" spans="1:23">
      <c r="A4810" t="s">
        <v>200</v>
      </c>
      <c r="B4810" t="s">
        <v>200</v>
      </c>
      <c r="C4810">
        <v>2675</v>
      </c>
      <c r="D4810" t="s">
        <v>200</v>
      </c>
      <c r="E4810">
        <v>2675</v>
      </c>
      <c r="F4810" s="3">
        <v>8.48E-2</v>
      </c>
      <c r="G4810" s="3">
        <v>2.8999999999999998E-3</v>
      </c>
      <c r="H4810" s="3">
        <v>0.46700000000000003</v>
      </c>
      <c r="I4810" s="3">
        <v>1.9E-3</v>
      </c>
      <c r="J4810" s="3">
        <v>0.10340000000000001</v>
      </c>
      <c r="K4810" s="3">
        <v>2.7000000000000001E-3</v>
      </c>
      <c r="L4810" s="3">
        <v>2.3999999999999998E-3</v>
      </c>
      <c r="M4810" s="3">
        <v>0.1996</v>
      </c>
      <c r="N4810" s="3">
        <v>5.9999999999999995E-4</v>
      </c>
      <c r="O4810" s="3">
        <v>6.9999999999999999E-4</v>
      </c>
      <c r="P4810" s="3">
        <v>1.34E-2</v>
      </c>
      <c r="Q4810" s="3">
        <v>7.5399999999999995E-2</v>
      </c>
      <c r="R4810" s="3">
        <v>2.52E-2</v>
      </c>
      <c r="S4810" s="3">
        <v>3.8E-3</v>
      </c>
      <c r="T4810" s="3">
        <v>1.6000000000000001E-3</v>
      </c>
      <c r="U4810" s="3">
        <v>4.1000000000000003E-3</v>
      </c>
      <c r="V4810" s="3">
        <v>0.38900000000000001</v>
      </c>
      <c r="W4810" s="3">
        <v>0.36709999999999998</v>
      </c>
    </row>
    <row r="4812" spans="1:23" ht="45">
      <c r="A4812" s="22" t="s">
        <v>1155</v>
      </c>
    </row>
    <row r="4813" spans="1:23">
      <c r="A4813" t="s">
        <v>185</v>
      </c>
      <c r="B4813" t="s">
        <v>186</v>
      </c>
      <c r="C4813" t="s">
        <v>192</v>
      </c>
      <c r="D4813" t="s">
        <v>184</v>
      </c>
      <c r="E4813" t="s">
        <v>193</v>
      </c>
      <c r="F4813" t="s">
        <v>1051</v>
      </c>
      <c r="G4813" t="s">
        <v>1115</v>
      </c>
      <c r="H4813" t="s">
        <v>1052</v>
      </c>
      <c r="I4813" t="s">
        <v>1053</v>
      </c>
      <c r="J4813" t="s">
        <v>257</v>
      </c>
      <c r="K4813" t="s">
        <v>1054</v>
      </c>
      <c r="L4813" t="s">
        <v>1055</v>
      </c>
      <c r="M4813" t="s">
        <v>329</v>
      </c>
      <c r="N4813" t="s">
        <v>274</v>
      </c>
      <c r="O4813" t="s">
        <v>247</v>
      </c>
      <c r="P4813" t="s">
        <v>1057</v>
      </c>
      <c r="Q4813" t="s">
        <v>1058</v>
      </c>
      <c r="R4813" t="s">
        <v>1059</v>
      </c>
      <c r="S4813" t="s">
        <v>1060</v>
      </c>
      <c r="T4813" t="s">
        <v>1061</v>
      </c>
      <c r="U4813" t="s">
        <v>1062</v>
      </c>
      <c r="V4813" t="s">
        <v>1064</v>
      </c>
      <c r="W4813" t="s">
        <v>1065</v>
      </c>
    </row>
    <row r="4814" spans="1:23">
      <c r="A4814" t="s">
        <v>195</v>
      </c>
      <c r="B4814" t="s">
        <v>202</v>
      </c>
      <c r="C4814">
        <v>532</v>
      </c>
      <c r="D4814" t="s">
        <v>194</v>
      </c>
      <c r="E4814">
        <v>2675</v>
      </c>
      <c r="F4814" s="3">
        <v>4.1500000000000002E-2</v>
      </c>
      <c r="G4814" s="3">
        <v>2.3999999999999998E-3</v>
      </c>
      <c r="H4814" s="3">
        <v>0.3553</v>
      </c>
      <c r="I4814" s="3">
        <v>3.8999999999999998E-3</v>
      </c>
      <c r="J4814" s="3">
        <v>0.1202</v>
      </c>
      <c r="M4814" s="3">
        <v>0.31169999999999998</v>
      </c>
      <c r="Q4814" s="3">
        <v>2.1399999999999999E-2</v>
      </c>
      <c r="R4814" s="3">
        <v>1.55E-2</v>
      </c>
      <c r="T4814" s="3">
        <v>2.7000000000000001E-3</v>
      </c>
      <c r="U4814" s="3">
        <v>3.5999999999999999E-3</v>
      </c>
      <c r="V4814" s="3">
        <v>0.29749999999999999</v>
      </c>
      <c r="W4814" s="3">
        <v>0.2671</v>
      </c>
    </row>
    <row r="4815" spans="1:23">
      <c r="A4815" t="s">
        <v>195</v>
      </c>
      <c r="B4815" t="s">
        <v>204</v>
      </c>
      <c r="C4815">
        <v>301</v>
      </c>
      <c r="D4815" t="s">
        <v>194</v>
      </c>
      <c r="E4815">
        <v>2675</v>
      </c>
      <c r="F4815" s="3">
        <v>0.1113</v>
      </c>
      <c r="H4815" s="3">
        <v>0.42620000000000002</v>
      </c>
      <c r="I4815" s="3">
        <v>2.2000000000000001E-3</v>
      </c>
      <c r="J4815" s="3">
        <v>5.4100000000000002E-2</v>
      </c>
      <c r="L4815" s="3">
        <v>5.9999999999999995E-4</v>
      </c>
      <c r="M4815" s="3">
        <v>0.1898</v>
      </c>
      <c r="N4815" s="3">
        <v>4.4000000000000003E-3</v>
      </c>
      <c r="P4815" s="3">
        <v>4.1999999999999997E-3</v>
      </c>
      <c r="Q4815" s="3">
        <v>7.6600000000000001E-2</v>
      </c>
      <c r="R4815" s="3">
        <v>7.1999999999999998E-3</v>
      </c>
      <c r="S4815" s="3">
        <v>2.23E-2</v>
      </c>
      <c r="V4815" s="3">
        <v>0.55469999999999997</v>
      </c>
      <c r="W4815" s="3">
        <v>0.52470000000000006</v>
      </c>
    </row>
    <row r="4816" spans="1:23">
      <c r="A4816" t="s">
        <v>195</v>
      </c>
      <c r="B4816" t="s">
        <v>205</v>
      </c>
      <c r="C4816">
        <v>334</v>
      </c>
      <c r="D4816" t="s">
        <v>194</v>
      </c>
      <c r="E4816">
        <v>2675</v>
      </c>
      <c r="F4816" s="3">
        <v>3.4599999999999999E-2</v>
      </c>
      <c r="G4816" s="3">
        <v>5.0000000000000001E-4</v>
      </c>
      <c r="H4816" s="3">
        <v>0.29310000000000003</v>
      </c>
      <c r="I4816" s="3">
        <v>6.0000000000000001E-3</v>
      </c>
      <c r="J4816" s="3">
        <v>8.2199999999999995E-2</v>
      </c>
      <c r="M4816" s="3">
        <v>0.11840000000000001</v>
      </c>
      <c r="N4816" s="3">
        <v>8.9999999999999998E-4</v>
      </c>
      <c r="O4816" s="3">
        <v>5.0000000000000001E-4</v>
      </c>
      <c r="P4816" s="3">
        <v>9.5999999999999992E-3</v>
      </c>
      <c r="Q4816" s="3">
        <v>7.1999999999999995E-2</v>
      </c>
      <c r="R4816" s="3">
        <v>5.7999999999999996E-3</v>
      </c>
      <c r="S4816" s="3">
        <v>4.5999999999999999E-3</v>
      </c>
      <c r="U4816" s="3">
        <v>6.4000000000000003E-3</v>
      </c>
      <c r="V4816" s="3">
        <v>0.70720000000000005</v>
      </c>
      <c r="W4816" s="3">
        <v>0.69340000000000002</v>
      </c>
    </row>
    <row r="4817" spans="1:23">
      <c r="A4817" t="s">
        <v>199</v>
      </c>
      <c r="B4817" t="s">
        <v>202</v>
      </c>
      <c r="C4817">
        <v>538</v>
      </c>
      <c r="D4817" t="s">
        <v>194</v>
      </c>
      <c r="E4817">
        <v>2675</v>
      </c>
      <c r="F4817" s="3">
        <v>8.72E-2</v>
      </c>
      <c r="G4817" s="3">
        <v>1.6000000000000001E-3</v>
      </c>
      <c r="H4817" s="3">
        <v>0.52900000000000003</v>
      </c>
      <c r="I4817" s="3">
        <v>6.9999999999999999E-4</v>
      </c>
      <c r="J4817" s="3">
        <v>0.12839999999999999</v>
      </c>
      <c r="K4817" s="3">
        <v>7.7000000000000002E-3</v>
      </c>
      <c r="M4817" s="3">
        <v>0.1966</v>
      </c>
      <c r="N4817" s="3">
        <v>1E-4</v>
      </c>
      <c r="O4817" s="3">
        <v>5.0000000000000001E-4</v>
      </c>
      <c r="P4817" s="3">
        <v>1.5699999999999999E-2</v>
      </c>
      <c r="Q4817" s="3">
        <v>7.6300000000000007E-2</v>
      </c>
      <c r="R4817" s="3">
        <v>3.0700000000000002E-2</v>
      </c>
      <c r="S4817" s="3">
        <v>1.2999999999999999E-3</v>
      </c>
      <c r="T4817" s="3">
        <v>2.3999999999999998E-3</v>
      </c>
      <c r="U4817" s="3">
        <v>4.3E-3</v>
      </c>
      <c r="V4817" s="3">
        <v>0.23699999999999999</v>
      </c>
      <c r="W4817" s="3">
        <v>0.252</v>
      </c>
    </row>
    <row r="4818" spans="1:23">
      <c r="A4818" t="s">
        <v>199</v>
      </c>
      <c r="B4818" t="s">
        <v>204</v>
      </c>
      <c r="C4818">
        <v>426</v>
      </c>
      <c r="D4818" t="s">
        <v>194</v>
      </c>
      <c r="E4818">
        <v>2675</v>
      </c>
      <c r="F4818" s="3">
        <v>0.1903</v>
      </c>
      <c r="G4818" s="3">
        <v>3.3E-3</v>
      </c>
      <c r="H4818" s="3">
        <v>0.64670000000000005</v>
      </c>
      <c r="J4818" s="3">
        <v>4.1500000000000002E-2</v>
      </c>
      <c r="L4818" s="3">
        <v>1.06E-2</v>
      </c>
      <c r="M4818" s="3">
        <v>0.1057</v>
      </c>
      <c r="O4818" s="3">
        <v>2.9999999999999997E-4</v>
      </c>
      <c r="P4818" s="3">
        <v>2.4299999999999999E-2</v>
      </c>
      <c r="Q4818" s="3">
        <v>7.4200000000000002E-2</v>
      </c>
      <c r="R4818" s="3">
        <v>3.4599999999999999E-2</v>
      </c>
      <c r="S4818" s="3">
        <v>5.7999999999999996E-3</v>
      </c>
      <c r="U4818" s="3">
        <v>6.8999999999999999E-3</v>
      </c>
      <c r="V4818" s="3">
        <v>0.53359999999999996</v>
      </c>
      <c r="W4818" s="3">
        <v>0.40400000000000003</v>
      </c>
    </row>
    <row r="4819" spans="1:23">
      <c r="A4819" t="s">
        <v>199</v>
      </c>
      <c r="B4819" t="s">
        <v>205</v>
      </c>
      <c r="C4819">
        <v>505</v>
      </c>
      <c r="D4819" t="s">
        <v>194</v>
      </c>
      <c r="E4819">
        <v>2675</v>
      </c>
      <c r="F4819" s="3">
        <v>9.4299999999999995E-2</v>
      </c>
      <c r="G4819" s="3">
        <v>1.37E-2</v>
      </c>
      <c r="H4819" s="3">
        <v>0.53190000000000004</v>
      </c>
      <c r="J4819" s="3">
        <v>8.72E-2</v>
      </c>
      <c r="L4819" s="3">
        <v>1.23E-2</v>
      </c>
      <c r="M4819" s="3">
        <v>4.1500000000000002E-2</v>
      </c>
      <c r="N4819" s="3">
        <v>1.1000000000000001E-3</v>
      </c>
      <c r="O4819" s="3">
        <v>5.1000000000000004E-3</v>
      </c>
      <c r="P4819" s="3">
        <v>4.4299999999999999E-2</v>
      </c>
      <c r="Q4819" s="3">
        <v>0.2419</v>
      </c>
      <c r="R4819" s="3">
        <v>5.4699999999999999E-2</v>
      </c>
      <c r="S4819" s="3">
        <v>3.7000000000000002E-3</v>
      </c>
      <c r="U4819" s="3">
        <v>3.3999999999999998E-3</v>
      </c>
      <c r="V4819" s="3">
        <v>0.69899999999999995</v>
      </c>
      <c r="W4819" s="3">
        <v>0.68989999999999996</v>
      </c>
    </row>
    <row r="4820" spans="1:23">
      <c r="A4820" t="s">
        <v>200</v>
      </c>
      <c r="B4820" t="s">
        <v>200</v>
      </c>
      <c r="C4820">
        <v>2675</v>
      </c>
      <c r="D4820" t="s">
        <v>200</v>
      </c>
      <c r="E4820">
        <v>2675</v>
      </c>
      <c r="F4820" s="3">
        <v>8.48E-2</v>
      </c>
      <c r="G4820" s="3">
        <v>2.8999999999999998E-3</v>
      </c>
      <c r="H4820" s="3">
        <v>0.46700000000000003</v>
      </c>
      <c r="I4820" s="3">
        <v>1.9E-3</v>
      </c>
      <c r="J4820" s="3">
        <v>0.10340000000000001</v>
      </c>
      <c r="K4820" s="3">
        <v>2.7000000000000001E-3</v>
      </c>
      <c r="L4820" s="3">
        <v>2.3999999999999998E-3</v>
      </c>
      <c r="M4820" s="3">
        <v>0.1996</v>
      </c>
      <c r="N4820" s="3">
        <v>5.9999999999999995E-4</v>
      </c>
      <c r="O4820" s="3">
        <v>6.9999999999999999E-4</v>
      </c>
      <c r="P4820" s="3">
        <v>1.34E-2</v>
      </c>
      <c r="Q4820" s="3">
        <v>7.5399999999999995E-2</v>
      </c>
      <c r="R4820" s="3">
        <v>2.52E-2</v>
      </c>
      <c r="S4820" s="3">
        <v>3.8E-3</v>
      </c>
      <c r="T4820" s="3">
        <v>1.6000000000000001E-3</v>
      </c>
      <c r="U4820" s="3">
        <v>4.1000000000000003E-3</v>
      </c>
      <c r="V4820" s="3">
        <v>0.38900000000000001</v>
      </c>
      <c r="W4820" s="3">
        <v>0.36709999999999998</v>
      </c>
    </row>
    <row r="4822" spans="1:23" ht="45">
      <c r="A4822" s="22" t="s">
        <v>1156</v>
      </c>
    </row>
    <row r="4823" spans="1:23">
      <c r="A4823" t="s">
        <v>185</v>
      </c>
      <c r="B4823" t="s">
        <v>186</v>
      </c>
      <c r="C4823" t="s">
        <v>192</v>
      </c>
      <c r="D4823" t="s">
        <v>184</v>
      </c>
      <c r="E4823" t="s">
        <v>193</v>
      </c>
      <c r="F4823" t="s">
        <v>1051</v>
      </c>
      <c r="G4823" t="s">
        <v>1115</v>
      </c>
      <c r="H4823" t="s">
        <v>1052</v>
      </c>
      <c r="I4823" t="s">
        <v>1053</v>
      </c>
      <c r="J4823" t="s">
        <v>257</v>
      </c>
      <c r="K4823" t="s">
        <v>1054</v>
      </c>
      <c r="L4823" t="s">
        <v>1055</v>
      </c>
      <c r="M4823" t="s">
        <v>329</v>
      </c>
      <c r="N4823" t="s">
        <v>274</v>
      </c>
      <c r="O4823" t="s">
        <v>247</v>
      </c>
      <c r="P4823" t="s">
        <v>1057</v>
      </c>
      <c r="Q4823" t="s">
        <v>1058</v>
      </c>
      <c r="R4823" t="s">
        <v>1059</v>
      </c>
      <c r="S4823" t="s">
        <v>1060</v>
      </c>
      <c r="T4823" t="s">
        <v>1061</v>
      </c>
      <c r="U4823" t="s">
        <v>1062</v>
      </c>
      <c r="V4823" t="s">
        <v>1064</v>
      </c>
      <c r="W4823" t="s">
        <v>1065</v>
      </c>
    </row>
    <row r="4824" spans="1:23">
      <c r="A4824" t="s">
        <v>195</v>
      </c>
      <c r="B4824" t="s">
        <v>207</v>
      </c>
      <c r="C4824">
        <v>322</v>
      </c>
      <c r="D4824" t="s">
        <v>194</v>
      </c>
      <c r="E4824">
        <v>2675</v>
      </c>
      <c r="F4824" s="3">
        <v>1.6799999999999999E-2</v>
      </c>
      <c r="G4824" s="3">
        <v>2.9999999999999997E-4</v>
      </c>
      <c r="H4824" s="3">
        <v>0.27179999999999999</v>
      </c>
      <c r="I4824" s="3">
        <v>8.8999999999999999E-3</v>
      </c>
      <c r="J4824" s="3">
        <v>0.1474</v>
      </c>
      <c r="L4824" s="3">
        <v>5.0000000000000001E-4</v>
      </c>
      <c r="M4824" s="3">
        <v>0.29420000000000002</v>
      </c>
      <c r="N4824" s="3">
        <v>5.0000000000000001E-4</v>
      </c>
      <c r="P4824" s="3">
        <v>1E-4</v>
      </c>
      <c r="Q4824" s="3">
        <v>2.8400000000000002E-2</v>
      </c>
      <c r="R4824" s="3">
        <v>1.2E-2</v>
      </c>
      <c r="U4824" s="3">
        <v>1.1999999999999999E-3</v>
      </c>
      <c r="V4824" s="3">
        <v>0.3483</v>
      </c>
      <c r="W4824" s="3">
        <v>0.35070000000000001</v>
      </c>
    </row>
    <row r="4825" spans="1:23">
      <c r="A4825" t="s">
        <v>195</v>
      </c>
      <c r="B4825" t="s">
        <v>209</v>
      </c>
      <c r="C4825">
        <v>866</v>
      </c>
      <c r="D4825" t="s">
        <v>194</v>
      </c>
      <c r="E4825">
        <v>2675</v>
      </c>
      <c r="F4825" s="3">
        <v>6.8599999999999994E-2</v>
      </c>
      <c r="G4825" s="3">
        <v>2.0999999999999999E-3</v>
      </c>
      <c r="H4825" s="3">
        <v>0.39150000000000001</v>
      </c>
      <c r="I4825" s="3">
        <v>2E-3</v>
      </c>
      <c r="J4825" s="3">
        <v>8.5999999999999993E-2</v>
      </c>
      <c r="M4825" s="3">
        <v>0.24590000000000001</v>
      </c>
      <c r="N4825" s="3">
        <v>1.2999999999999999E-3</v>
      </c>
      <c r="O4825" s="3">
        <v>1E-4</v>
      </c>
      <c r="P4825" s="3">
        <v>2.8999999999999998E-3</v>
      </c>
      <c r="Q4825" s="3">
        <v>4.3999999999999997E-2</v>
      </c>
      <c r="R4825" s="3">
        <v>1.2500000000000001E-2</v>
      </c>
      <c r="S4825" s="3">
        <v>7.3000000000000001E-3</v>
      </c>
      <c r="T4825" s="3">
        <v>2.3E-3</v>
      </c>
      <c r="U4825" s="3">
        <v>3.8999999999999998E-3</v>
      </c>
      <c r="V4825" s="3">
        <v>0.43020000000000003</v>
      </c>
      <c r="W4825" s="3">
        <v>0.39179999999999998</v>
      </c>
    </row>
    <row r="4826" spans="1:23">
      <c r="A4826" t="s">
        <v>199</v>
      </c>
      <c r="B4826" t="s">
        <v>207</v>
      </c>
      <c r="C4826">
        <v>282</v>
      </c>
      <c r="D4826" t="s">
        <v>194</v>
      </c>
      <c r="E4826">
        <v>2675</v>
      </c>
      <c r="F4826" s="3">
        <v>7.9000000000000001E-2</v>
      </c>
      <c r="G4826" s="3">
        <v>8.0999999999999996E-3</v>
      </c>
      <c r="H4826" s="3">
        <v>0.54890000000000005</v>
      </c>
      <c r="J4826" s="3">
        <v>0.12720000000000001</v>
      </c>
      <c r="L4826" s="3">
        <v>1.7899999999999999E-2</v>
      </c>
      <c r="M4826" s="3">
        <v>0.1226</v>
      </c>
      <c r="N4826" s="3">
        <v>1E-3</v>
      </c>
      <c r="O4826" s="3">
        <v>3.5000000000000001E-3</v>
      </c>
      <c r="P4826" s="3">
        <v>7.7700000000000005E-2</v>
      </c>
      <c r="Q4826" s="3">
        <v>8.7599999999999997E-2</v>
      </c>
      <c r="R4826" s="3">
        <v>3.2500000000000001E-2</v>
      </c>
      <c r="S4826" s="3">
        <v>5.8999999999999999E-3</v>
      </c>
      <c r="U4826" s="3">
        <v>1.23E-2</v>
      </c>
      <c r="V4826" s="3">
        <v>0.43740000000000001</v>
      </c>
      <c r="W4826" s="3">
        <v>0.49619999999999997</v>
      </c>
    </row>
    <row r="4827" spans="1:23">
      <c r="A4827" t="s">
        <v>199</v>
      </c>
      <c r="B4827" t="s">
        <v>209</v>
      </c>
      <c r="C4827">
        <v>1205</v>
      </c>
      <c r="D4827" t="s">
        <v>194</v>
      </c>
      <c r="E4827">
        <v>2675</v>
      </c>
      <c r="F4827" s="3">
        <v>0.1123</v>
      </c>
      <c r="G4827" s="3">
        <v>3.3999999999999998E-3</v>
      </c>
      <c r="H4827" s="3">
        <v>0.55230000000000001</v>
      </c>
      <c r="I4827" s="3">
        <v>5.0000000000000001E-4</v>
      </c>
      <c r="J4827" s="3">
        <v>0.1016</v>
      </c>
      <c r="K4827" s="3">
        <v>5.5999999999999999E-3</v>
      </c>
      <c r="L4827" s="3">
        <v>2.2000000000000001E-3</v>
      </c>
      <c r="M4827" s="3">
        <v>0.15690000000000001</v>
      </c>
      <c r="N4827" s="3">
        <v>2.0000000000000001E-4</v>
      </c>
      <c r="O4827" s="3">
        <v>8.9999999999999998E-4</v>
      </c>
      <c r="P4827" s="3">
        <v>1.47E-2</v>
      </c>
      <c r="Q4827" s="3">
        <v>0.10589999999999999</v>
      </c>
      <c r="R4827" s="3">
        <v>3.5900000000000001E-2</v>
      </c>
      <c r="S4827" s="3">
        <v>2.0999999999999999E-3</v>
      </c>
      <c r="T4827" s="3">
        <v>1.6999999999999999E-3</v>
      </c>
      <c r="U4827" s="3">
        <v>3.7000000000000002E-3</v>
      </c>
      <c r="V4827" s="3">
        <v>0.3639</v>
      </c>
      <c r="W4827" s="3">
        <v>0.33639999999999998</v>
      </c>
    </row>
    <row r="4828" spans="1:23">
      <c r="A4828" t="s">
        <v>200</v>
      </c>
      <c r="B4828" t="s">
        <v>200</v>
      </c>
      <c r="C4828">
        <v>2675</v>
      </c>
      <c r="D4828" t="s">
        <v>200</v>
      </c>
      <c r="E4828">
        <v>2675</v>
      </c>
      <c r="F4828" s="3">
        <v>8.48E-2</v>
      </c>
      <c r="G4828" s="3">
        <v>2.8999999999999998E-3</v>
      </c>
      <c r="H4828" s="3">
        <v>0.46700000000000003</v>
      </c>
      <c r="I4828" s="3">
        <v>1.9E-3</v>
      </c>
      <c r="J4828" s="3">
        <v>0.10340000000000001</v>
      </c>
      <c r="K4828" s="3">
        <v>2.7000000000000001E-3</v>
      </c>
      <c r="L4828" s="3">
        <v>2.3999999999999998E-3</v>
      </c>
      <c r="M4828" s="3">
        <v>0.1996</v>
      </c>
      <c r="N4828" s="3">
        <v>5.9999999999999995E-4</v>
      </c>
      <c r="O4828" s="3">
        <v>6.9999999999999999E-4</v>
      </c>
      <c r="P4828" s="3">
        <v>1.34E-2</v>
      </c>
      <c r="Q4828" s="3">
        <v>7.5399999999999995E-2</v>
      </c>
      <c r="R4828" s="3">
        <v>2.52E-2</v>
      </c>
      <c r="S4828" s="3">
        <v>3.8E-3</v>
      </c>
      <c r="T4828" s="3">
        <v>1.6000000000000001E-3</v>
      </c>
      <c r="U4828" s="3">
        <v>4.1000000000000003E-3</v>
      </c>
      <c r="V4828" s="3">
        <v>0.38900000000000001</v>
      </c>
      <c r="W4828" s="3">
        <v>0.36709999999999998</v>
      </c>
    </row>
    <row r="4830" spans="1:23" ht="45">
      <c r="A4830" s="22" t="s">
        <v>1157</v>
      </c>
    </row>
    <row r="4831" spans="1:23">
      <c r="A4831" t="s">
        <v>185</v>
      </c>
      <c r="B4831" t="s">
        <v>192</v>
      </c>
      <c r="C4831" t="s">
        <v>184</v>
      </c>
      <c r="D4831" t="s">
        <v>193</v>
      </c>
      <c r="E4831" t="s">
        <v>1051</v>
      </c>
      <c r="F4831" t="s">
        <v>1115</v>
      </c>
      <c r="G4831" t="s">
        <v>1052</v>
      </c>
      <c r="H4831" t="s">
        <v>1053</v>
      </c>
      <c r="I4831" t="s">
        <v>257</v>
      </c>
      <c r="J4831" t="s">
        <v>1054</v>
      </c>
      <c r="K4831" t="s">
        <v>1055</v>
      </c>
      <c r="L4831" t="s">
        <v>329</v>
      </c>
      <c r="M4831" t="s">
        <v>274</v>
      </c>
      <c r="N4831" t="s">
        <v>247</v>
      </c>
      <c r="O4831" t="s">
        <v>1057</v>
      </c>
      <c r="P4831" t="s">
        <v>1058</v>
      </c>
      <c r="Q4831" t="s">
        <v>1059</v>
      </c>
      <c r="R4831" t="s">
        <v>1060</v>
      </c>
      <c r="S4831" t="s">
        <v>1061</v>
      </c>
      <c r="T4831" t="s">
        <v>1062</v>
      </c>
      <c r="U4831" t="s">
        <v>1064</v>
      </c>
      <c r="V4831" t="s">
        <v>1065</v>
      </c>
    </row>
    <row r="4832" spans="1:23">
      <c r="A4832" t="s">
        <v>195</v>
      </c>
      <c r="B4832">
        <v>1188</v>
      </c>
      <c r="C4832" t="s">
        <v>194</v>
      </c>
      <c r="D4832">
        <v>2675</v>
      </c>
      <c r="E4832" s="3">
        <v>5.5300000000000002E-2</v>
      </c>
      <c r="F4832" s="3">
        <v>1.6000000000000001E-3</v>
      </c>
      <c r="G4832" s="3">
        <v>0.36070000000000002</v>
      </c>
      <c r="H4832" s="3">
        <v>3.8E-3</v>
      </c>
      <c r="I4832" s="3">
        <v>0.1018</v>
      </c>
      <c r="K4832" s="3">
        <v>1E-4</v>
      </c>
      <c r="L4832" s="3">
        <v>0.25840000000000002</v>
      </c>
      <c r="M4832" s="3">
        <v>1.1000000000000001E-3</v>
      </c>
      <c r="N4832" s="3">
        <v>1E-4</v>
      </c>
      <c r="O4832" s="3">
        <v>2.2000000000000001E-3</v>
      </c>
      <c r="P4832" s="3">
        <v>0.04</v>
      </c>
      <c r="Q4832" s="3">
        <v>1.24E-2</v>
      </c>
      <c r="R4832" s="3">
        <v>5.4000000000000003E-3</v>
      </c>
      <c r="S4832" s="3">
        <v>1.6999999999999999E-3</v>
      </c>
      <c r="T4832" s="3">
        <v>3.2000000000000002E-3</v>
      </c>
      <c r="U4832" s="3">
        <v>0.40910000000000002</v>
      </c>
      <c r="V4832" s="3">
        <v>0.38119999999999998</v>
      </c>
    </row>
    <row r="4833" spans="1:23">
      <c r="A4833" t="s">
        <v>199</v>
      </c>
      <c r="B4833">
        <v>1487</v>
      </c>
      <c r="C4833" t="s">
        <v>194</v>
      </c>
      <c r="D4833">
        <v>2675</v>
      </c>
      <c r="E4833" s="3">
        <v>0.10829999999999999</v>
      </c>
      <c r="F4833" s="3">
        <v>4.0000000000000001E-3</v>
      </c>
      <c r="G4833" s="3">
        <v>0.55189999999999995</v>
      </c>
      <c r="H4833" s="3">
        <v>4.0000000000000002E-4</v>
      </c>
      <c r="I4833" s="3">
        <v>0.1047</v>
      </c>
      <c r="J4833" s="3">
        <v>4.8999999999999998E-3</v>
      </c>
      <c r="K4833" s="3">
        <v>4.1000000000000003E-3</v>
      </c>
      <c r="L4833" s="3">
        <v>0.1527</v>
      </c>
      <c r="M4833" s="3">
        <v>2.9999999999999997E-4</v>
      </c>
      <c r="N4833" s="3">
        <v>1.2999999999999999E-3</v>
      </c>
      <c r="O4833" s="3">
        <v>2.23E-2</v>
      </c>
      <c r="P4833" s="3">
        <v>0.1037</v>
      </c>
      <c r="Q4833" s="3">
        <v>3.5499999999999997E-2</v>
      </c>
      <c r="R4833" s="3">
        <v>2.5999999999999999E-3</v>
      </c>
      <c r="S4833" s="3">
        <v>1.5E-3</v>
      </c>
      <c r="T4833" s="3">
        <v>4.7000000000000002E-3</v>
      </c>
      <c r="U4833" s="3">
        <v>0.37290000000000001</v>
      </c>
      <c r="V4833" s="3">
        <v>0.35580000000000001</v>
      </c>
    </row>
    <row r="4834" spans="1:23">
      <c r="A4834" t="s">
        <v>200</v>
      </c>
      <c r="B4834">
        <v>2675</v>
      </c>
      <c r="C4834" t="s">
        <v>200</v>
      </c>
      <c r="D4834">
        <v>2675</v>
      </c>
      <c r="E4834" s="3">
        <v>8.48E-2</v>
      </c>
      <c r="F4834" s="3">
        <v>2.8999999999999998E-3</v>
      </c>
      <c r="G4834" s="3">
        <v>0.46700000000000003</v>
      </c>
      <c r="H4834" s="3">
        <v>1.9E-3</v>
      </c>
      <c r="I4834" s="3">
        <v>0.10340000000000001</v>
      </c>
      <c r="J4834" s="3">
        <v>2.7000000000000001E-3</v>
      </c>
      <c r="K4834" s="3">
        <v>2.3999999999999998E-3</v>
      </c>
      <c r="L4834" s="3">
        <v>0.1996</v>
      </c>
      <c r="M4834" s="3">
        <v>5.9999999999999995E-4</v>
      </c>
      <c r="N4834" s="3">
        <v>6.9999999999999999E-4</v>
      </c>
      <c r="O4834" s="3">
        <v>1.34E-2</v>
      </c>
      <c r="P4834" s="3">
        <v>7.5399999999999995E-2</v>
      </c>
      <c r="Q4834" s="3">
        <v>2.52E-2</v>
      </c>
      <c r="R4834" s="3">
        <v>3.8E-3</v>
      </c>
      <c r="S4834" s="3">
        <v>1.6000000000000001E-3</v>
      </c>
      <c r="T4834" s="3">
        <v>4.1000000000000003E-3</v>
      </c>
      <c r="U4834" s="3">
        <v>0.38900000000000001</v>
      </c>
      <c r="V4834" s="3">
        <v>0.36709999999999998</v>
      </c>
    </row>
    <row r="4836" spans="1:23" ht="45">
      <c r="A4836" s="22" t="s">
        <v>1158</v>
      </c>
    </row>
    <row r="4837" spans="1:23">
      <c r="A4837" t="s">
        <v>185</v>
      </c>
      <c r="B4837" t="s">
        <v>186</v>
      </c>
      <c r="C4837" t="s">
        <v>192</v>
      </c>
      <c r="D4837" t="s">
        <v>184</v>
      </c>
      <c r="E4837" t="s">
        <v>193</v>
      </c>
      <c r="F4837" t="s">
        <v>1051</v>
      </c>
      <c r="G4837" t="s">
        <v>1115</v>
      </c>
      <c r="H4837" t="s">
        <v>1052</v>
      </c>
      <c r="I4837" t="s">
        <v>1053</v>
      </c>
      <c r="J4837" t="s">
        <v>257</v>
      </c>
      <c r="K4837" t="s">
        <v>1054</v>
      </c>
      <c r="L4837" t="s">
        <v>1055</v>
      </c>
      <c r="M4837" t="s">
        <v>329</v>
      </c>
      <c r="N4837" t="s">
        <v>274</v>
      </c>
      <c r="O4837" t="s">
        <v>247</v>
      </c>
      <c r="P4837" t="s">
        <v>1057</v>
      </c>
      <c r="Q4837" t="s">
        <v>1058</v>
      </c>
      <c r="R4837" t="s">
        <v>1059</v>
      </c>
      <c r="S4837" t="s">
        <v>1060</v>
      </c>
      <c r="T4837" t="s">
        <v>1061</v>
      </c>
      <c r="U4837" t="s">
        <v>1062</v>
      </c>
      <c r="V4837" t="s">
        <v>1064</v>
      </c>
      <c r="W4837" t="s">
        <v>1065</v>
      </c>
    </row>
    <row r="4838" spans="1:23">
      <c r="A4838" t="s">
        <v>195</v>
      </c>
      <c r="B4838" t="s">
        <v>212</v>
      </c>
      <c r="C4838">
        <v>872</v>
      </c>
      <c r="D4838" t="s">
        <v>194</v>
      </c>
      <c r="E4838">
        <v>2675</v>
      </c>
      <c r="F4838" s="3">
        <v>5.3900000000000003E-2</v>
      </c>
      <c r="G4838" s="3">
        <v>2.0999999999999999E-3</v>
      </c>
      <c r="H4838" s="3">
        <v>0.3679</v>
      </c>
      <c r="I4838" s="3">
        <v>5.1000000000000004E-3</v>
      </c>
      <c r="J4838" s="3">
        <v>8.5900000000000004E-2</v>
      </c>
      <c r="L4838" s="3">
        <v>2.0000000000000001E-4</v>
      </c>
      <c r="M4838" s="3">
        <v>0.26750000000000002</v>
      </c>
      <c r="N4838" s="3">
        <v>1.4E-3</v>
      </c>
      <c r="O4838" s="3">
        <v>1E-4</v>
      </c>
      <c r="P4838" s="3">
        <v>2.3999999999999998E-3</v>
      </c>
      <c r="Q4838" s="3">
        <v>3.8699999999999998E-2</v>
      </c>
      <c r="R4838" s="3">
        <v>1.2500000000000001E-2</v>
      </c>
      <c r="S4838" s="3">
        <v>7.1999999999999998E-3</v>
      </c>
      <c r="T4838" s="3">
        <v>2.3E-3</v>
      </c>
      <c r="U4838" s="3">
        <v>4.3E-3</v>
      </c>
      <c r="V4838" s="3">
        <v>0.3982</v>
      </c>
      <c r="W4838" s="3">
        <v>0.3659</v>
      </c>
    </row>
    <row r="4839" spans="1:23">
      <c r="A4839" t="s">
        <v>195</v>
      </c>
      <c r="B4839" t="s">
        <v>214</v>
      </c>
      <c r="C4839">
        <v>181</v>
      </c>
      <c r="D4839" t="s">
        <v>194</v>
      </c>
      <c r="E4839">
        <v>2675</v>
      </c>
      <c r="F4839" s="3">
        <v>7.6300000000000007E-2</v>
      </c>
      <c r="H4839" s="3">
        <v>0.35</v>
      </c>
      <c r="J4839" s="3">
        <v>0.18659999999999999</v>
      </c>
      <c r="M4839" s="3">
        <v>0.19389999999999999</v>
      </c>
      <c r="Q4839" s="3">
        <v>6.5299999999999997E-2</v>
      </c>
      <c r="R4839" s="3">
        <v>1.6199999999999999E-2</v>
      </c>
      <c r="V4839" s="3">
        <v>0.441</v>
      </c>
      <c r="W4839" s="3">
        <v>0.41849999999999998</v>
      </c>
    </row>
    <row r="4840" spans="1:23">
      <c r="A4840" t="s">
        <v>195</v>
      </c>
      <c r="B4840" t="s">
        <v>215</v>
      </c>
      <c r="C4840">
        <v>135</v>
      </c>
      <c r="D4840" t="s">
        <v>194</v>
      </c>
      <c r="E4840">
        <v>2675</v>
      </c>
      <c r="F4840" s="3">
        <v>2.6800000000000001E-2</v>
      </c>
      <c r="H4840" s="3">
        <v>0.31669999999999998</v>
      </c>
      <c r="J4840" s="3">
        <v>7.7200000000000005E-2</v>
      </c>
      <c r="M4840" s="3">
        <v>0.30409999999999998</v>
      </c>
      <c r="P4840" s="3">
        <v>4.1999999999999997E-3</v>
      </c>
      <c r="Q4840" s="3">
        <v>1.5E-3</v>
      </c>
      <c r="R4840" s="3">
        <v>3.8E-3</v>
      </c>
      <c r="V4840" s="3">
        <v>0.44479999999999997</v>
      </c>
      <c r="W4840" s="3">
        <v>0.44450000000000001</v>
      </c>
    </row>
    <row r="4841" spans="1:23">
      <c r="A4841" t="s">
        <v>199</v>
      </c>
      <c r="B4841" t="s">
        <v>212</v>
      </c>
      <c r="C4841">
        <v>1117</v>
      </c>
      <c r="D4841" t="s">
        <v>194</v>
      </c>
      <c r="E4841">
        <v>2675</v>
      </c>
      <c r="F4841" s="3">
        <v>0.12889999999999999</v>
      </c>
      <c r="G4841" s="3">
        <v>4.7000000000000002E-3</v>
      </c>
      <c r="H4841" s="3">
        <v>0.58099999999999996</v>
      </c>
      <c r="J4841" s="3">
        <v>8.7999999999999995E-2</v>
      </c>
      <c r="L4841" s="3">
        <v>5.3E-3</v>
      </c>
      <c r="M4841" s="3">
        <v>0.14499999999999999</v>
      </c>
      <c r="N4841" s="3">
        <v>2.0000000000000001E-4</v>
      </c>
      <c r="O4841" s="3">
        <v>1.5E-3</v>
      </c>
      <c r="P4841" s="3">
        <v>1.9E-2</v>
      </c>
      <c r="Q4841" s="3">
        <v>0.1086</v>
      </c>
      <c r="R4841" s="3">
        <v>4.2500000000000003E-2</v>
      </c>
      <c r="S4841" s="3">
        <v>2.3999999999999998E-3</v>
      </c>
      <c r="T4841" s="3">
        <v>2E-3</v>
      </c>
      <c r="U4841" s="3">
        <v>5.1999999999999998E-3</v>
      </c>
      <c r="V4841" s="3">
        <v>0.3745</v>
      </c>
      <c r="W4841" s="3">
        <v>0.35630000000000001</v>
      </c>
    </row>
    <row r="4842" spans="1:23">
      <c r="A4842" t="s">
        <v>199</v>
      </c>
      <c r="B4842" t="s">
        <v>214</v>
      </c>
      <c r="C4842">
        <v>197</v>
      </c>
      <c r="D4842" t="s">
        <v>194</v>
      </c>
      <c r="E4842">
        <v>2675</v>
      </c>
      <c r="F4842" s="3">
        <v>6.2E-2</v>
      </c>
      <c r="G4842" s="3">
        <v>8.0000000000000004E-4</v>
      </c>
      <c r="H4842" s="3">
        <v>0.47549999999999998</v>
      </c>
      <c r="J4842" s="3">
        <v>0.23469999999999999</v>
      </c>
      <c r="K4842" s="3">
        <v>3.2300000000000002E-2</v>
      </c>
      <c r="L4842" s="3">
        <v>8.0000000000000004E-4</v>
      </c>
      <c r="M4842" s="3">
        <v>0.15579999999999999</v>
      </c>
      <c r="N4842" s="3">
        <v>5.9999999999999995E-4</v>
      </c>
      <c r="P4842" s="3">
        <v>3.0700000000000002E-2</v>
      </c>
      <c r="Q4842" s="3">
        <v>8.4199999999999997E-2</v>
      </c>
      <c r="R4842" s="3">
        <v>1.67E-2</v>
      </c>
      <c r="S4842" s="3">
        <v>4.3E-3</v>
      </c>
      <c r="V4842" s="3">
        <v>0.3241</v>
      </c>
      <c r="W4842" s="3">
        <v>0.30930000000000002</v>
      </c>
    </row>
    <row r="4843" spans="1:23">
      <c r="A4843" t="s">
        <v>199</v>
      </c>
      <c r="B4843" t="s">
        <v>215</v>
      </c>
      <c r="C4843">
        <v>173</v>
      </c>
      <c r="D4843" t="s">
        <v>194</v>
      </c>
      <c r="E4843">
        <v>2675</v>
      </c>
      <c r="F4843" s="3">
        <v>3.7000000000000002E-3</v>
      </c>
      <c r="G4843" s="3">
        <v>3.8999999999999998E-3</v>
      </c>
      <c r="H4843" s="3">
        <v>0.4249</v>
      </c>
      <c r="I4843" s="3">
        <v>5.1999999999999998E-3</v>
      </c>
      <c r="J4843" s="3">
        <v>2.2800000000000001E-2</v>
      </c>
      <c r="M4843" s="3">
        <v>0.21759999999999999</v>
      </c>
      <c r="O4843" s="3">
        <v>1E-3</v>
      </c>
      <c r="P4843" s="3">
        <v>3.7499999999999999E-2</v>
      </c>
      <c r="Q4843" s="3">
        <v>9.3899999999999997E-2</v>
      </c>
      <c r="R4843" s="3">
        <v>5.7000000000000002E-3</v>
      </c>
      <c r="S4843" s="3">
        <v>1.2999999999999999E-3</v>
      </c>
      <c r="U4843" s="3">
        <v>9.1999999999999998E-3</v>
      </c>
      <c r="V4843" s="3">
        <v>0.44579999999999997</v>
      </c>
      <c r="W4843" s="3">
        <v>0.43530000000000002</v>
      </c>
    </row>
    <row r="4844" spans="1:23">
      <c r="A4844" t="s">
        <v>200</v>
      </c>
      <c r="B4844" t="s">
        <v>200</v>
      </c>
      <c r="C4844">
        <v>2675</v>
      </c>
      <c r="D4844" t="s">
        <v>200</v>
      </c>
      <c r="E4844">
        <v>2675</v>
      </c>
      <c r="F4844" s="3">
        <v>8.48E-2</v>
      </c>
      <c r="G4844" s="3">
        <v>2.8999999999999998E-3</v>
      </c>
      <c r="H4844" s="3">
        <v>0.46700000000000003</v>
      </c>
      <c r="I4844" s="3">
        <v>1.9E-3</v>
      </c>
      <c r="J4844" s="3">
        <v>0.10340000000000001</v>
      </c>
      <c r="K4844" s="3">
        <v>2.7000000000000001E-3</v>
      </c>
      <c r="L4844" s="3">
        <v>2.3999999999999998E-3</v>
      </c>
      <c r="M4844" s="3">
        <v>0.1996</v>
      </c>
      <c r="N4844" s="3">
        <v>5.9999999999999995E-4</v>
      </c>
      <c r="O4844" s="3">
        <v>6.9999999999999999E-4</v>
      </c>
      <c r="P4844" s="3">
        <v>1.34E-2</v>
      </c>
      <c r="Q4844" s="3">
        <v>7.5399999999999995E-2</v>
      </c>
      <c r="R4844" s="3">
        <v>2.52E-2</v>
      </c>
      <c r="S4844" s="3">
        <v>3.8E-3</v>
      </c>
      <c r="T4844" s="3">
        <v>1.6000000000000001E-3</v>
      </c>
      <c r="U4844" s="3">
        <v>4.1000000000000003E-3</v>
      </c>
      <c r="V4844" s="3">
        <v>0.38900000000000001</v>
      </c>
      <c r="W4844" s="3">
        <v>0.36709999999999998</v>
      </c>
    </row>
    <row r="4846" spans="1:23" ht="45">
      <c r="A4846" s="22" t="s">
        <v>1159</v>
      </c>
    </row>
    <row r="4847" spans="1:23">
      <c r="A4847" t="s">
        <v>185</v>
      </c>
      <c r="B4847" t="s">
        <v>186</v>
      </c>
      <c r="C4847" t="s">
        <v>192</v>
      </c>
      <c r="D4847" t="s">
        <v>184</v>
      </c>
      <c r="E4847" t="s">
        <v>193</v>
      </c>
      <c r="F4847" t="s">
        <v>1051</v>
      </c>
      <c r="G4847" t="s">
        <v>1115</v>
      </c>
      <c r="H4847" t="s">
        <v>1052</v>
      </c>
      <c r="I4847" t="s">
        <v>1053</v>
      </c>
      <c r="J4847" t="s">
        <v>257</v>
      </c>
      <c r="K4847" t="s">
        <v>1054</v>
      </c>
      <c r="L4847" t="s">
        <v>1055</v>
      </c>
      <c r="M4847" t="s">
        <v>329</v>
      </c>
      <c r="N4847" t="s">
        <v>274</v>
      </c>
      <c r="O4847" t="s">
        <v>247</v>
      </c>
      <c r="P4847" t="s">
        <v>1057</v>
      </c>
      <c r="Q4847" t="s">
        <v>1058</v>
      </c>
      <c r="R4847" t="s">
        <v>1059</v>
      </c>
      <c r="S4847" t="s">
        <v>1060</v>
      </c>
      <c r="T4847" t="s">
        <v>1061</v>
      </c>
      <c r="U4847" t="s">
        <v>1062</v>
      </c>
      <c r="V4847" t="s">
        <v>1064</v>
      </c>
      <c r="W4847" t="s">
        <v>1065</v>
      </c>
    </row>
    <row r="4848" spans="1:23">
      <c r="A4848" t="s">
        <v>195</v>
      </c>
      <c r="B4848" t="s">
        <v>217</v>
      </c>
      <c r="C4848">
        <v>499</v>
      </c>
      <c r="D4848" t="s">
        <v>194</v>
      </c>
      <c r="E4848">
        <v>2675</v>
      </c>
      <c r="F4848" s="3">
        <v>8.7300000000000003E-2</v>
      </c>
      <c r="G4848" s="3">
        <v>1.1000000000000001E-3</v>
      </c>
      <c r="H4848" s="3">
        <v>0.40810000000000002</v>
      </c>
      <c r="I4848" s="3">
        <v>1.8E-3</v>
      </c>
      <c r="J4848" s="3">
        <v>4.0399999999999998E-2</v>
      </c>
      <c r="L4848" s="3">
        <v>2.9999999999999997E-4</v>
      </c>
      <c r="M4848" s="3">
        <v>0.27389999999999998</v>
      </c>
      <c r="N4848" s="3">
        <v>2.9999999999999997E-4</v>
      </c>
      <c r="O4848" s="3">
        <v>2.0000000000000001E-4</v>
      </c>
      <c r="P4848" s="3">
        <v>4.1999999999999997E-3</v>
      </c>
      <c r="Q4848" s="3">
        <v>4.7800000000000002E-2</v>
      </c>
      <c r="R4848" s="3">
        <v>1.6500000000000001E-2</v>
      </c>
      <c r="T4848" s="3">
        <v>3.0000000000000001E-3</v>
      </c>
      <c r="U4848" s="3">
        <v>3.0000000000000001E-3</v>
      </c>
      <c r="V4848" s="3">
        <v>0.42970000000000003</v>
      </c>
      <c r="W4848" s="3">
        <v>0.38900000000000001</v>
      </c>
    </row>
    <row r="4849" spans="1:23">
      <c r="A4849" t="s">
        <v>195</v>
      </c>
      <c r="B4849" t="s">
        <v>219</v>
      </c>
      <c r="C4849">
        <v>507</v>
      </c>
      <c r="D4849" t="s">
        <v>194</v>
      </c>
      <c r="E4849">
        <v>2675</v>
      </c>
      <c r="F4849" s="3">
        <v>2.0400000000000001E-2</v>
      </c>
      <c r="G4849" s="3">
        <v>2.7000000000000001E-3</v>
      </c>
      <c r="H4849" s="3">
        <v>0.3095</v>
      </c>
      <c r="I4849" s="3">
        <v>1.4E-3</v>
      </c>
      <c r="J4849" s="3">
        <v>0.19969999999999999</v>
      </c>
      <c r="M4849" s="3">
        <v>0.24179999999999999</v>
      </c>
      <c r="N4849" s="3">
        <v>2.3999999999999998E-3</v>
      </c>
      <c r="P4849" s="3">
        <v>1E-4</v>
      </c>
      <c r="Q4849" s="3">
        <v>2.3599999999999999E-2</v>
      </c>
      <c r="R4849" s="3">
        <v>7.9000000000000008E-3</v>
      </c>
      <c r="S4849" s="3">
        <v>1.6000000000000001E-3</v>
      </c>
      <c r="T4849" s="3">
        <v>1.1999999999999999E-3</v>
      </c>
      <c r="U4849" s="3">
        <v>4.8999999999999998E-3</v>
      </c>
      <c r="V4849" s="3">
        <v>0.36230000000000001</v>
      </c>
      <c r="W4849" s="3">
        <v>0.34610000000000002</v>
      </c>
    </row>
    <row r="4850" spans="1:23">
      <c r="A4850" t="s">
        <v>195</v>
      </c>
      <c r="B4850" t="s">
        <v>220</v>
      </c>
      <c r="C4850">
        <v>181</v>
      </c>
      <c r="D4850" t="s">
        <v>194</v>
      </c>
      <c r="E4850">
        <v>2675</v>
      </c>
      <c r="F4850" s="3">
        <v>5.6399999999999999E-2</v>
      </c>
      <c r="G4850" s="3">
        <v>4.0000000000000002E-4</v>
      </c>
      <c r="H4850" s="3">
        <v>0.36099999999999999</v>
      </c>
      <c r="I4850" s="3">
        <v>1.34E-2</v>
      </c>
      <c r="J4850" s="3">
        <v>3.5400000000000001E-2</v>
      </c>
      <c r="M4850" s="3">
        <v>0.25800000000000001</v>
      </c>
      <c r="P4850" s="3">
        <v>2E-3</v>
      </c>
      <c r="Q4850" s="3">
        <v>5.6599999999999998E-2</v>
      </c>
      <c r="R4850" s="3">
        <v>1.24E-2</v>
      </c>
      <c r="S4850" s="3">
        <v>2.5499999999999998E-2</v>
      </c>
      <c r="V4850" s="3">
        <v>0.46079999999999999</v>
      </c>
      <c r="W4850" s="3">
        <v>0.437</v>
      </c>
    </row>
    <row r="4851" spans="1:23">
      <c r="A4851" t="s">
        <v>199</v>
      </c>
      <c r="B4851" t="s">
        <v>217</v>
      </c>
      <c r="C4851">
        <v>814</v>
      </c>
      <c r="D4851" t="s">
        <v>194</v>
      </c>
      <c r="E4851">
        <v>2675</v>
      </c>
      <c r="F4851" s="3">
        <v>0.1386</v>
      </c>
      <c r="G4851" s="3">
        <v>4.3E-3</v>
      </c>
      <c r="H4851" s="3">
        <v>0.55010000000000003</v>
      </c>
      <c r="I4851" s="3">
        <v>6.9999999999999999E-4</v>
      </c>
      <c r="J4851" s="3">
        <v>7.7700000000000005E-2</v>
      </c>
      <c r="L4851" s="3">
        <v>3.2000000000000002E-3</v>
      </c>
      <c r="M4851" s="3">
        <v>0.156</v>
      </c>
      <c r="N4851" s="3">
        <v>2.0000000000000001E-4</v>
      </c>
      <c r="O4851" s="3">
        <v>8.0000000000000004E-4</v>
      </c>
      <c r="P4851" s="3">
        <v>2.5399999999999999E-2</v>
      </c>
      <c r="Q4851" s="3">
        <v>0.12470000000000001</v>
      </c>
      <c r="R4851" s="3">
        <v>5.2600000000000001E-2</v>
      </c>
      <c r="S4851" s="3">
        <v>2E-3</v>
      </c>
      <c r="T4851" s="3">
        <v>2.5000000000000001E-3</v>
      </c>
      <c r="U4851" s="3">
        <v>6.7999999999999996E-3</v>
      </c>
      <c r="V4851" s="3">
        <v>0.40229999999999999</v>
      </c>
      <c r="W4851" s="3">
        <v>0.37259999999999999</v>
      </c>
    </row>
    <row r="4852" spans="1:23">
      <c r="A4852" t="s">
        <v>199</v>
      </c>
      <c r="B4852" t="s">
        <v>219</v>
      </c>
      <c r="C4852">
        <v>450</v>
      </c>
      <c r="D4852" t="s">
        <v>194</v>
      </c>
      <c r="E4852">
        <v>2675</v>
      </c>
      <c r="F4852" s="3">
        <v>2.8500000000000001E-2</v>
      </c>
      <c r="G4852" s="3">
        <v>3.8E-3</v>
      </c>
      <c r="H4852" s="3">
        <v>0.495</v>
      </c>
      <c r="J4852" s="3">
        <v>0.2094</v>
      </c>
      <c r="K4852" s="3">
        <v>1.9800000000000002E-2</v>
      </c>
      <c r="L4852" s="3">
        <v>5.9999999999999995E-4</v>
      </c>
      <c r="M4852" s="3">
        <v>0.17080000000000001</v>
      </c>
      <c r="O4852" s="3">
        <v>5.9999999999999995E-4</v>
      </c>
      <c r="P4852" s="3">
        <v>1.89E-2</v>
      </c>
      <c r="Q4852" s="3">
        <v>6.9599999999999995E-2</v>
      </c>
      <c r="R4852" s="3">
        <v>1.6400000000000001E-2</v>
      </c>
      <c r="S4852" s="3">
        <v>1.5E-3</v>
      </c>
      <c r="U4852" s="3">
        <v>1.1999999999999999E-3</v>
      </c>
      <c r="V4852" s="3">
        <v>0.31409999999999999</v>
      </c>
      <c r="W4852" s="3">
        <v>0.29459999999999997</v>
      </c>
    </row>
    <row r="4853" spans="1:23">
      <c r="A4853" t="s">
        <v>199</v>
      </c>
      <c r="B4853" t="s">
        <v>220</v>
      </c>
      <c r="C4853">
        <v>223</v>
      </c>
      <c r="D4853" t="s">
        <v>194</v>
      </c>
      <c r="E4853">
        <v>2675</v>
      </c>
      <c r="F4853" s="3">
        <v>0.1182</v>
      </c>
      <c r="G4853" s="3">
        <v>3.0000000000000001E-3</v>
      </c>
      <c r="H4853" s="3">
        <v>0.6482</v>
      </c>
      <c r="J4853" s="3">
        <v>4.2999999999999997E-2</v>
      </c>
      <c r="L4853" s="3">
        <v>1.3100000000000001E-2</v>
      </c>
      <c r="M4853" s="3">
        <v>0.1118</v>
      </c>
      <c r="N4853" s="3">
        <v>1E-3</v>
      </c>
      <c r="O4853" s="3">
        <v>4.0000000000000001E-3</v>
      </c>
      <c r="P4853" s="3">
        <v>1.61E-2</v>
      </c>
      <c r="Q4853" s="3">
        <v>7.7399999999999997E-2</v>
      </c>
      <c r="S4853" s="3">
        <v>6.6E-3</v>
      </c>
      <c r="T4853" s="3">
        <v>1E-4</v>
      </c>
      <c r="U4853" s="3">
        <v>2.3999999999999998E-3</v>
      </c>
      <c r="V4853" s="3">
        <v>0.35320000000000001</v>
      </c>
      <c r="W4853" s="3">
        <v>0.38819999999999999</v>
      </c>
    </row>
    <row r="4854" spans="1:23">
      <c r="A4854" t="s">
        <v>200</v>
      </c>
      <c r="B4854" t="s">
        <v>200</v>
      </c>
      <c r="C4854">
        <v>2675</v>
      </c>
      <c r="D4854" t="s">
        <v>200</v>
      </c>
      <c r="E4854">
        <v>2675</v>
      </c>
      <c r="F4854" s="3">
        <v>8.48E-2</v>
      </c>
      <c r="G4854" s="3">
        <v>2.8999999999999998E-3</v>
      </c>
      <c r="H4854" s="3">
        <v>0.46700000000000003</v>
      </c>
      <c r="I4854" s="3">
        <v>1.9E-3</v>
      </c>
      <c r="J4854" s="3">
        <v>0.10340000000000001</v>
      </c>
      <c r="K4854" s="3">
        <v>2.7000000000000001E-3</v>
      </c>
      <c r="L4854" s="3">
        <v>2.3999999999999998E-3</v>
      </c>
      <c r="M4854" s="3">
        <v>0.1996</v>
      </c>
      <c r="N4854" s="3">
        <v>5.9999999999999995E-4</v>
      </c>
      <c r="O4854" s="3">
        <v>6.9999999999999999E-4</v>
      </c>
      <c r="P4854" s="3">
        <v>1.34E-2</v>
      </c>
      <c r="Q4854" s="3">
        <v>7.5399999999999995E-2</v>
      </c>
      <c r="R4854" s="3">
        <v>2.52E-2</v>
      </c>
      <c r="S4854" s="3">
        <v>3.8E-3</v>
      </c>
      <c r="T4854" s="3">
        <v>1.6000000000000001E-3</v>
      </c>
      <c r="U4854" s="3">
        <v>4.1000000000000003E-3</v>
      </c>
      <c r="V4854" s="3">
        <v>0.38900000000000001</v>
      </c>
      <c r="W4854" s="3">
        <v>0.36709999999999998</v>
      </c>
    </row>
    <row r="4856" spans="1:23" ht="45">
      <c r="A4856" s="22" t="s">
        <v>1160</v>
      </c>
    </row>
    <row r="4857" spans="1:23">
      <c r="A4857" t="s">
        <v>185</v>
      </c>
      <c r="B4857" t="s">
        <v>186</v>
      </c>
      <c r="C4857" t="s">
        <v>192</v>
      </c>
      <c r="D4857" t="s">
        <v>184</v>
      </c>
      <c r="E4857" t="s">
        <v>193</v>
      </c>
      <c r="F4857" t="s">
        <v>1051</v>
      </c>
      <c r="G4857" t="s">
        <v>1115</v>
      </c>
      <c r="H4857" t="s">
        <v>1053</v>
      </c>
      <c r="I4857" t="s">
        <v>257</v>
      </c>
      <c r="J4857" t="s">
        <v>1055</v>
      </c>
      <c r="K4857" t="s">
        <v>329</v>
      </c>
      <c r="L4857" t="s">
        <v>274</v>
      </c>
      <c r="M4857" t="s">
        <v>247</v>
      </c>
      <c r="N4857" t="s">
        <v>1057</v>
      </c>
      <c r="O4857" t="s">
        <v>1058</v>
      </c>
      <c r="P4857" t="s">
        <v>1059</v>
      </c>
      <c r="Q4857" t="s">
        <v>1060</v>
      </c>
      <c r="R4857" t="s">
        <v>1161</v>
      </c>
      <c r="S4857" t="s">
        <v>1061</v>
      </c>
      <c r="T4857" t="s">
        <v>1062</v>
      </c>
      <c r="U4857" t="s">
        <v>1064</v>
      </c>
      <c r="V4857" t="s">
        <v>1065</v>
      </c>
    </row>
    <row r="4858" spans="1:23">
      <c r="A4858" t="s">
        <v>195</v>
      </c>
      <c r="B4858" t="s">
        <v>222</v>
      </c>
      <c r="C4858">
        <v>248</v>
      </c>
      <c r="D4858" t="s">
        <v>194</v>
      </c>
      <c r="E4858">
        <v>2671</v>
      </c>
      <c r="H4858" s="3">
        <v>5.1999999999999998E-3</v>
      </c>
      <c r="I4858" s="3">
        <v>0.20180000000000001</v>
      </c>
      <c r="K4858" s="3">
        <v>0.311</v>
      </c>
      <c r="N4858" s="3">
        <v>1.0999999999999999E-2</v>
      </c>
      <c r="O4858" s="3">
        <v>5.0000000000000001E-4</v>
      </c>
      <c r="P4858" s="3">
        <v>2.5000000000000001E-3</v>
      </c>
      <c r="Q4858" s="3">
        <v>7.1999999999999998E-3</v>
      </c>
      <c r="R4858" s="3">
        <v>5.9299999999999999E-2</v>
      </c>
      <c r="U4858" s="3">
        <v>0.4047</v>
      </c>
      <c r="V4858" s="3">
        <v>0.41499999999999998</v>
      </c>
    </row>
    <row r="4859" spans="1:23">
      <c r="A4859" t="s">
        <v>195</v>
      </c>
      <c r="B4859" t="s">
        <v>224</v>
      </c>
      <c r="C4859">
        <v>939</v>
      </c>
      <c r="D4859" t="s">
        <v>194</v>
      </c>
      <c r="E4859">
        <v>2671</v>
      </c>
      <c r="F4859" s="3">
        <v>2.0000000000000001E-4</v>
      </c>
      <c r="H4859" s="3">
        <v>1.8E-3</v>
      </c>
      <c r="I4859" s="3">
        <v>0.12429999999999999</v>
      </c>
      <c r="J4859" s="3">
        <v>8.0000000000000004E-4</v>
      </c>
      <c r="K4859" s="3">
        <v>0.29270000000000002</v>
      </c>
      <c r="M4859" s="3">
        <v>5.0000000000000001E-4</v>
      </c>
      <c r="N4859" s="3">
        <v>5.5999999999999999E-3</v>
      </c>
      <c r="O4859" s="3">
        <v>1.35E-2</v>
      </c>
      <c r="P4859" s="3">
        <v>4.0000000000000001E-3</v>
      </c>
      <c r="Q4859" s="3">
        <v>3.4599999999999999E-2</v>
      </c>
      <c r="R4859" s="3">
        <v>2.9100000000000001E-2</v>
      </c>
      <c r="S4859" s="3">
        <v>1.6000000000000001E-3</v>
      </c>
      <c r="T4859" s="3">
        <v>1.1000000000000001E-3</v>
      </c>
      <c r="U4859" s="3">
        <v>0.5242</v>
      </c>
      <c r="V4859" s="3">
        <v>0.51229999999999998</v>
      </c>
    </row>
    <row r="4860" spans="1:23">
      <c r="A4860" t="s">
        <v>199</v>
      </c>
      <c r="B4860" t="s">
        <v>222</v>
      </c>
      <c r="C4860">
        <v>390</v>
      </c>
      <c r="D4860" t="s">
        <v>194</v>
      </c>
      <c r="E4860">
        <v>2671</v>
      </c>
      <c r="F4860" s="3">
        <v>1.5E-3</v>
      </c>
      <c r="G4860" s="3">
        <v>7.4000000000000003E-3</v>
      </c>
      <c r="H4860" s="3">
        <v>2.0000000000000001E-4</v>
      </c>
      <c r="I4860" s="3">
        <v>6.6000000000000003E-2</v>
      </c>
      <c r="K4860" s="3">
        <v>0.30740000000000001</v>
      </c>
      <c r="L4860" s="3">
        <v>3.3999999999999998E-3</v>
      </c>
      <c r="N4860" s="3">
        <v>1.6299999999999999E-2</v>
      </c>
      <c r="O4860" s="3">
        <v>3.1899999999999998E-2</v>
      </c>
      <c r="P4860" s="3">
        <v>1.2699999999999999E-2</v>
      </c>
      <c r="Q4860" s="3">
        <v>3.85E-2</v>
      </c>
      <c r="R4860" s="3">
        <v>6.4600000000000005E-2</v>
      </c>
      <c r="S4860" s="3">
        <v>3.2000000000000002E-3</v>
      </c>
      <c r="T4860" s="3">
        <v>2.9899999999999999E-2</v>
      </c>
      <c r="U4860" s="3">
        <v>0.48599999999999999</v>
      </c>
      <c r="V4860" s="3">
        <v>0.56559999999999999</v>
      </c>
    </row>
    <row r="4861" spans="1:23">
      <c r="A4861" t="s">
        <v>199</v>
      </c>
      <c r="B4861" t="s">
        <v>224</v>
      </c>
      <c r="C4861">
        <v>1094</v>
      </c>
      <c r="D4861" t="s">
        <v>194</v>
      </c>
      <c r="E4861">
        <v>2671</v>
      </c>
      <c r="F4861" s="3">
        <v>2.9999999999999997E-4</v>
      </c>
      <c r="H4861" s="3">
        <v>1.8E-3</v>
      </c>
      <c r="I4861" s="3">
        <v>8.4900000000000003E-2</v>
      </c>
      <c r="J4861" s="3">
        <v>2.3999999999999998E-3</v>
      </c>
      <c r="K4861" s="3">
        <v>0.27210000000000001</v>
      </c>
      <c r="L4861" s="3">
        <v>1.9E-3</v>
      </c>
      <c r="M4861" s="3">
        <v>4.0000000000000002E-4</v>
      </c>
      <c r="N4861" s="3">
        <v>1.5599999999999999E-2</v>
      </c>
      <c r="O4861" s="3">
        <v>1.83E-2</v>
      </c>
      <c r="P4861" s="3">
        <v>8.2000000000000007E-3</v>
      </c>
      <c r="Q4861" s="3">
        <v>4.36E-2</v>
      </c>
      <c r="R4861" s="3">
        <v>5.0700000000000002E-2</v>
      </c>
      <c r="S4861" s="3">
        <v>4.4999999999999997E-3</v>
      </c>
      <c r="T4861" s="3">
        <v>1.37E-2</v>
      </c>
      <c r="U4861" s="3">
        <v>0.49030000000000001</v>
      </c>
      <c r="V4861" s="3">
        <v>0.5877</v>
      </c>
    </row>
    <row r="4862" spans="1:23">
      <c r="A4862" t="s">
        <v>200</v>
      </c>
      <c r="B4862" t="s">
        <v>200</v>
      </c>
      <c r="C4862">
        <v>2671</v>
      </c>
      <c r="D4862" t="s">
        <v>200</v>
      </c>
      <c r="E4862">
        <v>2671</v>
      </c>
      <c r="F4862" s="3">
        <v>4.0000000000000002E-4</v>
      </c>
      <c r="G4862" s="3">
        <v>1.2999999999999999E-3</v>
      </c>
      <c r="H4862" s="3">
        <v>1.9E-3</v>
      </c>
      <c r="I4862" s="3">
        <v>0.1074</v>
      </c>
      <c r="J4862" s="3">
        <v>1.1999999999999999E-3</v>
      </c>
      <c r="K4862" s="3">
        <v>0.28920000000000001</v>
      </c>
      <c r="L4862" s="3">
        <v>1.2999999999999999E-3</v>
      </c>
      <c r="M4862" s="3">
        <v>2.9999999999999997E-4</v>
      </c>
      <c r="N4862" s="3">
        <v>1.18E-2</v>
      </c>
      <c r="O4862" s="3">
        <v>1.7100000000000001E-2</v>
      </c>
      <c r="P4862" s="3">
        <v>6.8999999999999999E-3</v>
      </c>
      <c r="Q4862" s="3">
        <v>3.5799999999999998E-2</v>
      </c>
      <c r="R4862" s="3">
        <v>4.6699999999999998E-2</v>
      </c>
      <c r="S4862" s="3">
        <v>2.8E-3</v>
      </c>
      <c r="T4862" s="3">
        <v>1.0800000000000001E-2</v>
      </c>
      <c r="U4862" s="3">
        <v>0.49180000000000001</v>
      </c>
      <c r="V4862" s="3">
        <v>0.54010000000000002</v>
      </c>
    </row>
    <row r="4864" spans="1:23" ht="45">
      <c r="A4864" s="22" t="s">
        <v>1162</v>
      </c>
    </row>
    <row r="4865" spans="1:22">
      <c r="A4865" t="s">
        <v>185</v>
      </c>
      <c r="B4865" t="s">
        <v>186</v>
      </c>
      <c r="C4865" t="s">
        <v>192</v>
      </c>
      <c r="D4865" t="s">
        <v>184</v>
      </c>
      <c r="E4865" t="s">
        <v>193</v>
      </c>
      <c r="F4865" t="s">
        <v>1051</v>
      </c>
      <c r="G4865" t="s">
        <v>1115</v>
      </c>
      <c r="H4865" t="s">
        <v>1053</v>
      </c>
      <c r="I4865" t="s">
        <v>257</v>
      </c>
      <c r="J4865" t="s">
        <v>1055</v>
      </c>
      <c r="K4865" t="s">
        <v>329</v>
      </c>
      <c r="L4865" t="s">
        <v>274</v>
      </c>
      <c r="M4865" t="s">
        <v>247</v>
      </c>
      <c r="N4865" t="s">
        <v>1057</v>
      </c>
      <c r="O4865" t="s">
        <v>1058</v>
      </c>
      <c r="P4865" t="s">
        <v>1059</v>
      </c>
      <c r="Q4865" t="s">
        <v>1060</v>
      </c>
      <c r="R4865" t="s">
        <v>1161</v>
      </c>
      <c r="S4865" t="s">
        <v>1061</v>
      </c>
      <c r="T4865" t="s">
        <v>1062</v>
      </c>
      <c r="U4865" t="s">
        <v>1064</v>
      </c>
      <c r="V4865" t="s">
        <v>1065</v>
      </c>
    </row>
    <row r="4866" spans="1:22">
      <c r="A4866" t="s">
        <v>195</v>
      </c>
      <c r="B4866" t="s">
        <v>301</v>
      </c>
      <c r="C4866">
        <v>627</v>
      </c>
      <c r="D4866" t="s">
        <v>194</v>
      </c>
      <c r="E4866">
        <v>2671</v>
      </c>
      <c r="F4866" s="3">
        <v>2.9999999999999997E-4</v>
      </c>
      <c r="H4866" s="3">
        <v>3.7000000000000002E-3</v>
      </c>
      <c r="I4866" s="3">
        <v>6.6500000000000004E-2</v>
      </c>
      <c r="J4866" s="3">
        <v>1.2999999999999999E-3</v>
      </c>
      <c r="K4866" s="3">
        <v>0.2999</v>
      </c>
      <c r="N4866" s="3">
        <v>1.06E-2</v>
      </c>
      <c r="O4866" s="3">
        <v>1.0699999999999999E-2</v>
      </c>
      <c r="P4866" s="3">
        <v>6.4999999999999997E-3</v>
      </c>
      <c r="Q4866" s="3">
        <v>3.6299999999999999E-2</v>
      </c>
      <c r="R4866" s="3">
        <v>3.78E-2</v>
      </c>
      <c r="S4866" s="3">
        <v>1E-4</v>
      </c>
      <c r="T4866" s="3">
        <v>5.9999999999999995E-4</v>
      </c>
      <c r="U4866" s="3">
        <v>0.56620000000000004</v>
      </c>
      <c r="V4866" s="3">
        <v>0.56130000000000002</v>
      </c>
    </row>
    <row r="4867" spans="1:22">
      <c r="A4867" t="s">
        <v>195</v>
      </c>
      <c r="B4867" t="s">
        <v>302</v>
      </c>
      <c r="C4867">
        <v>560</v>
      </c>
      <c r="D4867" t="s">
        <v>194</v>
      </c>
      <c r="E4867">
        <v>2671</v>
      </c>
      <c r="H4867" s="3">
        <v>1.6000000000000001E-3</v>
      </c>
      <c r="I4867" s="3">
        <v>0.21640000000000001</v>
      </c>
      <c r="K4867" s="3">
        <v>0.2944</v>
      </c>
      <c r="M4867" s="3">
        <v>8.0000000000000004E-4</v>
      </c>
      <c r="N4867" s="3">
        <v>3.3E-3</v>
      </c>
      <c r="O4867" s="3">
        <v>0.01</v>
      </c>
      <c r="P4867" s="3">
        <v>8.9999999999999998E-4</v>
      </c>
      <c r="Q4867" s="3">
        <v>0.02</v>
      </c>
      <c r="R4867" s="3">
        <v>3.49E-2</v>
      </c>
      <c r="S4867" s="3">
        <v>2.3E-3</v>
      </c>
      <c r="T4867" s="3">
        <v>1.1000000000000001E-3</v>
      </c>
      <c r="U4867" s="3">
        <v>0.42730000000000001</v>
      </c>
      <c r="V4867" s="3">
        <v>0.41920000000000002</v>
      </c>
    </row>
    <row r="4868" spans="1:22">
      <c r="A4868" t="s">
        <v>199</v>
      </c>
      <c r="B4868" t="s">
        <v>301</v>
      </c>
      <c r="C4868">
        <v>771</v>
      </c>
      <c r="D4868" t="s">
        <v>194</v>
      </c>
      <c r="E4868">
        <v>2671</v>
      </c>
      <c r="F4868" s="3">
        <v>2.9999999999999997E-4</v>
      </c>
      <c r="G4868" s="3">
        <v>5.9999999999999995E-4</v>
      </c>
      <c r="H4868" s="3">
        <v>2.5999999999999999E-3</v>
      </c>
      <c r="I4868" s="3">
        <v>1.04E-2</v>
      </c>
      <c r="J4868" s="3">
        <v>0</v>
      </c>
      <c r="K4868" s="3">
        <v>0.26650000000000001</v>
      </c>
      <c r="L4868" s="3">
        <v>4.5999999999999999E-3</v>
      </c>
      <c r="N4868" s="3">
        <v>1.4999999999999999E-2</v>
      </c>
      <c r="O4868" s="3">
        <v>2.3699999999999999E-2</v>
      </c>
      <c r="P4868" s="3">
        <v>8.3000000000000001E-3</v>
      </c>
      <c r="Q4868" s="3">
        <v>5.7599999999999998E-2</v>
      </c>
      <c r="R4868" s="3">
        <v>6.3799999999999996E-2</v>
      </c>
      <c r="S4868" s="3">
        <v>8.0999999999999996E-3</v>
      </c>
      <c r="T4868" s="3">
        <v>1.34E-2</v>
      </c>
      <c r="U4868" s="3">
        <v>0.56640000000000001</v>
      </c>
      <c r="V4868" s="3">
        <v>0.65380000000000005</v>
      </c>
    </row>
    <row r="4869" spans="1:22">
      <c r="A4869" t="s">
        <v>199</v>
      </c>
      <c r="B4869" t="s">
        <v>302</v>
      </c>
      <c r="C4869">
        <v>713</v>
      </c>
      <c r="D4869" t="s">
        <v>194</v>
      </c>
      <c r="E4869">
        <v>2671</v>
      </c>
      <c r="F4869" s="3">
        <v>1E-3</v>
      </c>
      <c r="G4869" s="3">
        <v>4.0000000000000001E-3</v>
      </c>
      <c r="I4869" s="3">
        <v>0.15010000000000001</v>
      </c>
      <c r="J4869" s="3">
        <v>3.3E-3</v>
      </c>
      <c r="K4869" s="3">
        <v>0.29980000000000001</v>
      </c>
      <c r="M4869" s="3">
        <v>5.0000000000000001E-4</v>
      </c>
      <c r="N4869" s="3">
        <v>1.66E-2</v>
      </c>
      <c r="O4869" s="3">
        <v>2.12E-2</v>
      </c>
      <c r="P4869" s="3">
        <v>1.09E-2</v>
      </c>
      <c r="Q4869" s="3">
        <v>2.5899999999999999E-2</v>
      </c>
      <c r="R4869" s="3">
        <v>4.58E-2</v>
      </c>
      <c r="T4869" s="3">
        <v>2.41E-2</v>
      </c>
      <c r="U4869" s="3">
        <v>0.40910000000000002</v>
      </c>
      <c r="V4869" s="3">
        <v>0.50570000000000004</v>
      </c>
    </row>
    <row r="4870" spans="1:22">
      <c r="A4870" t="s">
        <v>200</v>
      </c>
      <c r="B4870" t="s">
        <v>200</v>
      </c>
      <c r="C4870">
        <v>2671</v>
      </c>
      <c r="D4870" t="s">
        <v>200</v>
      </c>
      <c r="E4870">
        <v>2671</v>
      </c>
      <c r="F4870" s="3">
        <v>4.0000000000000002E-4</v>
      </c>
      <c r="G4870" s="3">
        <v>1.2999999999999999E-3</v>
      </c>
      <c r="H4870" s="3">
        <v>1.9E-3</v>
      </c>
      <c r="I4870" s="3">
        <v>0.1074</v>
      </c>
      <c r="J4870" s="3">
        <v>1.1999999999999999E-3</v>
      </c>
      <c r="K4870" s="3">
        <v>0.28920000000000001</v>
      </c>
      <c r="L4870" s="3">
        <v>1.2999999999999999E-3</v>
      </c>
      <c r="M4870" s="3">
        <v>2.9999999999999997E-4</v>
      </c>
      <c r="N4870" s="3">
        <v>1.18E-2</v>
      </c>
      <c r="O4870" s="3">
        <v>1.7100000000000001E-2</v>
      </c>
      <c r="P4870" s="3">
        <v>6.8999999999999999E-3</v>
      </c>
      <c r="Q4870" s="3">
        <v>3.5799999999999998E-2</v>
      </c>
      <c r="R4870" s="3">
        <v>4.6699999999999998E-2</v>
      </c>
      <c r="S4870" s="3">
        <v>2.8E-3</v>
      </c>
      <c r="T4870" s="3">
        <v>1.0800000000000001E-2</v>
      </c>
      <c r="U4870" s="3">
        <v>0.49180000000000001</v>
      </c>
      <c r="V4870" s="3">
        <v>0.54010000000000002</v>
      </c>
    </row>
    <row r="4872" spans="1:22" ht="45">
      <c r="A4872" s="22" t="s">
        <v>1163</v>
      </c>
    </row>
    <row r="4873" spans="1:22">
      <c r="A4873" t="s">
        <v>185</v>
      </c>
      <c r="B4873" t="s">
        <v>186</v>
      </c>
      <c r="C4873" t="s">
        <v>192</v>
      </c>
      <c r="D4873" t="s">
        <v>184</v>
      </c>
      <c r="E4873" t="s">
        <v>193</v>
      </c>
      <c r="F4873" t="s">
        <v>1051</v>
      </c>
      <c r="G4873" t="s">
        <v>1115</v>
      </c>
      <c r="H4873" t="s">
        <v>1053</v>
      </c>
      <c r="I4873" t="s">
        <v>257</v>
      </c>
      <c r="J4873" t="s">
        <v>1055</v>
      </c>
      <c r="K4873" t="s">
        <v>329</v>
      </c>
      <c r="L4873" t="s">
        <v>274</v>
      </c>
      <c r="M4873" t="s">
        <v>247</v>
      </c>
      <c r="N4873" t="s">
        <v>1057</v>
      </c>
      <c r="O4873" t="s">
        <v>1058</v>
      </c>
      <c r="P4873" t="s">
        <v>1059</v>
      </c>
      <c r="Q4873" t="s">
        <v>1060</v>
      </c>
      <c r="R4873" t="s">
        <v>1161</v>
      </c>
      <c r="S4873" t="s">
        <v>1061</v>
      </c>
      <c r="T4873" t="s">
        <v>1062</v>
      </c>
      <c r="U4873" t="s">
        <v>1064</v>
      </c>
      <c r="V4873" t="s">
        <v>1065</v>
      </c>
    </row>
    <row r="4874" spans="1:22">
      <c r="A4874" t="s">
        <v>195</v>
      </c>
      <c r="B4874" t="s">
        <v>229</v>
      </c>
      <c r="C4874">
        <v>129</v>
      </c>
      <c r="D4874" t="s">
        <v>194</v>
      </c>
      <c r="E4874">
        <v>2671</v>
      </c>
      <c r="F4874" s="3">
        <v>8.0000000000000004E-4</v>
      </c>
      <c r="I4874" s="3">
        <v>0.17780000000000001</v>
      </c>
      <c r="K4874" s="3">
        <v>0.36230000000000001</v>
      </c>
      <c r="N4874" s="3">
        <v>1.6500000000000001E-2</v>
      </c>
      <c r="O4874" s="3">
        <v>1.5E-3</v>
      </c>
      <c r="Q4874" s="3">
        <v>3.9300000000000002E-2</v>
      </c>
      <c r="R4874" s="3">
        <v>2.1100000000000001E-2</v>
      </c>
      <c r="U4874" s="3">
        <v>0.39679999999999999</v>
      </c>
      <c r="V4874" s="3">
        <v>0.37159999999999999</v>
      </c>
    </row>
    <row r="4875" spans="1:22">
      <c r="A4875" t="s">
        <v>195</v>
      </c>
      <c r="B4875" t="s">
        <v>230</v>
      </c>
      <c r="C4875">
        <v>486</v>
      </c>
      <c r="D4875" t="s">
        <v>194</v>
      </c>
      <c r="E4875">
        <v>2671</v>
      </c>
      <c r="H4875" s="3">
        <v>4.5999999999999999E-3</v>
      </c>
      <c r="I4875" s="3">
        <v>0.10829999999999999</v>
      </c>
      <c r="J4875" s="3">
        <v>1.6000000000000001E-3</v>
      </c>
      <c r="K4875" s="3">
        <v>0.26679999999999998</v>
      </c>
      <c r="M4875" s="3">
        <v>1E-3</v>
      </c>
      <c r="N4875" s="3">
        <v>8.9999999999999993E-3</v>
      </c>
      <c r="O4875" s="3">
        <v>1.3299999999999999E-2</v>
      </c>
      <c r="P4875" s="3">
        <v>8.0000000000000002E-3</v>
      </c>
      <c r="Q4875" s="3">
        <v>3.56E-2</v>
      </c>
      <c r="R4875" s="3">
        <v>3.8399999999999997E-2</v>
      </c>
      <c r="S4875" s="3">
        <v>2.0000000000000001E-4</v>
      </c>
      <c r="T4875" s="3">
        <v>6.9999999999999999E-4</v>
      </c>
      <c r="U4875" s="3">
        <v>0.55349999999999999</v>
      </c>
      <c r="V4875" s="3">
        <v>0.53949999999999998</v>
      </c>
    </row>
    <row r="4876" spans="1:22">
      <c r="A4876" t="s">
        <v>195</v>
      </c>
      <c r="B4876" t="s">
        <v>231</v>
      </c>
      <c r="C4876">
        <v>305</v>
      </c>
      <c r="D4876" t="s">
        <v>194</v>
      </c>
      <c r="E4876">
        <v>2671</v>
      </c>
      <c r="I4876" s="3">
        <v>0.13370000000000001</v>
      </c>
      <c r="K4876" s="3">
        <v>0.2616</v>
      </c>
      <c r="N4876" s="3">
        <v>1.1999999999999999E-3</v>
      </c>
      <c r="P4876" s="3">
        <v>1.4E-3</v>
      </c>
      <c r="Q4876" s="3">
        <v>2.1499999999999998E-2</v>
      </c>
      <c r="R4876" s="3">
        <v>6.1899999999999997E-2</v>
      </c>
      <c r="U4876" s="3">
        <v>0.53269999999999995</v>
      </c>
      <c r="V4876" s="3">
        <v>0.5383</v>
      </c>
    </row>
    <row r="4877" spans="1:22">
      <c r="A4877" t="s">
        <v>195</v>
      </c>
      <c r="B4877" t="s">
        <v>232</v>
      </c>
      <c r="C4877">
        <v>267</v>
      </c>
      <c r="D4877" t="s">
        <v>194</v>
      </c>
      <c r="E4877">
        <v>2671</v>
      </c>
      <c r="H4877" s="3">
        <v>3.7000000000000002E-3</v>
      </c>
      <c r="I4877" s="3">
        <v>0.1938</v>
      </c>
      <c r="K4877" s="3">
        <v>0.34839999999999999</v>
      </c>
      <c r="N4877" s="3">
        <v>2.7000000000000001E-3</v>
      </c>
      <c r="O4877" s="3">
        <v>2.29E-2</v>
      </c>
      <c r="P4877" s="3">
        <v>5.9999999999999995E-4</v>
      </c>
      <c r="Q4877" s="3">
        <v>1.3299999999999999E-2</v>
      </c>
      <c r="R4877" s="3">
        <v>1.4E-2</v>
      </c>
      <c r="S4877" s="3">
        <v>5.4999999999999997E-3</v>
      </c>
      <c r="T4877" s="3">
        <v>2.5999999999999999E-3</v>
      </c>
      <c r="U4877" s="3">
        <v>0.41370000000000001</v>
      </c>
      <c r="V4877" s="3">
        <v>0.42</v>
      </c>
    </row>
    <row r="4878" spans="1:22">
      <c r="A4878" t="s">
        <v>199</v>
      </c>
      <c r="B4878" t="s">
        <v>229</v>
      </c>
      <c r="C4878">
        <v>150</v>
      </c>
      <c r="D4878" t="s">
        <v>194</v>
      </c>
      <c r="E4878">
        <v>2671</v>
      </c>
      <c r="H4878" s="3">
        <v>2.3999999999999998E-3</v>
      </c>
      <c r="I4878" s="3">
        <v>0.1232</v>
      </c>
      <c r="J4878" s="3">
        <v>9.1000000000000004E-3</v>
      </c>
      <c r="K4878" s="3">
        <v>0.31369999999999998</v>
      </c>
      <c r="N4878" s="3">
        <v>9.5999999999999992E-3</v>
      </c>
      <c r="O4878" s="3">
        <v>1.6400000000000001E-2</v>
      </c>
      <c r="Q4878" s="3">
        <v>5.8099999999999999E-2</v>
      </c>
      <c r="R4878" s="3">
        <v>8.5599999999999996E-2</v>
      </c>
      <c r="S4878" s="3">
        <v>1.8E-3</v>
      </c>
      <c r="T4878" s="3">
        <v>3.3300000000000003E-2</v>
      </c>
      <c r="U4878" s="3">
        <v>0.43859999999999999</v>
      </c>
      <c r="V4878" s="3">
        <v>0.50180000000000002</v>
      </c>
    </row>
    <row r="4879" spans="1:22">
      <c r="A4879" t="s">
        <v>199</v>
      </c>
      <c r="B4879" t="s">
        <v>230</v>
      </c>
      <c r="C4879">
        <v>699</v>
      </c>
      <c r="D4879" t="s">
        <v>194</v>
      </c>
      <c r="E4879">
        <v>2671</v>
      </c>
      <c r="G4879" s="3">
        <v>4.7999999999999996E-3</v>
      </c>
      <c r="H4879" s="3">
        <v>1.6999999999999999E-3</v>
      </c>
      <c r="I4879" s="3">
        <v>2.86E-2</v>
      </c>
      <c r="J4879" s="3">
        <v>0</v>
      </c>
      <c r="K4879" s="3">
        <v>0.26900000000000002</v>
      </c>
      <c r="L4879" s="3">
        <v>5.0000000000000001E-3</v>
      </c>
      <c r="N4879" s="3">
        <v>1.7399999999999999E-2</v>
      </c>
      <c r="O4879" s="3">
        <v>1.6E-2</v>
      </c>
      <c r="P4879" s="3">
        <v>1.8100000000000002E-2</v>
      </c>
      <c r="Q4879" s="3">
        <v>4.41E-2</v>
      </c>
      <c r="R4879" s="3">
        <v>5.0700000000000002E-2</v>
      </c>
      <c r="S4879" s="3">
        <v>8.0000000000000002E-3</v>
      </c>
      <c r="T4879" s="3">
        <v>1.84E-2</v>
      </c>
      <c r="U4879" s="3">
        <v>0.5363</v>
      </c>
      <c r="V4879" s="3">
        <v>0.63090000000000002</v>
      </c>
    </row>
    <row r="4880" spans="1:22">
      <c r="A4880" t="s">
        <v>199</v>
      </c>
      <c r="B4880" t="s">
        <v>231</v>
      </c>
      <c r="C4880">
        <v>395</v>
      </c>
      <c r="D4880" t="s">
        <v>194</v>
      </c>
      <c r="E4880">
        <v>2671</v>
      </c>
      <c r="F4880" s="3">
        <v>3.5000000000000001E-3</v>
      </c>
      <c r="G4880" s="3">
        <v>1E-4</v>
      </c>
      <c r="H4880" s="3">
        <v>4.0000000000000002E-4</v>
      </c>
      <c r="I4880" s="3">
        <v>0.1053</v>
      </c>
      <c r="K4880" s="3">
        <v>0.2722</v>
      </c>
      <c r="M4880" s="3">
        <v>8.0000000000000004E-4</v>
      </c>
      <c r="N4880" s="3">
        <v>1.2500000000000001E-2</v>
      </c>
      <c r="O4880" s="3">
        <v>5.45E-2</v>
      </c>
      <c r="P4880" s="3">
        <v>5.7999999999999996E-3</v>
      </c>
      <c r="Q4880" s="3">
        <v>3.4099999999999998E-2</v>
      </c>
      <c r="R4880" s="3">
        <v>5.5800000000000002E-2</v>
      </c>
      <c r="T4880" s="3">
        <v>5.3E-3</v>
      </c>
      <c r="U4880" s="3">
        <v>0.4672</v>
      </c>
      <c r="V4880" s="3">
        <v>0.57079999999999997</v>
      </c>
    </row>
    <row r="4881" spans="1:22">
      <c r="A4881" t="s">
        <v>199</v>
      </c>
      <c r="B4881" t="s">
        <v>232</v>
      </c>
      <c r="C4881">
        <v>240</v>
      </c>
      <c r="D4881" t="s">
        <v>194</v>
      </c>
      <c r="E4881">
        <v>2671</v>
      </c>
      <c r="I4881" s="3">
        <v>0.14419999999999999</v>
      </c>
      <c r="K4881" s="3">
        <v>0.30059999999999998</v>
      </c>
      <c r="M4881" s="3">
        <v>6.9999999999999999E-4</v>
      </c>
      <c r="N4881" s="3">
        <v>2.1700000000000001E-2</v>
      </c>
      <c r="O4881" s="3">
        <v>1.15E-2</v>
      </c>
      <c r="Q4881" s="3">
        <v>2.81E-2</v>
      </c>
      <c r="R4881" s="3">
        <v>3.3500000000000002E-2</v>
      </c>
      <c r="T4881" s="3">
        <v>1.8599999999999998E-2</v>
      </c>
      <c r="U4881" s="3">
        <v>0.43469999999999998</v>
      </c>
      <c r="V4881" s="3">
        <v>0.53680000000000005</v>
      </c>
    </row>
    <row r="4882" spans="1:22">
      <c r="A4882" t="s">
        <v>200</v>
      </c>
      <c r="B4882" t="s">
        <v>200</v>
      </c>
      <c r="C4882">
        <v>2671</v>
      </c>
      <c r="D4882" t="s">
        <v>200</v>
      </c>
      <c r="E4882">
        <v>2671</v>
      </c>
      <c r="F4882" s="3">
        <v>4.0000000000000002E-4</v>
      </c>
      <c r="G4882" s="3">
        <v>1.2999999999999999E-3</v>
      </c>
      <c r="H4882" s="3">
        <v>1.9E-3</v>
      </c>
      <c r="I4882" s="3">
        <v>0.1074</v>
      </c>
      <c r="J4882" s="3">
        <v>1.1999999999999999E-3</v>
      </c>
      <c r="K4882" s="3">
        <v>0.28920000000000001</v>
      </c>
      <c r="L4882" s="3">
        <v>1.2999999999999999E-3</v>
      </c>
      <c r="M4882" s="3">
        <v>2.9999999999999997E-4</v>
      </c>
      <c r="N4882" s="3">
        <v>1.18E-2</v>
      </c>
      <c r="O4882" s="3">
        <v>1.7100000000000001E-2</v>
      </c>
      <c r="P4882" s="3">
        <v>6.8999999999999999E-3</v>
      </c>
      <c r="Q4882" s="3">
        <v>3.5799999999999998E-2</v>
      </c>
      <c r="R4882" s="3">
        <v>4.6699999999999998E-2</v>
      </c>
      <c r="S4882" s="3">
        <v>2.8E-3</v>
      </c>
      <c r="T4882" s="3">
        <v>1.0800000000000001E-2</v>
      </c>
      <c r="U4882" s="3">
        <v>0.49180000000000001</v>
      </c>
      <c r="V4882" s="3">
        <v>0.54010000000000002</v>
      </c>
    </row>
    <row r="4884" spans="1:22" ht="45">
      <c r="A4884" s="22" t="s">
        <v>1164</v>
      </c>
    </row>
    <row r="4885" spans="1:22">
      <c r="A4885" t="s">
        <v>185</v>
      </c>
      <c r="B4885" t="s">
        <v>186</v>
      </c>
      <c r="C4885" t="s">
        <v>192</v>
      </c>
      <c r="D4885" t="s">
        <v>184</v>
      </c>
      <c r="E4885" t="s">
        <v>193</v>
      </c>
      <c r="F4885" t="s">
        <v>1051</v>
      </c>
      <c r="G4885" t="s">
        <v>1115</v>
      </c>
      <c r="H4885" t="s">
        <v>1053</v>
      </c>
      <c r="I4885" t="s">
        <v>257</v>
      </c>
      <c r="J4885" t="s">
        <v>1055</v>
      </c>
      <c r="K4885" t="s">
        <v>329</v>
      </c>
      <c r="L4885" t="s">
        <v>274</v>
      </c>
      <c r="M4885" t="s">
        <v>247</v>
      </c>
      <c r="N4885" t="s">
        <v>1057</v>
      </c>
      <c r="O4885" t="s">
        <v>1058</v>
      </c>
      <c r="P4885" t="s">
        <v>1059</v>
      </c>
      <c r="Q4885" t="s">
        <v>1060</v>
      </c>
      <c r="R4885" t="s">
        <v>1161</v>
      </c>
      <c r="S4885" t="s">
        <v>1061</v>
      </c>
      <c r="T4885" t="s">
        <v>1062</v>
      </c>
      <c r="U4885" t="s">
        <v>1064</v>
      </c>
      <c r="V4885" t="s">
        <v>1065</v>
      </c>
    </row>
    <row r="4886" spans="1:22">
      <c r="A4886" t="s">
        <v>195</v>
      </c>
      <c r="B4886" t="s">
        <v>196</v>
      </c>
      <c r="C4886">
        <v>412</v>
      </c>
      <c r="D4886" t="s">
        <v>194</v>
      </c>
      <c r="E4886">
        <v>2671</v>
      </c>
      <c r="H4886" s="3">
        <v>2.0999999999999999E-3</v>
      </c>
      <c r="I4886" s="3">
        <v>0.1434</v>
      </c>
      <c r="K4886" s="3">
        <v>0.41909999999999997</v>
      </c>
      <c r="N4886" s="3">
        <v>8.0999999999999996E-3</v>
      </c>
      <c r="O4886" s="3">
        <v>2.12E-2</v>
      </c>
      <c r="P4886" s="3">
        <v>3.3999999999999998E-3</v>
      </c>
      <c r="Q4886" s="3">
        <v>3.0999999999999999E-3</v>
      </c>
      <c r="R4886" s="3">
        <v>2.24E-2</v>
      </c>
      <c r="S4886" s="3">
        <v>4.7000000000000002E-3</v>
      </c>
      <c r="T4886" s="3">
        <v>2.9999999999999997E-4</v>
      </c>
      <c r="U4886" s="3">
        <v>0.38590000000000002</v>
      </c>
      <c r="V4886" s="3">
        <v>0.36709999999999998</v>
      </c>
    </row>
    <row r="4887" spans="1:22">
      <c r="A4887" t="s">
        <v>195</v>
      </c>
      <c r="B4887" t="s">
        <v>198</v>
      </c>
      <c r="C4887">
        <v>754</v>
      </c>
      <c r="D4887" t="s">
        <v>194</v>
      </c>
      <c r="E4887">
        <v>2671</v>
      </c>
      <c r="F4887" s="3">
        <v>2.0000000000000001E-4</v>
      </c>
      <c r="H4887" s="3">
        <v>2.8E-3</v>
      </c>
      <c r="I4887" s="3">
        <v>0.14180000000000001</v>
      </c>
      <c r="J4887" s="3">
        <v>8.9999999999999998E-4</v>
      </c>
      <c r="K4887" s="3">
        <v>0.25419999999999998</v>
      </c>
      <c r="M4887" s="3">
        <v>5.0000000000000001E-4</v>
      </c>
      <c r="N4887" s="3">
        <v>6.0000000000000001E-3</v>
      </c>
      <c r="O4887" s="3">
        <v>6.4999999999999997E-3</v>
      </c>
      <c r="P4887" s="3">
        <v>3.8E-3</v>
      </c>
      <c r="Q4887" s="3">
        <v>3.7100000000000001E-2</v>
      </c>
      <c r="R4887" s="3">
        <v>4.1700000000000001E-2</v>
      </c>
      <c r="T4887" s="3">
        <v>1.1000000000000001E-3</v>
      </c>
      <c r="U4887" s="3">
        <v>0.53439999999999999</v>
      </c>
      <c r="V4887" s="3">
        <v>0.53220000000000001</v>
      </c>
    </row>
    <row r="4888" spans="1:22">
      <c r="A4888" t="s">
        <v>199</v>
      </c>
      <c r="B4888" t="s">
        <v>196</v>
      </c>
      <c r="C4888">
        <v>523</v>
      </c>
      <c r="D4888" t="s">
        <v>194</v>
      </c>
      <c r="E4888">
        <v>2671</v>
      </c>
      <c r="F4888" s="3">
        <v>1E-3</v>
      </c>
      <c r="G4888" s="3">
        <v>1.9E-3</v>
      </c>
      <c r="I4888" s="3">
        <v>6.7400000000000002E-2</v>
      </c>
      <c r="K4888" s="3">
        <v>0.36059999999999998</v>
      </c>
      <c r="L4888" s="3">
        <v>1.2999999999999999E-3</v>
      </c>
      <c r="N4888" s="3">
        <v>3.7199999999999997E-2</v>
      </c>
      <c r="O4888" s="3">
        <v>1.4500000000000001E-2</v>
      </c>
      <c r="P4888" s="3">
        <v>1.1000000000000001E-3</v>
      </c>
      <c r="Q4888" s="3">
        <v>3.5499999999999997E-2</v>
      </c>
      <c r="R4888" s="3">
        <v>9.8799999999999999E-2</v>
      </c>
      <c r="S4888" s="3">
        <v>4.5999999999999999E-3</v>
      </c>
      <c r="T4888" s="3">
        <v>1.6199999999999999E-2</v>
      </c>
      <c r="U4888" s="3">
        <v>0.38890000000000002</v>
      </c>
      <c r="V4888" s="3">
        <v>0.45529999999999998</v>
      </c>
    </row>
    <row r="4889" spans="1:22">
      <c r="A4889" t="s">
        <v>199</v>
      </c>
      <c r="B4889" t="s">
        <v>198</v>
      </c>
      <c r="C4889">
        <v>943</v>
      </c>
      <c r="D4889" t="s">
        <v>194</v>
      </c>
      <c r="E4889">
        <v>2671</v>
      </c>
      <c r="F4889" s="3">
        <v>5.9999999999999995E-4</v>
      </c>
      <c r="G4889" s="3">
        <v>2.3999999999999998E-3</v>
      </c>
      <c r="H4889" s="3">
        <v>1.6000000000000001E-3</v>
      </c>
      <c r="I4889" s="3">
        <v>8.1900000000000001E-2</v>
      </c>
      <c r="J4889" s="3">
        <v>2E-3</v>
      </c>
      <c r="K4889" s="3">
        <v>0.2656</v>
      </c>
      <c r="L4889" s="3">
        <v>2.5999999999999999E-3</v>
      </c>
      <c r="M4889" s="3">
        <v>2.9999999999999997E-4</v>
      </c>
      <c r="N4889" s="3">
        <v>1.0999999999999999E-2</v>
      </c>
      <c r="O4889" s="3">
        <v>2.4299999999999999E-2</v>
      </c>
      <c r="P4889" s="3">
        <v>1.15E-2</v>
      </c>
      <c r="Q4889" s="3">
        <v>4.36E-2</v>
      </c>
      <c r="R4889" s="3">
        <v>4.5100000000000001E-2</v>
      </c>
      <c r="S4889" s="3">
        <v>4.0000000000000001E-3</v>
      </c>
      <c r="T4889" s="3">
        <v>1.9099999999999999E-2</v>
      </c>
      <c r="U4889" s="3">
        <v>0.51119999999999999</v>
      </c>
      <c r="V4889" s="3">
        <v>0.6089</v>
      </c>
    </row>
    <row r="4890" spans="1:22">
      <c r="A4890" t="s">
        <v>200</v>
      </c>
      <c r="B4890" t="s">
        <v>200</v>
      </c>
      <c r="C4890">
        <v>2671</v>
      </c>
      <c r="D4890" t="s">
        <v>200</v>
      </c>
      <c r="E4890">
        <v>2671</v>
      </c>
      <c r="F4890" s="3">
        <v>4.0000000000000002E-4</v>
      </c>
      <c r="G4890" s="3">
        <v>1.2999999999999999E-3</v>
      </c>
      <c r="H4890" s="3">
        <v>1.9E-3</v>
      </c>
      <c r="I4890" s="3">
        <v>0.1074</v>
      </c>
      <c r="J4890" s="3">
        <v>1.1999999999999999E-3</v>
      </c>
      <c r="K4890" s="3">
        <v>0.28920000000000001</v>
      </c>
      <c r="L4890" s="3">
        <v>1.2999999999999999E-3</v>
      </c>
      <c r="M4890" s="3">
        <v>2.9999999999999997E-4</v>
      </c>
      <c r="N4890" s="3">
        <v>1.18E-2</v>
      </c>
      <c r="O4890" s="3">
        <v>1.7100000000000001E-2</v>
      </c>
      <c r="P4890" s="3">
        <v>6.8999999999999999E-3</v>
      </c>
      <c r="Q4890" s="3">
        <v>3.5799999999999998E-2</v>
      </c>
      <c r="R4890" s="3">
        <v>4.6699999999999998E-2</v>
      </c>
      <c r="S4890" s="3">
        <v>2.8E-3</v>
      </c>
      <c r="T4890" s="3">
        <v>1.0800000000000001E-2</v>
      </c>
      <c r="U4890" s="3">
        <v>0.49180000000000001</v>
      </c>
      <c r="V4890" s="3">
        <v>0.54010000000000002</v>
      </c>
    </row>
    <row r="4892" spans="1:22" ht="45">
      <c r="A4892" s="22" t="s">
        <v>1165</v>
      </c>
    </row>
    <row r="4893" spans="1:22">
      <c r="A4893" t="s">
        <v>185</v>
      </c>
      <c r="B4893" t="s">
        <v>186</v>
      </c>
      <c r="C4893" t="s">
        <v>192</v>
      </c>
      <c r="D4893" t="s">
        <v>184</v>
      </c>
      <c r="E4893" t="s">
        <v>193</v>
      </c>
      <c r="F4893" t="s">
        <v>1051</v>
      </c>
      <c r="G4893" t="s">
        <v>1115</v>
      </c>
      <c r="H4893" t="s">
        <v>1053</v>
      </c>
      <c r="I4893" t="s">
        <v>257</v>
      </c>
      <c r="J4893" t="s">
        <v>1055</v>
      </c>
      <c r="K4893" t="s">
        <v>329</v>
      </c>
      <c r="L4893" t="s">
        <v>274</v>
      </c>
      <c r="M4893" t="s">
        <v>247</v>
      </c>
      <c r="N4893" t="s">
        <v>1057</v>
      </c>
      <c r="O4893" t="s">
        <v>1058</v>
      </c>
      <c r="P4893" t="s">
        <v>1059</v>
      </c>
      <c r="Q4893" t="s">
        <v>1060</v>
      </c>
      <c r="R4893" t="s">
        <v>1161</v>
      </c>
      <c r="S4893" t="s">
        <v>1061</v>
      </c>
      <c r="T4893" t="s">
        <v>1062</v>
      </c>
      <c r="U4893" t="s">
        <v>1064</v>
      </c>
      <c r="V4893" t="s">
        <v>1065</v>
      </c>
    </row>
    <row r="4894" spans="1:22">
      <c r="A4894" t="s">
        <v>195</v>
      </c>
      <c r="B4894" t="s">
        <v>202</v>
      </c>
      <c r="C4894">
        <v>532</v>
      </c>
      <c r="D4894" t="s">
        <v>194</v>
      </c>
      <c r="E4894">
        <v>2671</v>
      </c>
      <c r="F4894" s="3">
        <v>2.0000000000000001E-4</v>
      </c>
      <c r="H4894" s="3">
        <v>3.2000000000000002E-3</v>
      </c>
      <c r="I4894" s="3">
        <v>0.17</v>
      </c>
      <c r="K4894" s="3">
        <v>0.3871</v>
      </c>
      <c r="M4894" s="3">
        <v>5.9999999999999995E-4</v>
      </c>
      <c r="N4894" s="3">
        <v>3.8999999999999998E-3</v>
      </c>
      <c r="O4894" s="3">
        <v>1E-3</v>
      </c>
      <c r="P4894" s="3">
        <v>3.8E-3</v>
      </c>
      <c r="Q4894" s="3">
        <v>1.32E-2</v>
      </c>
      <c r="R4894" s="3">
        <v>3.1600000000000003E-2</v>
      </c>
      <c r="U4894" s="3">
        <v>0.379</v>
      </c>
      <c r="V4894" s="3">
        <v>0.38519999999999999</v>
      </c>
    </row>
    <row r="4895" spans="1:22">
      <c r="A4895" t="s">
        <v>195</v>
      </c>
      <c r="B4895" t="s">
        <v>204</v>
      </c>
      <c r="C4895">
        <v>300</v>
      </c>
      <c r="D4895" t="s">
        <v>194</v>
      </c>
      <c r="E4895">
        <v>2671</v>
      </c>
      <c r="I4895" s="3">
        <v>9.3899999999999997E-2</v>
      </c>
      <c r="K4895" s="3">
        <v>0.17929999999999999</v>
      </c>
      <c r="N4895" s="3">
        <v>1.23E-2</v>
      </c>
      <c r="O4895" s="3">
        <v>2.23E-2</v>
      </c>
      <c r="P4895" s="3">
        <v>3.0999999999999999E-3</v>
      </c>
      <c r="Q4895" s="3">
        <v>6.7000000000000004E-2</v>
      </c>
      <c r="R4895" s="3">
        <v>6.6500000000000004E-2</v>
      </c>
      <c r="S4895" s="3">
        <v>5.7999999999999996E-3</v>
      </c>
      <c r="T4895" s="3">
        <v>2.9999999999999997E-4</v>
      </c>
      <c r="U4895" s="3">
        <v>0.63629999999999998</v>
      </c>
      <c r="V4895" s="3">
        <v>0.59799999999999998</v>
      </c>
    </row>
    <row r="4896" spans="1:22">
      <c r="A4896" t="s">
        <v>195</v>
      </c>
      <c r="B4896" t="s">
        <v>205</v>
      </c>
      <c r="C4896">
        <v>334</v>
      </c>
      <c r="D4896" t="s">
        <v>194</v>
      </c>
      <c r="E4896">
        <v>2671</v>
      </c>
      <c r="H4896" s="3">
        <v>4.1000000000000003E-3</v>
      </c>
      <c r="I4896" s="3">
        <v>8.5900000000000004E-2</v>
      </c>
      <c r="J4896" s="3">
        <v>4.5999999999999999E-3</v>
      </c>
      <c r="K4896" s="3">
        <v>6.0400000000000002E-2</v>
      </c>
      <c r="N4896" s="3">
        <v>1.0200000000000001E-2</v>
      </c>
      <c r="O4896" s="3">
        <v>3.6600000000000001E-2</v>
      </c>
      <c r="P4896" s="3">
        <v>4.0000000000000001E-3</v>
      </c>
      <c r="Q4896" s="3">
        <v>3.7900000000000003E-2</v>
      </c>
      <c r="R4896" s="3">
        <v>1.2800000000000001E-2</v>
      </c>
      <c r="T4896" s="3">
        <v>5.7000000000000002E-3</v>
      </c>
      <c r="U4896" s="3">
        <v>0.82489999999999997</v>
      </c>
      <c r="V4896" s="3">
        <v>0.80710000000000004</v>
      </c>
    </row>
    <row r="4897" spans="1:22">
      <c r="A4897" t="s">
        <v>199</v>
      </c>
      <c r="B4897" t="s">
        <v>202</v>
      </c>
      <c r="C4897">
        <v>538</v>
      </c>
      <c r="D4897" t="s">
        <v>194</v>
      </c>
      <c r="E4897">
        <v>2671</v>
      </c>
      <c r="G4897" s="3">
        <v>5.0000000000000001E-4</v>
      </c>
      <c r="H4897" s="3">
        <v>2.0999999999999999E-3</v>
      </c>
      <c r="I4897" s="3">
        <v>7.1999999999999995E-2</v>
      </c>
      <c r="J4897" s="3">
        <v>2.5999999999999999E-3</v>
      </c>
      <c r="K4897" s="3">
        <v>0.38790000000000002</v>
      </c>
      <c r="L4897" s="3">
        <v>3.7000000000000002E-3</v>
      </c>
      <c r="N4897" s="3">
        <v>8.8999999999999999E-3</v>
      </c>
      <c r="O4897" s="3">
        <v>1.2999999999999999E-2</v>
      </c>
      <c r="P4897" s="3">
        <v>2.8999999999999998E-3</v>
      </c>
      <c r="Q4897" s="3">
        <v>3.2300000000000002E-2</v>
      </c>
      <c r="R4897" s="3">
        <v>5.8599999999999999E-2</v>
      </c>
      <c r="S4897" s="3">
        <v>5.0000000000000001E-4</v>
      </c>
      <c r="T4897" s="3">
        <v>1.8200000000000001E-2</v>
      </c>
      <c r="U4897" s="3">
        <v>0.3669</v>
      </c>
      <c r="V4897" s="3">
        <v>0.48309999999999997</v>
      </c>
    </row>
    <row r="4898" spans="1:22">
      <c r="A4898" t="s">
        <v>199</v>
      </c>
      <c r="B4898" t="s">
        <v>204</v>
      </c>
      <c r="C4898">
        <v>425</v>
      </c>
      <c r="D4898" t="s">
        <v>194</v>
      </c>
      <c r="E4898">
        <v>2671</v>
      </c>
      <c r="F4898" s="3">
        <v>3.3E-3</v>
      </c>
      <c r="I4898" s="3">
        <v>8.6699999999999999E-2</v>
      </c>
      <c r="K4898" s="3">
        <v>0.14480000000000001</v>
      </c>
      <c r="N4898" s="3">
        <v>2.3900000000000001E-2</v>
      </c>
      <c r="O4898" s="3">
        <v>2.12E-2</v>
      </c>
      <c r="P4898" s="3">
        <v>5.4999999999999997E-3</v>
      </c>
      <c r="Q4898" s="3">
        <v>8.3099999999999993E-2</v>
      </c>
      <c r="R4898" s="3">
        <v>6.1800000000000001E-2</v>
      </c>
      <c r="S4898" s="3">
        <v>9.4999999999999998E-3</v>
      </c>
      <c r="T4898" s="3">
        <v>1.9E-2</v>
      </c>
      <c r="U4898" s="3">
        <v>0.63019999999999998</v>
      </c>
      <c r="V4898" s="3">
        <v>0.67649999999999999</v>
      </c>
    </row>
    <row r="4899" spans="1:22">
      <c r="A4899" t="s">
        <v>199</v>
      </c>
      <c r="B4899" t="s">
        <v>205</v>
      </c>
      <c r="C4899">
        <v>503</v>
      </c>
      <c r="D4899" t="s">
        <v>194</v>
      </c>
      <c r="E4899">
        <v>2671</v>
      </c>
      <c r="G4899" s="3">
        <v>1.1599999999999999E-2</v>
      </c>
      <c r="I4899" s="3">
        <v>9.7600000000000006E-2</v>
      </c>
      <c r="J4899" s="3">
        <v>1E-4</v>
      </c>
      <c r="K4899" s="3">
        <v>4.7500000000000001E-2</v>
      </c>
      <c r="L4899" s="3">
        <v>1E-4</v>
      </c>
      <c r="M4899" s="3">
        <v>1.6000000000000001E-3</v>
      </c>
      <c r="N4899" s="3">
        <v>3.2800000000000003E-2</v>
      </c>
      <c r="O4899" s="3">
        <v>5.9499999999999997E-2</v>
      </c>
      <c r="P4899" s="3">
        <v>3.9300000000000002E-2</v>
      </c>
      <c r="Q4899" s="3">
        <v>3.2099999999999997E-2</v>
      </c>
      <c r="R4899" s="3">
        <v>3.3799999999999997E-2</v>
      </c>
      <c r="S4899" s="3">
        <v>1.15E-2</v>
      </c>
      <c r="T4899" s="3">
        <v>1.9599999999999999E-2</v>
      </c>
      <c r="U4899" s="3">
        <v>0.7843</v>
      </c>
      <c r="V4899" s="3">
        <v>0.83689999999999998</v>
      </c>
    </row>
    <row r="4900" spans="1:22">
      <c r="A4900" t="s">
        <v>200</v>
      </c>
      <c r="B4900" t="s">
        <v>200</v>
      </c>
      <c r="C4900">
        <v>2671</v>
      </c>
      <c r="D4900" t="s">
        <v>200</v>
      </c>
      <c r="E4900">
        <v>2671</v>
      </c>
      <c r="F4900" s="3">
        <v>4.0000000000000002E-4</v>
      </c>
      <c r="G4900" s="3">
        <v>1.2999999999999999E-3</v>
      </c>
      <c r="H4900" s="3">
        <v>1.9E-3</v>
      </c>
      <c r="I4900" s="3">
        <v>0.1074</v>
      </c>
      <c r="J4900" s="3">
        <v>1.1999999999999999E-3</v>
      </c>
      <c r="K4900" s="3">
        <v>0.28920000000000001</v>
      </c>
      <c r="L4900" s="3">
        <v>1.2999999999999999E-3</v>
      </c>
      <c r="M4900" s="3">
        <v>2.9999999999999997E-4</v>
      </c>
      <c r="N4900" s="3">
        <v>1.18E-2</v>
      </c>
      <c r="O4900" s="3">
        <v>1.7100000000000001E-2</v>
      </c>
      <c r="P4900" s="3">
        <v>6.8999999999999999E-3</v>
      </c>
      <c r="Q4900" s="3">
        <v>3.5799999999999998E-2</v>
      </c>
      <c r="R4900" s="3">
        <v>4.6699999999999998E-2</v>
      </c>
      <c r="S4900" s="3">
        <v>2.8E-3</v>
      </c>
      <c r="T4900" s="3">
        <v>1.0800000000000001E-2</v>
      </c>
      <c r="U4900" s="3">
        <v>0.49180000000000001</v>
      </c>
      <c r="V4900" s="3">
        <v>0.54010000000000002</v>
      </c>
    </row>
    <row r="4902" spans="1:22" ht="45">
      <c r="A4902" s="22" t="s">
        <v>1166</v>
      </c>
    </row>
    <row r="4903" spans="1:22">
      <c r="A4903" t="s">
        <v>185</v>
      </c>
      <c r="B4903" t="s">
        <v>186</v>
      </c>
      <c r="C4903" t="s">
        <v>192</v>
      </c>
      <c r="D4903" t="s">
        <v>184</v>
      </c>
      <c r="E4903" t="s">
        <v>193</v>
      </c>
      <c r="F4903" t="s">
        <v>1051</v>
      </c>
      <c r="G4903" t="s">
        <v>1115</v>
      </c>
      <c r="H4903" t="s">
        <v>1053</v>
      </c>
      <c r="I4903" t="s">
        <v>257</v>
      </c>
      <c r="J4903" t="s">
        <v>1055</v>
      </c>
      <c r="K4903" t="s">
        <v>329</v>
      </c>
      <c r="L4903" t="s">
        <v>274</v>
      </c>
      <c r="M4903" t="s">
        <v>247</v>
      </c>
      <c r="N4903" t="s">
        <v>1057</v>
      </c>
      <c r="O4903" t="s">
        <v>1058</v>
      </c>
      <c r="P4903" t="s">
        <v>1059</v>
      </c>
      <c r="Q4903" t="s">
        <v>1060</v>
      </c>
      <c r="R4903" t="s">
        <v>1161</v>
      </c>
      <c r="S4903" t="s">
        <v>1061</v>
      </c>
      <c r="T4903" t="s">
        <v>1062</v>
      </c>
      <c r="U4903" t="s">
        <v>1064</v>
      </c>
      <c r="V4903" t="s">
        <v>1065</v>
      </c>
    </row>
    <row r="4904" spans="1:22">
      <c r="A4904" t="s">
        <v>195</v>
      </c>
      <c r="B4904" t="s">
        <v>207</v>
      </c>
      <c r="C4904">
        <v>321</v>
      </c>
      <c r="D4904" t="s">
        <v>194</v>
      </c>
      <c r="E4904">
        <v>2671</v>
      </c>
      <c r="H4904" s="3">
        <v>2.0999999999999999E-3</v>
      </c>
      <c r="I4904" s="3">
        <v>0.1762</v>
      </c>
      <c r="K4904" s="3">
        <v>0.34599999999999997</v>
      </c>
      <c r="N4904" s="3">
        <v>7.0000000000000001E-3</v>
      </c>
      <c r="O4904" s="3">
        <v>1.8599999999999998E-2</v>
      </c>
      <c r="Q4904" s="3">
        <v>8.8000000000000005E-3</v>
      </c>
      <c r="R4904" s="3">
        <v>2.7900000000000001E-2</v>
      </c>
      <c r="S4904" s="3">
        <v>4.5999999999999999E-3</v>
      </c>
      <c r="U4904" s="3">
        <v>0.41870000000000002</v>
      </c>
      <c r="V4904" s="3">
        <v>0.44779999999999998</v>
      </c>
    </row>
    <row r="4905" spans="1:22">
      <c r="A4905" t="s">
        <v>195</v>
      </c>
      <c r="B4905" t="s">
        <v>209</v>
      </c>
      <c r="C4905">
        <v>866</v>
      </c>
      <c r="D4905" t="s">
        <v>194</v>
      </c>
      <c r="E4905">
        <v>2671</v>
      </c>
      <c r="F4905" s="3">
        <v>2.0000000000000001E-4</v>
      </c>
      <c r="H4905" s="3">
        <v>2.8E-3</v>
      </c>
      <c r="I4905" s="3">
        <v>0.13150000000000001</v>
      </c>
      <c r="J4905" s="3">
        <v>8.0000000000000004E-4</v>
      </c>
      <c r="K4905" s="3">
        <v>0.28029999999999999</v>
      </c>
      <c r="M4905" s="3">
        <v>5.0000000000000001E-4</v>
      </c>
      <c r="N4905" s="3">
        <v>6.7999999999999996E-3</v>
      </c>
      <c r="O4905" s="3">
        <v>7.4999999999999997E-3</v>
      </c>
      <c r="P4905" s="3">
        <v>4.8999999999999998E-3</v>
      </c>
      <c r="Q4905" s="3">
        <v>3.4599999999999999E-2</v>
      </c>
      <c r="R4905" s="3">
        <v>3.9199999999999999E-2</v>
      </c>
      <c r="S4905" s="3">
        <v>1E-4</v>
      </c>
      <c r="T4905" s="3">
        <v>1.1000000000000001E-3</v>
      </c>
      <c r="U4905" s="3">
        <v>0.52180000000000004</v>
      </c>
      <c r="V4905" s="3">
        <v>0.50290000000000001</v>
      </c>
    </row>
    <row r="4906" spans="1:22">
      <c r="A4906" t="s">
        <v>199</v>
      </c>
      <c r="B4906" t="s">
        <v>207</v>
      </c>
      <c r="C4906">
        <v>280</v>
      </c>
      <c r="D4906" t="s">
        <v>194</v>
      </c>
      <c r="E4906">
        <v>2671</v>
      </c>
      <c r="G4906" s="3">
        <v>2.8999999999999998E-3</v>
      </c>
      <c r="I4906" s="3">
        <v>6.8199999999999997E-2</v>
      </c>
      <c r="K4906" s="3">
        <v>0.17879999999999999</v>
      </c>
      <c r="L4906" s="3">
        <v>2E-3</v>
      </c>
      <c r="M4906" s="3">
        <v>2.2000000000000001E-3</v>
      </c>
      <c r="N4906" s="3">
        <v>5.0900000000000001E-2</v>
      </c>
      <c r="O4906" s="3">
        <v>2.46E-2</v>
      </c>
      <c r="P4906" s="3">
        <v>2.6800000000000001E-2</v>
      </c>
      <c r="Q4906" s="3">
        <v>4.0399999999999998E-2</v>
      </c>
      <c r="R4906" s="3">
        <v>6.8000000000000005E-2</v>
      </c>
      <c r="S4906" s="3">
        <v>9.7000000000000003E-3</v>
      </c>
      <c r="T4906" s="3">
        <v>4.8300000000000003E-2</v>
      </c>
      <c r="U4906" s="3">
        <v>0.61970000000000003</v>
      </c>
      <c r="V4906" s="3">
        <v>0.71299999999999997</v>
      </c>
    </row>
    <row r="4907" spans="1:22">
      <c r="A4907" t="s">
        <v>199</v>
      </c>
      <c r="B4907" t="s">
        <v>209</v>
      </c>
      <c r="C4907">
        <v>1204</v>
      </c>
      <c r="D4907" t="s">
        <v>194</v>
      </c>
      <c r="E4907">
        <v>2671</v>
      </c>
      <c r="F4907" s="3">
        <v>6.9999999999999999E-4</v>
      </c>
      <c r="G4907" s="3">
        <v>2.2000000000000001E-3</v>
      </c>
      <c r="H4907" s="3">
        <v>1.5E-3</v>
      </c>
      <c r="I4907" s="3">
        <v>8.0600000000000005E-2</v>
      </c>
      <c r="J4907" s="3">
        <v>1.9E-3</v>
      </c>
      <c r="K4907" s="3">
        <v>0.29730000000000001</v>
      </c>
      <c r="L4907" s="3">
        <v>2.3999999999999998E-3</v>
      </c>
      <c r="N4907" s="3">
        <v>1.09E-2</v>
      </c>
      <c r="O4907" s="3">
        <v>2.2100000000000002E-2</v>
      </c>
      <c r="P4907" s="3">
        <v>7.1999999999999998E-3</v>
      </c>
      <c r="Q4907" s="3">
        <v>4.2299999999999997E-2</v>
      </c>
      <c r="R4907" s="3">
        <v>5.3199999999999997E-2</v>
      </c>
      <c r="S4907" s="3">
        <v>3.3E-3</v>
      </c>
      <c r="T4907" s="3">
        <v>1.46E-2</v>
      </c>
      <c r="U4907" s="3">
        <v>0.47089999999999999</v>
      </c>
      <c r="V4907" s="3">
        <v>0.56259999999999999</v>
      </c>
    </row>
    <row r="4908" spans="1:22">
      <c r="A4908" t="s">
        <v>200</v>
      </c>
      <c r="B4908" t="s">
        <v>200</v>
      </c>
      <c r="C4908">
        <v>2671</v>
      </c>
      <c r="D4908" t="s">
        <v>200</v>
      </c>
      <c r="E4908">
        <v>2671</v>
      </c>
      <c r="F4908" s="3">
        <v>4.0000000000000002E-4</v>
      </c>
      <c r="G4908" s="3">
        <v>1.2999999999999999E-3</v>
      </c>
      <c r="H4908" s="3">
        <v>1.9E-3</v>
      </c>
      <c r="I4908" s="3">
        <v>0.1074</v>
      </c>
      <c r="J4908" s="3">
        <v>1.1999999999999999E-3</v>
      </c>
      <c r="K4908" s="3">
        <v>0.28920000000000001</v>
      </c>
      <c r="L4908" s="3">
        <v>1.2999999999999999E-3</v>
      </c>
      <c r="M4908" s="3">
        <v>2.9999999999999997E-4</v>
      </c>
      <c r="N4908" s="3">
        <v>1.18E-2</v>
      </c>
      <c r="O4908" s="3">
        <v>1.7100000000000001E-2</v>
      </c>
      <c r="P4908" s="3">
        <v>6.8999999999999999E-3</v>
      </c>
      <c r="Q4908" s="3">
        <v>3.5799999999999998E-2</v>
      </c>
      <c r="R4908" s="3">
        <v>4.6699999999999998E-2</v>
      </c>
      <c r="S4908" s="3">
        <v>2.8E-3</v>
      </c>
      <c r="T4908" s="3">
        <v>1.0800000000000001E-2</v>
      </c>
      <c r="U4908" s="3">
        <v>0.49180000000000001</v>
      </c>
      <c r="V4908" s="3">
        <v>0.54010000000000002</v>
      </c>
    </row>
    <row r="4910" spans="1:22" ht="45">
      <c r="A4910" s="22" t="s">
        <v>1167</v>
      </c>
    </row>
    <row r="4911" spans="1:22">
      <c r="A4911" t="s">
        <v>185</v>
      </c>
      <c r="B4911" t="s">
        <v>192</v>
      </c>
      <c r="C4911" t="s">
        <v>184</v>
      </c>
      <c r="D4911" t="s">
        <v>193</v>
      </c>
      <c r="E4911" t="s">
        <v>1051</v>
      </c>
      <c r="F4911" t="s">
        <v>1115</v>
      </c>
      <c r="G4911" t="s">
        <v>1053</v>
      </c>
      <c r="H4911" t="s">
        <v>257</v>
      </c>
      <c r="I4911" t="s">
        <v>1055</v>
      </c>
      <c r="J4911" t="s">
        <v>329</v>
      </c>
      <c r="K4911" t="s">
        <v>274</v>
      </c>
      <c r="L4911" t="s">
        <v>247</v>
      </c>
      <c r="M4911" t="s">
        <v>1057</v>
      </c>
      <c r="N4911" t="s">
        <v>1058</v>
      </c>
      <c r="O4911" t="s">
        <v>1059</v>
      </c>
      <c r="P4911" t="s">
        <v>1060</v>
      </c>
      <c r="Q4911" t="s">
        <v>1161</v>
      </c>
      <c r="R4911" t="s">
        <v>1061</v>
      </c>
      <c r="S4911" t="s">
        <v>1062</v>
      </c>
      <c r="T4911" t="s">
        <v>1064</v>
      </c>
      <c r="U4911" t="s">
        <v>1065</v>
      </c>
    </row>
    <row r="4912" spans="1:22">
      <c r="A4912" t="s">
        <v>195</v>
      </c>
      <c r="B4912">
        <v>1187</v>
      </c>
      <c r="C4912" t="s">
        <v>194</v>
      </c>
      <c r="D4912">
        <v>2671</v>
      </c>
      <c r="E4912" s="3">
        <v>1E-4</v>
      </c>
      <c r="G4912" s="3">
        <v>2.5999999999999999E-3</v>
      </c>
      <c r="H4912" s="3">
        <v>0.14299999999999999</v>
      </c>
      <c r="I4912" s="3">
        <v>5.9999999999999995E-4</v>
      </c>
      <c r="J4912" s="3">
        <v>0.29709999999999998</v>
      </c>
      <c r="L4912" s="3">
        <v>4.0000000000000002E-4</v>
      </c>
      <c r="M4912" s="3">
        <v>6.8999999999999999E-3</v>
      </c>
      <c r="N4912" s="3">
        <v>1.04E-2</v>
      </c>
      <c r="O4912" s="3">
        <v>3.5999999999999999E-3</v>
      </c>
      <c r="P4912" s="3">
        <v>2.8000000000000001E-2</v>
      </c>
      <c r="Q4912" s="3">
        <v>3.6299999999999999E-2</v>
      </c>
      <c r="R4912" s="3">
        <v>1.1999999999999999E-3</v>
      </c>
      <c r="S4912" s="3">
        <v>8.0000000000000004E-4</v>
      </c>
      <c r="T4912" s="3">
        <v>0.49540000000000001</v>
      </c>
      <c r="U4912" s="3">
        <v>0.48880000000000001</v>
      </c>
    </row>
    <row r="4913" spans="1:22">
      <c r="A4913" t="s">
        <v>199</v>
      </c>
      <c r="B4913">
        <v>1484</v>
      </c>
      <c r="C4913" t="s">
        <v>194</v>
      </c>
      <c r="D4913">
        <v>2671</v>
      </c>
      <c r="E4913" s="3">
        <v>5.9999999999999995E-4</v>
      </c>
      <c r="F4913" s="3">
        <v>2.3E-3</v>
      </c>
      <c r="G4913" s="3">
        <v>1.2999999999999999E-3</v>
      </c>
      <c r="H4913" s="3">
        <v>7.9100000000000004E-2</v>
      </c>
      <c r="I4913" s="3">
        <v>1.6000000000000001E-3</v>
      </c>
      <c r="J4913" s="3">
        <v>0.28289999999999998</v>
      </c>
      <c r="K4913" s="3">
        <v>2.3999999999999998E-3</v>
      </c>
      <c r="L4913" s="3">
        <v>2.9999999999999997E-4</v>
      </c>
      <c r="M4913" s="3">
        <v>1.5800000000000002E-2</v>
      </c>
      <c r="N4913" s="3">
        <v>2.2499999999999999E-2</v>
      </c>
      <c r="O4913" s="3">
        <v>9.5999999999999992E-3</v>
      </c>
      <c r="P4913" s="3">
        <v>4.2000000000000003E-2</v>
      </c>
      <c r="Q4913" s="3">
        <v>5.5E-2</v>
      </c>
      <c r="R4913" s="3">
        <v>4.1000000000000003E-3</v>
      </c>
      <c r="S4913" s="3">
        <v>1.8700000000000001E-2</v>
      </c>
      <c r="T4913" s="3">
        <v>0.48899999999999999</v>
      </c>
      <c r="U4913" s="3">
        <v>0.58089999999999997</v>
      </c>
    </row>
    <row r="4914" spans="1:22">
      <c r="A4914" t="s">
        <v>200</v>
      </c>
      <c r="B4914">
        <v>2671</v>
      </c>
      <c r="C4914" t="s">
        <v>200</v>
      </c>
      <c r="D4914">
        <v>2671</v>
      </c>
      <c r="E4914" s="3">
        <v>4.0000000000000002E-4</v>
      </c>
      <c r="F4914" s="3">
        <v>1.2999999999999999E-3</v>
      </c>
      <c r="G4914" s="3">
        <v>1.9E-3</v>
      </c>
      <c r="H4914" s="3">
        <v>0.1074</v>
      </c>
      <c r="I4914" s="3">
        <v>1.1999999999999999E-3</v>
      </c>
      <c r="J4914" s="3">
        <v>0.28920000000000001</v>
      </c>
      <c r="K4914" s="3">
        <v>1.2999999999999999E-3</v>
      </c>
      <c r="L4914" s="3">
        <v>2.9999999999999997E-4</v>
      </c>
      <c r="M4914" s="3">
        <v>1.18E-2</v>
      </c>
      <c r="N4914" s="3">
        <v>1.7100000000000001E-2</v>
      </c>
      <c r="O4914" s="3">
        <v>6.8999999999999999E-3</v>
      </c>
      <c r="P4914" s="3">
        <v>3.5799999999999998E-2</v>
      </c>
      <c r="Q4914" s="3">
        <v>4.6699999999999998E-2</v>
      </c>
      <c r="R4914" s="3">
        <v>2.8E-3</v>
      </c>
      <c r="S4914" s="3">
        <v>1.0800000000000001E-2</v>
      </c>
      <c r="T4914" s="3">
        <v>0.49180000000000001</v>
      </c>
      <c r="U4914" s="3">
        <v>0.54010000000000002</v>
      </c>
    </row>
    <row r="4916" spans="1:22" ht="45">
      <c r="A4916" s="22" t="s">
        <v>1168</v>
      </c>
    </row>
    <row r="4917" spans="1:22">
      <c r="A4917" t="s">
        <v>185</v>
      </c>
      <c r="B4917" t="s">
        <v>186</v>
      </c>
      <c r="C4917" t="s">
        <v>192</v>
      </c>
      <c r="D4917" t="s">
        <v>184</v>
      </c>
      <c r="E4917" t="s">
        <v>193</v>
      </c>
      <c r="F4917" t="s">
        <v>1051</v>
      </c>
      <c r="G4917" t="s">
        <v>1115</v>
      </c>
      <c r="H4917" t="s">
        <v>1053</v>
      </c>
      <c r="I4917" t="s">
        <v>257</v>
      </c>
      <c r="J4917" t="s">
        <v>1055</v>
      </c>
      <c r="K4917" t="s">
        <v>329</v>
      </c>
      <c r="L4917" t="s">
        <v>274</v>
      </c>
      <c r="M4917" t="s">
        <v>247</v>
      </c>
      <c r="N4917" t="s">
        <v>1057</v>
      </c>
      <c r="O4917" t="s">
        <v>1058</v>
      </c>
      <c r="P4917" t="s">
        <v>1059</v>
      </c>
      <c r="Q4917" t="s">
        <v>1060</v>
      </c>
      <c r="R4917" t="s">
        <v>1161</v>
      </c>
      <c r="S4917" t="s">
        <v>1061</v>
      </c>
      <c r="T4917" t="s">
        <v>1062</v>
      </c>
      <c r="U4917" t="s">
        <v>1064</v>
      </c>
      <c r="V4917" t="s">
        <v>1065</v>
      </c>
    </row>
    <row r="4918" spans="1:22">
      <c r="A4918" t="s">
        <v>195</v>
      </c>
      <c r="B4918" t="s">
        <v>212</v>
      </c>
      <c r="C4918">
        <v>872</v>
      </c>
      <c r="D4918" t="s">
        <v>194</v>
      </c>
      <c r="E4918">
        <v>2671</v>
      </c>
      <c r="H4918" s="3">
        <v>2.3999999999999998E-3</v>
      </c>
      <c r="I4918" s="3">
        <v>0.1237</v>
      </c>
      <c r="J4918" s="3">
        <v>8.0000000000000004E-4</v>
      </c>
      <c r="K4918" s="3">
        <v>0.31569999999999998</v>
      </c>
      <c r="M4918" s="3">
        <v>5.0000000000000001E-4</v>
      </c>
      <c r="N4918" s="3">
        <v>7.0000000000000001E-3</v>
      </c>
      <c r="O4918" s="3">
        <v>7.3000000000000001E-3</v>
      </c>
      <c r="P4918" s="3">
        <v>4.1000000000000003E-3</v>
      </c>
      <c r="Q4918" s="3">
        <v>2.87E-2</v>
      </c>
      <c r="R4918" s="3">
        <v>3.85E-2</v>
      </c>
      <c r="S4918" s="3">
        <v>1.6000000000000001E-3</v>
      </c>
      <c r="T4918" s="3">
        <v>1.1000000000000001E-3</v>
      </c>
      <c r="U4918" s="3">
        <v>0.49690000000000001</v>
      </c>
      <c r="V4918" s="3">
        <v>0.48459999999999998</v>
      </c>
    </row>
    <row r="4919" spans="1:22">
      <c r="A4919" t="s">
        <v>195</v>
      </c>
      <c r="B4919" t="s">
        <v>214</v>
      </c>
      <c r="C4919">
        <v>180</v>
      </c>
      <c r="D4919" t="s">
        <v>194</v>
      </c>
      <c r="E4919">
        <v>2671</v>
      </c>
      <c r="H4919" s="3">
        <v>4.8999999999999998E-3</v>
      </c>
      <c r="I4919" s="3">
        <v>0.28260000000000002</v>
      </c>
      <c r="K4919" s="3">
        <v>0.2036</v>
      </c>
      <c r="N4919" s="3">
        <v>2.0000000000000001E-4</v>
      </c>
      <c r="O4919" s="3">
        <v>2.7699999999999999E-2</v>
      </c>
      <c r="P4919" s="3">
        <v>2.8999999999999998E-3</v>
      </c>
      <c r="Q4919" s="3">
        <v>2.6700000000000002E-2</v>
      </c>
      <c r="R4919" s="3">
        <v>4.4400000000000002E-2</v>
      </c>
      <c r="U4919" s="3">
        <v>0.43690000000000001</v>
      </c>
      <c r="V4919" s="3">
        <v>0.44829999999999998</v>
      </c>
    </row>
    <row r="4920" spans="1:22">
      <c r="A4920" t="s">
        <v>195</v>
      </c>
      <c r="B4920" t="s">
        <v>215</v>
      </c>
      <c r="C4920">
        <v>135</v>
      </c>
      <c r="D4920" t="s">
        <v>194</v>
      </c>
      <c r="E4920">
        <v>2671</v>
      </c>
      <c r="F4920" s="3">
        <v>1.5E-3</v>
      </c>
      <c r="I4920" s="3">
        <v>4.2999999999999997E-2</v>
      </c>
      <c r="K4920" s="3">
        <v>0.31280000000000002</v>
      </c>
      <c r="N4920" s="3">
        <v>1.9199999999999998E-2</v>
      </c>
      <c r="O4920" s="3">
        <v>3.8E-3</v>
      </c>
      <c r="P4920" s="3">
        <v>1.4E-3</v>
      </c>
      <c r="Q4920" s="3">
        <v>2.46E-2</v>
      </c>
      <c r="R4920" s="3">
        <v>1.5E-3</v>
      </c>
      <c r="U4920" s="3">
        <v>0.59609999999999996</v>
      </c>
      <c r="V4920" s="3">
        <v>0.60540000000000005</v>
      </c>
    </row>
    <row r="4921" spans="1:22">
      <c r="A4921" t="s">
        <v>199</v>
      </c>
      <c r="B4921" t="s">
        <v>212</v>
      </c>
      <c r="C4921">
        <v>1115</v>
      </c>
      <c r="D4921" t="s">
        <v>194</v>
      </c>
      <c r="E4921">
        <v>2671</v>
      </c>
      <c r="F4921" s="3">
        <v>8.0000000000000004E-4</v>
      </c>
      <c r="G4921" s="3">
        <v>2.5999999999999999E-3</v>
      </c>
      <c r="H4921" s="3">
        <v>1.1999999999999999E-3</v>
      </c>
      <c r="I4921" s="3">
        <v>5.4300000000000001E-2</v>
      </c>
      <c r="J4921" s="3">
        <v>2.2000000000000001E-3</v>
      </c>
      <c r="K4921" s="3">
        <v>0.29239999999999999</v>
      </c>
      <c r="L4921" s="3">
        <v>2.8E-3</v>
      </c>
      <c r="M4921" s="3">
        <v>2.9999999999999997E-4</v>
      </c>
      <c r="N4921" s="3">
        <v>1.3599999999999999E-2</v>
      </c>
      <c r="O4921" s="3">
        <v>2.47E-2</v>
      </c>
      <c r="P4921" s="3">
        <v>1.2500000000000001E-2</v>
      </c>
      <c r="Q4921" s="3">
        <v>4.7E-2</v>
      </c>
      <c r="R4921" s="3">
        <v>5.4800000000000001E-2</v>
      </c>
      <c r="S4921" s="3">
        <v>5.4000000000000003E-3</v>
      </c>
      <c r="T4921" s="3">
        <v>1.9E-2</v>
      </c>
      <c r="U4921" s="3">
        <v>0.50839999999999996</v>
      </c>
      <c r="V4921" s="3">
        <v>0.59440000000000004</v>
      </c>
    </row>
    <row r="4922" spans="1:22">
      <c r="A4922" t="s">
        <v>199</v>
      </c>
      <c r="B4922" t="s">
        <v>214</v>
      </c>
      <c r="C4922">
        <v>196</v>
      </c>
      <c r="D4922" t="s">
        <v>194</v>
      </c>
      <c r="E4922">
        <v>2671</v>
      </c>
      <c r="I4922" s="3">
        <v>0.23230000000000001</v>
      </c>
      <c r="K4922" s="3">
        <v>0.2228</v>
      </c>
      <c r="N4922" s="3">
        <v>1.6500000000000001E-2</v>
      </c>
      <c r="O4922" s="3">
        <v>7.0000000000000001E-3</v>
      </c>
      <c r="Q4922" s="3">
        <v>1.83E-2</v>
      </c>
      <c r="R4922" s="3">
        <v>4.7399999999999998E-2</v>
      </c>
      <c r="T4922" s="3">
        <v>1.3299999999999999E-2</v>
      </c>
      <c r="U4922" s="3">
        <v>0.39750000000000002</v>
      </c>
      <c r="V4922" s="3">
        <v>0.50939999999999996</v>
      </c>
    </row>
    <row r="4923" spans="1:22">
      <c r="A4923" t="s">
        <v>199</v>
      </c>
      <c r="B4923" t="s">
        <v>215</v>
      </c>
      <c r="C4923">
        <v>173</v>
      </c>
      <c r="D4923" t="s">
        <v>194</v>
      </c>
      <c r="E4923">
        <v>2671</v>
      </c>
      <c r="G4923" s="3">
        <v>3.8999999999999998E-3</v>
      </c>
      <c r="H4923" s="3">
        <v>5.1999999999999998E-3</v>
      </c>
      <c r="I4923" s="3">
        <v>2.8299999999999999E-2</v>
      </c>
      <c r="K4923" s="3">
        <v>0.30430000000000001</v>
      </c>
      <c r="L4923" s="3">
        <v>2.8999999999999998E-3</v>
      </c>
      <c r="N4923" s="3">
        <v>3.4500000000000003E-2</v>
      </c>
      <c r="O4923" s="3">
        <v>2.9600000000000001E-2</v>
      </c>
      <c r="P4923" s="3">
        <v>2.9999999999999997E-4</v>
      </c>
      <c r="Q4923" s="3">
        <v>3.9600000000000003E-2</v>
      </c>
      <c r="R4923" s="3">
        <v>6.9900000000000004E-2</v>
      </c>
      <c r="T4923" s="3">
        <v>2.5600000000000001E-2</v>
      </c>
      <c r="U4923" s="3">
        <v>0.47789999999999999</v>
      </c>
      <c r="V4923" s="3">
        <v>0.58699999999999997</v>
      </c>
    </row>
    <row r="4924" spans="1:22">
      <c r="A4924" t="s">
        <v>200</v>
      </c>
      <c r="B4924" t="s">
        <v>200</v>
      </c>
      <c r="C4924">
        <v>2671</v>
      </c>
      <c r="D4924" t="s">
        <v>200</v>
      </c>
      <c r="E4924">
        <v>2671</v>
      </c>
      <c r="F4924" s="3">
        <v>4.0000000000000002E-4</v>
      </c>
      <c r="G4924" s="3">
        <v>1.2999999999999999E-3</v>
      </c>
      <c r="H4924" s="3">
        <v>1.9E-3</v>
      </c>
      <c r="I4924" s="3">
        <v>0.1074</v>
      </c>
      <c r="J4924" s="3">
        <v>1.1999999999999999E-3</v>
      </c>
      <c r="K4924" s="3">
        <v>0.28920000000000001</v>
      </c>
      <c r="L4924" s="3">
        <v>1.2999999999999999E-3</v>
      </c>
      <c r="M4924" s="3">
        <v>2.9999999999999997E-4</v>
      </c>
      <c r="N4924" s="3">
        <v>1.18E-2</v>
      </c>
      <c r="O4924" s="3">
        <v>1.7100000000000001E-2</v>
      </c>
      <c r="P4924" s="3">
        <v>6.8999999999999999E-3</v>
      </c>
      <c r="Q4924" s="3">
        <v>3.5799999999999998E-2</v>
      </c>
      <c r="R4924" s="3">
        <v>4.6699999999999998E-2</v>
      </c>
      <c r="S4924" s="3">
        <v>2.8E-3</v>
      </c>
      <c r="T4924" s="3">
        <v>1.0800000000000001E-2</v>
      </c>
      <c r="U4924" s="3">
        <v>0.49180000000000001</v>
      </c>
      <c r="V4924" s="3">
        <v>0.54010000000000002</v>
      </c>
    </row>
    <row r="4926" spans="1:22" ht="45">
      <c r="A4926" s="22" t="s">
        <v>1169</v>
      </c>
    </row>
    <row r="4927" spans="1:22">
      <c r="A4927" t="s">
        <v>185</v>
      </c>
      <c r="B4927" t="s">
        <v>186</v>
      </c>
      <c r="C4927" t="s">
        <v>192</v>
      </c>
      <c r="D4927" t="s">
        <v>184</v>
      </c>
      <c r="E4927" t="s">
        <v>193</v>
      </c>
      <c r="F4927" t="s">
        <v>1051</v>
      </c>
      <c r="G4927" t="s">
        <v>1115</v>
      </c>
      <c r="H4927" t="s">
        <v>1053</v>
      </c>
      <c r="I4927" t="s">
        <v>257</v>
      </c>
      <c r="J4927" t="s">
        <v>1055</v>
      </c>
      <c r="K4927" t="s">
        <v>329</v>
      </c>
      <c r="L4927" t="s">
        <v>274</v>
      </c>
      <c r="M4927" t="s">
        <v>247</v>
      </c>
      <c r="N4927" t="s">
        <v>1057</v>
      </c>
      <c r="O4927" t="s">
        <v>1058</v>
      </c>
      <c r="P4927" t="s">
        <v>1059</v>
      </c>
      <c r="Q4927" t="s">
        <v>1060</v>
      </c>
      <c r="R4927" t="s">
        <v>1161</v>
      </c>
      <c r="S4927" t="s">
        <v>1061</v>
      </c>
      <c r="T4927" t="s">
        <v>1062</v>
      </c>
      <c r="U4927" t="s">
        <v>1064</v>
      </c>
      <c r="V4927" t="s">
        <v>1065</v>
      </c>
    </row>
    <row r="4928" spans="1:22">
      <c r="A4928" t="s">
        <v>195</v>
      </c>
      <c r="B4928" t="s">
        <v>217</v>
      </c>
      <c r="C4928">
        <v>499</v>
      </c>
      <c r="D4928" t="s">
        <v>194</v>
      </c>
      <c r="E4928">
        <v>2671</v>
      </c>
      <c r="F4928" s="3">
        <v>2.9999999999999997E-4</v>
      </c>
      <c r="I4928" s="3">
        <v>0.1133</v>
      </c>
      <c r="J4928" s="3">
        <v>1.5E-3</v>
      </c>
      <c r="K4928" s="3">
        <v>0.30309999999999998</v>
      </c>
      <c r="M4928" s="3">
        <v>8.9999999999999998E-4</v>
      </c>
      <c r="N4928" s="3">
        <v>1.0999999999999999E-2</v>
      </c>
      <c r="O4928" s="3">
        <v>1.2500000000000001E-2</v>
      </c>
      <c r="P4928" s="3">
        <v>1.2999999999999999E-3</v>
      </c>
      <c r="Q4928" s="3">
        <v>0.02</v>
      </c>
      <c r="R4928" s="3">
        <v>1.5699999999999999E-2</v>
      </c>
      <c r="S4928" s="3">
        <v>2.8999999999999998E-3</v>
      </c>
      <c r="T4928" s="3">
        <v>2.0000000000000001E-4</v>
      </c>
      <c r="U4928" s="3">
        <v>0.53200000000000003</v>
      </c>
      <c r="V4928" s="3">
        <v>0.51270000000000004</v>
      </c>
    </row>
    <row r="4929" spans="1:23">
      <c r="A4929" t="s">
        <v>195</v>
      </c>
      <c r="B4929" t="s">
        <v>219</v>
      </c>
      <c r="C4929">
        <v>505</v>
      </c>
      <c r="D4929" t="s">
        <v>194</v>
      </c>
      <c r="E4929">
        <v>2671</v>
      </c>
      <c r="H4929" s="3">
        <v>3.5000000000000001E-3</v>
      </c>
      <c r="I4929" s="3">
        <v>0.1449</v>
      </c>
      <c r="K4929" s="3">
        <v>0.29970000000000002</v>
      </c>
      <c r="N4929" s="3">
        <v>1.6999999999999999E-3</v>
      </c>
      <c r="O4929" s="3">
        <v>1.2200000000000001E-2</v>
      </c>
      <c r="P4929" s="3">
        <v>7.7000000000000002E-3</v>
      </c>
      <c r="Q4929" s="3">
        <v>2.3199999999999998E-2</v>
      </c>
      <c r="R4929" s="3">
        <v>3.9399999999999998E-2</v>
      </c>
      <c r="T4929" s="3">
        <v>2E-3</v>
      </c>
      <c r="U4929" s="3">
        <v>0.48459999999999998</v>
      </c>
      <c r="V4929" s="3">
        <v>0.47839999999999999</v>
      </c>
    </row>
    <row r="4930" spans="1:23">
      <c r="A4930" t="s">
        <v>195</v>
      </c>
      <c r="B4930" t="s">
        <v>220</v>
      </c>
      <c r="C4930">
        <v>182</v>
      </c>
      <c r="D4930" t="s">
        <v>194</v>
      </c>
      <c r="E4930">
        <v>2671</v>
      </c>
      <c r="H4930" s="3">
        <v>6.7000000000000002E-3</v>
      </c>
      <c r="I4930" s="3">
        <v>0.20519999999999999</v>
      </c>
      <c r="K4930" s="3">
        <v>0.27839999999999998</v>
      </c>
      <c r="N4930" s="3">
        <v>8.5000000000000006E-3</v>
      </c>
      <c r="O4930" s="3">
        <v>1.8E-3</v>
      </c>
      <c r="P4930" s="3">
        <v>5.9999999999999995E-4</v>
      </c>
      <c r="Q4930" s="3">
        <v>5.57E-2</v>
      </c>
      <c r="R4930" s="3">
        <v>7.6100000000000001E-2</v>
      </c>
      <c r="U4930" s="3">
        <v>0.43569999999999998</v>
      </c>
      <c r="V4930" s="3">
        <v>0.45679999999999998</v>
      </c>
    </row>
    <row r="4931" spans="1:23">
      <c r="A4931" t="s">
        <v>199</v>
      </c>
      <c r="B4931" t="s">
        <v>217</v>
      </c>
      <c r="C4931">
        <v>812</v>
      </c>
      <c r="D4931" t="s">
        <v>194</v>
      </c>
      <c r="E4931">
        <v>2671</v>
      </c>
      <c r="F4931" s="3">
        <v>1.1000000000000001E-3</v>
      </c>
      <c r="G4931" s="3">
        <v>3.8E-3</v>
      </c>
      <c r="H4931" s="3">
        <v>2.2000000000000001E-3</v>
      </c>
      <c r="I4931" s="3">
        <v>4.7199999999999999E-2</v>
      </c>
      <c r="J4931" s="3">
        <v>2.7000000000000001E-3</v>
      </c>
      <c r="K4931" s="3">
        <v>0.28789999999999999</v>
      </c>
      <c r="L4931" s="3">
        <v>4.0000000000000002E-4</v>
      </c>
      <c r="M4931" s="3">
        <v>4.0000000000000002E-4</v>
      </c>
      <c r="N4931" s="3">
        <v>1.72E-2</v>
      </c>
      <c r="O4931" s="3">
        <v>2.7900000000000001E-2</v>
      </c>
      <c r="P4931" s="3">
        <v>1.4E-2</v>
      </c>
      <c r="Q4931" s="3">
        <v>4.3099999999999999E-2</v>
      </c>
      <c r="R4931" s="3">
        <v>5.7500000000000002E-2</v>
      </c>
      <c r="S4931" s="3">
        <v>4.3E-3</v>
      </c>
      <c r="T4931" s="3">
        <v>1.54E-2</v>
      </c>
      <c r="U4931" s="3">
        <v>0.52390000000000003</v>
      </c>
      <c r="V4931" s="3">
        <v>0.61460000000000004</v>
      </c>
    </row>
    <row r="4932" spans="1:23">
      <c r="A4932" t="s">
        <v>199</v>
      </c>
      <c r="B4932" t="s">
        <v>219</v>
      </c>
      <c r="C4932">
        <v>449</v>
      </c>
      <c r="D4932" t="s">
        <v>194</v>
      </c>
      <c r="E4932">
        <v>2671</v>
      </c>
      <c r="I4932" s="3">
        <v>0.1459</v>
      </c>
      <c r="J4932" s="3">
        <v>1E-4</v>
      </c>
      <c r="K4932" s="3">
        <v>0.23719999999999999</v>
      </c>
      <c r="L4932" s="3">
        <v>4.4000000000000003E-3</v>
      </c>
      <c r="N4932" s="3">
        <v>2.06E-2</v>
      </c>
      <c r="O4932" s="3">
        <v>1.14E-2</v>
      </c>
      <c r="P4932" s="3">
        <v>4.0000000000000001E-3</v>
      </c>
      <c r="Q4932" s="3">
        <v>4.3900000000000002E-2</v>
      </c>
      <c r="R4932" s="3">
        <v>5.6899999999999999E-2</v>
      </c>
      <c r="S4932" s="3">
        <v>4.7999999999999996E-3</v>
      </c>
      <c r="T4932" s="3">
        <v>1.66E-2</v>
      </c>
      <c r="U4932" s="3">
        <v>0.44350000000000001</v>
      </c>
      <c r="V4932" s="3">
        <v>0.55200000000000005</v>
      </c>
    </row>
    <row r="4933" spans="1:23">
      <c r="A4933" t="s">
        <v>199</v>
      </c>
      <c r="B4933" t="s">
        <v>220</v>
      </c>
      <c r="C4933">
        <v>223</v>
      </c>
      <c r="D4933" t="s">
        <v>194</v>
      </c>
      <c r="E4933">
        <v>2671</v>
      </c>
      <c r="I4933" s="3">
        <v>9.5600000000000004E-2</v>
      </c>
      <c r="K4933" s="3">
        <v>0.33589999999999998</v>
      </c>
      <c r="L4933" s="3">
        <v>6.7000000000000002E-3</v>
      </c>
      <c r="N4933" s="3">
        <v>3.0999999999999999E-3</v>
      </c>
      <c r="O4933" s="3">
        <v>1.9099999999999999E-2</v>
      </c>
      <c r="P4933" s="3">
        <v>1.4E-3</v>
      </c>
      <c r="Q4933" s="3">
        <v>3.5000000000000003E-2</v>
      </c>
      <c r="R4933" s="3">
        <v>4.2099999999999999E-2</v>
      </c>
      <c r="S4933" s="3">
        <v>2.0999999999999999E-3</v>
      </c>
      <c r="T4933" s="3">
        <v>3.44E-2</v>
      </c>
      <c r="U4933" s="3">
        <v>0.42759999999999998</v>
      </c>
      <c r="V4933" s="3">
        <v>0.49809999999999999</v>
      </c>
    </row>
    <row r="4934" spans="1:23">
      <c r="A4934" t="s">
        <v>200</v>
      </c>
      <c r="B4934" t="s">
        <v>200</v>
      </c>
      <c r="C4934">
        <v>2671</v>
      </c>
      <c r="D4934" t="s">
        <v>200</v>
      </c>
      <c r="E4934">
        <v>2671</v>
      </c>
      <c r="F4934" s="3">
        <v>4.0000000000000002E-4</v>
      </c>
      <c r="G4934" s="3">
        <v>1.2999999999999999E-3</v>
      </c>
      <c r="H4934" s="3">
        <v>1.9E-3</v>
      </c>
      <c r="I4934" s="3">
        <v>0.1074</v>
      </c>
      <c r="J4934" s="3">
        <v>1.1999999999999999E-3</v>
      </c>
      <c r="K4934" s="3">
        <v>0.28920000000000001</v>
      </c>
      <c r="L4934" s="3">
        <v>1.2999999999999999E-3</v>
      </c>
      <c r="M4934" s="3">
        <v>2.9999999999999997E-4</v>
      </c>
      <c r="N4934" s="3">
        <v>1.18E-2</v>
      </c>
      <c r="O4934" s="3">
        <v>1.7100000000000001E-2</v>
      </c>
      <c r="P4934" s="3">
        <v>6.8999999999999999E-3</v>
      </c>
      <c r="Q4934" s="3">
        <v>3.5799999999999998E-2</v>
      </c>
      <c r="R4934" s="3">
        <v>4.6699999999999998E-2</v>
      </c>
      <c r="S4934" s="3">
        <v>2.8E-3</v>
      </c>
      <c r="T4934" s="3">
        <v>1.0800000000000001E-2</v>
      </c>
      <c r="U4934" s="3">
        <v>0.49180000000000001</v>
      </c>
      <c r="V4934" s="3">
        <v>0.54010000000000002</v>
      </c>
    </row>
    <row r="4936" spans="1:23" ht="45">
      <c r="A4936" s="22" t="s">
        <v>1170</v>
      </c>
    </row>
    <row r="4937" spans="1:23">
      <c r="A4937" t="s">
        <v>185</v>
      </c>
      <c r="B4937" t="s">
        <v>186</v>
      </c>
      <c r="C4937" t="s">
        <v>192</v>
      </c>
      <c r="D4937" t="s">
        <v>184</v>
      </c>
      <c r="E4937" t="s">
        <v>193</v>
      </c>
      <c r="F4937" t="s">
        <v>1171</v>
      </c>
      <c r="G4937" t="s">
        <v>1172</v>
      </c>
      <c r="H4937" t="s">
        <v>1173</v>
      </c>
      <c r="I4937" t="s">
        <v>257</v>
      </c>
      <c r="J4937" t="s">
        <v>1174</v>
      </c>
      <c r="K4937" t="s">
        <v>1175</v>
      </c>
      <c r="L4937" t="s">
        <v>1176</v>
      </c>
      <c r="M4937" t="s">
        <v>1177</v>
      </c>
      <c r="N4937" t="s">
        <v>1178</v>
      </c>
      <c r="O4937" t="s">
        <v>1179</v>
      </c>
      <c r="P4937" t="s">
        <v>1180</v>
      </c>
      <c r="Q4937" t="s">
        <v>1181</v>
      </c>
      <c r="R4937" t="s">
        <v>1182</v>
      </c>
      <c r="S4937" t="s">
        <v>329</v>
      </c>
      <c r="T4937" t="s">
        <v>274</v>
      </c>
      <c r="U4937" t="s">
        <v>247</v>
      </c>
      <c r="V4937" t="s">
        <v>1183</v>
      </c>
      <c r="W4937" t="s">
        <v>1184</v>
      </c>
    </row>
    <row r="4938" spans="1:23">
      <c r="A4938" t="s">
        <v>195</v>
      </c>
      <c r="B4938" t="s">
        <v>196</v>
      </c>
      <c r="C4938">
        <v>413</v>
      </c>
      <c r="D4938" t="s">
        <v>194</v>
      </c>
      <c r="E4938">
        <v>2662</v>
      </c>
      <c r="F4938" s="3">
        <v>5.11E-2</v>
      </c>
      <c r="G4938" s="3">
        <v>0.20780000000000001</v>
      </c>
      <c r="H4938" s="3">
        <v>0.191</v>
      </c>
      <c r="I4938" s="3">
        <v>1.15E-2</v>
      </c>
      <c r="J4938" s="3">
        <v>0.16589999999999999</v>
      </c>
      <c r="K4938" s="3">
        <v>2.07E-2</v>
      </c>
      <c r="L4938" s="3">
        <v>3.1899999999999998E-2</v>
      </c>
      <c r="M4938" s="3">
        <v>1.8200000000000001E-2</v>
      </c>
      <c r="N4938" s="3">
        <v>1.5900000000000001E-2</v>
      </c>
      <c r="O4938" s="3">
        <v>2.3900000000000001E-2</v>
      </c>
      <c r="P4938" s="3">
        <v>5.6599999999999998E-2</v>
      </c>
      <c r="Q4938" s="3">
        <v>0.1081</v>
      </c>
      <c r="R4938" s="3">
        <v>2.8999999999999998E-3</v>
      </c>
      <c r="S4938" s="3">
        <v>0.39129999999999998</v>
      </c>
      <c r="U4938" s="3">
        <v>8.3999999999999995E-3</v>
      </c>
      <c r="V4938" s="3">
        <v>3.2800000000000003E-2</v>
      </c>
      <c r="W4938" s="3">
        <v>8.9999999999999998E-4</v>
      </c>
    </row>
    <row r="4939" spans="1:23">
      <c r="A4939" t="s">
        <v>195</v>
      </c>
      <c r="B4939" t="s">
        <v>198</v>
      </c>
      <c r="C4939">
        <v>750</v>
      </c>
      <c r="D4939" t="s">
        <v>194</v>
      </c>
      <c r="E4939">
        <v>2662</v>
      </c>
      <c r="F4939" s="3">
        <v>4.5999999999999999E-2</v>
      </c>
      <c r="G4939" s="3">
        <v>0.1744</v>
      </c>
      <c r="H4939" s="3">
        <v>0.28820000000000001</v>
      </c>
      <c r="I4939" s="3">
        <v>5.0000000000000001E-4</v>
      </c>
      <c r="J4939" s="3">
        <v>0.15010000000000001</v>
      </c>
      <c r="K4939" s="3">
        <v>3.04E-2</v>
      </c>
      <c r="L4939" s="3">
        <v>2.6599999999999999E-2</v>
      </c>
      <c r="M4939" s="3">
        <v>1.4999999999999999E-2</v>
      </c>
      <c r="N4939" s="3">
        <v>1.01E-2</v>
      </c>
      <c r="O4939" s="3">
        <v>8.0000000000000002E-3</v>
      </c>
      <c r="P4939" s="3">
        <v>3.6299999999999999E-2</v>
      </c>
      <c r="Q4939" s="3">
        <v>9.7299999999999998E-2</v>
      </c>
      <c r="R4939" s="3">
        <v>1.66E-2</v>
      </c>
      <c r="S4939" s="3">
        <v>0.3579</v>
      </c>
      <c r="T4939" s="3">
        <v>1E-3</v>
      </c>
      <c r="U4939" s="3">
        <v>7.4000000000000003E-3</v>
      </c>
      <c r="V4939" s="3">
        <v>5.8799999999999998E-2</v>
      </c>
    </row>
    <row r="4940" spans="1:23">
      <c r="A4940" t="s">
        <v>199</v>
      </c>
      <c r="B4940" t="s">
        <v>196</v>
      </c>
      <c r="C4940">
        <v>521</v>
      </c>
      <c r="D4940" t="s">
        <v>194</v>
      </c>
      <c r="E4940">
        <v>2662</v>
      </c>
      <c r="F4940" s="3">
        <v>4.1099999999999998E-2</v>
      </c>
      <c r="G4940" s="3">
        <v>7.7799999999999994E-2</v>
      </c>
      <c r="H4940" s="3">
        <v>2.24E-2</v>
      </c>
      <c r="I4940" s="3">
        <v>1.8E-3</v>
      </c>
      <c r="J4940" s="3">
        <v>2.9999999999999997E-4</v>
      </c>
      <c r="K4940" s="3">
        <v>2.9999999999999997E-4</v>
      </c>
      <c r="L4940" s="3">
        <v>1E-3</v>
      </c>
      <c r="M4940" s="3">
        <v>1.8599999999999998E-2</v>
      </c>
      <c r="N4940" s="3">
        <v>9.7000000000000003E-3</v>
      </c>
      <c r="O4940" s="3">
        <v>2.8999999999999998E-3</v>
      </c>
      <c r="P4940" s="3">
        <v>3.0000000000000001E-3</v>
      </c>
      <c r="Q4940" s="3">
        <v>1.9400000000000001E-2</v>
      </c>
      <c r="S4940" s="3">
        <v>0.8669</v>
      </c>
      <c r="U4940" s="3">
        <v>1E-4</v>
      </c>
      <c r="V4940" s="3">
        <v>4.0000000000000002E-4</v>
      </c>
      <c r="W4940" s="3">
        <v>2.0000000000000001E-4</v>
      </c>
    </row>
    <row r="4941" spans="1:23">
      <c r="A4941" t="s">
        <v>199</v>
      </c>
      <c r="B4941" t="s">
        <v>198</v>
      </c>
      <c r="C4941">
        <v>939</v>
      </c>
      <c r="D4941" t="s">
        <v>194</v>
      </c>
      <c r="E4941">
        <v>2662</v>
      </c>
      <c r="F4941" s="3">
        <v>1.23E-2</v>
      </c>
      <c r="G4941" s="3">
        <v>2.7E-2</v>
      </c>
      <c r="H4941" s="3">
        <v>1.15E-2</v>
      </c>
      <c r="I4941" s="3">
        <v>5.5999999999999999E-3</v>
      </c>
      <c r="J4941" s="3">
        <v>6.7999999999999996E-3</v>
      </c>
      <c r="K4941" s="3">
        <v>6.0000000000000001E-3</v>
      </c>
      <c r="L4941" s="3">
        <v>1.6000000000000001E-3</v>
      </c>
      <c r="M4941" s="3">
        <v>2.3999999999999998E-3</v>
      </c>
      <c r="N4941" s="3">
        <v>6.8999999999999999E-3</v>
      </c>
      <c r="O4941" s="3">
        <v>1.6000000000000001E-3</v>
      </c>
      <c r="P4941" s="3">
        <v>1.2999999999999999E-3</v>
      </c>
      <c r="Q4941" s="3">
        <v>4.5999999999999999E-3</v>
      </c>
      <c r="R4941" s="3">
        <v>1.6999999999999999E-3</v>
      </c>
      <c r="S4941" s="3">
        <v>0.92110000000000003</v>
      </c>
      <c r="T4941" s="3">
        <v>6.9999999999999999E-4</v>
      </c>
      <c r="U4941" s="3">
        <v>6.3E-3</v>
      </c>
      <c r="V4941" s="3">
        <v>2.5999999999999999E-3</v>
      </c>
      <c r="W4941" s="3">
        <v>9.4000000000000004E-3</v>
      </c>
    </row>
    <row r="4942" spans="1:23">
      <c r="A4942" t="s">
        <v>200</v>
      </c>
      <c r="B4942" t="s">
        <v>200</v>
      </c>
      <c r="C4942">
        <v>2662</v>
      </c>
      <c r="D4942" t="s">
        <v>200</v>
      </c>
      <c r="E4942">
        <v>2662</v>
      </c>
      <c r="F4942" s="3">
        <v>3.1199999999999999E-2</v>
      </c>
      <c r="G4942" s="3">
        <v>0.1016</v>
      </c>
      <c r="H4942" s="3">
        <v>0.12330000000000001</v>
      </c>
      <c r="I4942" s="3">
        <v>4.3E-3</v>
      </c>
      <c r="J4942" s="3">
        <v>7.1099999999999997E-2</v>
      </c>
      <c r="K4942" s="3">
        <v>1.4999999999999999E-2</v>
      </c>
      <c r="L4942" s="3">
        <v>1.3100000000000001E-2</v>
      </c>
      <c r="M4942" s="3">
        <v>0.01</v>
      </c>
      <c r="N4942" s="3">
        <v>9.2999999999999992E-3</v>
      </c>
      <c r="O4942" s="3">
        <v>6.4000000000000003E-3</v>
      </c>
      <c r="P4942" s="3">
        <v>1.9300000000000001E-2</v>
      </c>
      <c r="Q4942" s="3">
        <v>4.82E-2</v>
      </c>
      <c r="R4942" s="3">
        <v>6.4999999999999997E-3</v>
      </c>
      <c r="S4942" s="3">
        <v>0.67079999999999995</v>
      </c>
      <c r="T4942" s="3">
        <v>5.9999999999999995E-4</v>
      </c>
      <c r="U4942" s="3">
        <v>6.1999999999999998E-3</v>
      </c>
      <c r="V4942" s="3">
        <v>2.4E-2</v>
      </c>
      <c r="W4942" s="3">
        <v>4.4000000000000003E-3</v>
      </c>
    </row>
    <row r="4944" spans="1:23" ht="45">
      <c r="A4944" s="22" t="s">
        <v>1185</v>
      </c>
    </row>
    <row r="4945" spans="1:23">
      <c r="A4945" t="s">
        <v>185</v>
      </c>
      <c r="B4945" t="s">
        <v>186</v>
      </c>
      <c r="C4945" t="s">
        <v>192</v>
      </c>
      <c r="D4945" t="s">
        <v>184</v>
      </c>
      <c r="E4945" t="s">
        <v>193</v>
      </c>
      <c r="F4945" t="s">
        <v>1171</v>
      </c>
      <c r="G4945" t="s">
        <v>1172</v>
      </c>
      <c r="H4945" t="s">
        <v>1173</v>
      </c>
      <c r="I4945" t="s">
        <v>257</v>
      </c>
      <c r="J4945" t="s">
        <v>1174</v>
      </c>
      <c r="K4945" t="s">
        <v>1175</v>
      </c>
      <c r="L4945" t="s">
        <v>1176</v>
      </c>
      <c r="M4945" t="s">
        <v>1177</v>
      </c>
      <c r="N4945" t="s">
        <v>1178</v>
      </c>
      <c r="O4945" t="s">
        <v>1179</v>
      </c>
      <c r="P4945" t="s">
        <v>1180</v>
      </c>
      <c r="Q4945" t="s">
        <v>1181</v>
      </c>
      <c r="R4945" t="s">
        <v>1182</v>
      </c>
      <c r="S4945" t="s">
        <v>329</v>
      </c>
      <c r="T4945" t="s">
        <v>274</v>
      </c>
      <c r="U4945" t="s">
        <v>247</v>
      </c>
      <c r="V4945" t="s">
        <v>1183</v>
      </c>
      <c r="W4945" t="s">
        <v>1184</v>
      </c>
    </row>
    <row r="4946" spans="1:23">
      <c r="A4946" t="s">
        <v>195</v>
      </c>
      <c r="B4946" t="s">
        <v>202</v>
      </c>
      <c r="C4946">
        <v>530</v>
      </c>
      <c r="D4946" t="s">
        <v>194</v>
      </c>
      <c r="E4946">
        <v>2662</v>
      </c>
      <c r="F4946" s="3">
        <v>4.4999999999999998E-2</v>
      </c>
      <c r="G4946" s="3">
        <v>0.1767</v>
      </c>
      <c r="H4946" s="3">
        <v>0.28520000000000001</v>
      </c>
      <c r="I4946" s="3">
        <v>4.0000000000000001E-3</v>
      </c>
      <c r="J4946" s="3">
        <v>0.14910000000000001</v>
      </c>
      <c r="K4946" s="3">
        <v>1.54E-2</v>
      </c>
      <c r="L4946" s="3">
        <v>1.5599999999999999E-2</v>
      </c>
      <c r="M4946" s="3">
        <v>1.34E-2</v>
      </c>
      <c r="N4946" s="3">
        <v>8.2000000000000007E-3</v>
      </c>
      <c r="O4946" s="3">
        <v>1.5599999999999999E-2</v>
      </c>
      <c r="P4946" s="3">
        <v>3.7400000000000003E-2</v>
      </c>
      <c r="Q4946" s="3">
        <v>0.1009</v>
      </c>
      <c r="R4946" s="3">
        <v>1.41E-2</v>
      </c>
      <c r="S4946" s="3">
        <v>0.36170000000000002</v>
      </c>
      <c r="U4946" s="3">
        <v>3.0000000000000001E-3</v>
      </c>
      <c r="V4946" s="3">
        <v>4.99E-2</v>
      </c>
    </row>
    <row r="4947" spans="1:23">
      <c r="A4947" t="s">
        <v>195</v>
      </c>
      <c r="B4947" t="s">
        <v>204</v>
      </c>
      <c r="C4947">
        <v>301</v>
      </c>
      <c r="D4947" t="s">
        <v>194</v>
      </c>
      <c r="E4947">
        <v>2662</v>
      </c>
      <c r="F4947" s="3">
        <v>3.9800000000000002E-2</v>
      </c>
      <c r="G4947" s="3">
        <v>0.1671</v>
      </c>
      <c r="H4947" s="3">
        <v>0.2445</v>
      </c>
      <c r="I4947" s="3">
        <v>4.4000000000000003E-3</v>
      </c>
      <c r="J4947" s="3">
        <v>0.13980000000000001</v>
      </c>
      <c r="K4947" s="3">
        <v>3.7499999999999999E-2</v>
      </c>
      <c r="L4947" s="3">
        <v>7.2099999999999997E-2</v>
      </c>
      <c r="M4947" s="3">
        <v>0.03</v>
      </c>
      <c r="N4947" s="3">
        <v>2.29E-2</v>
      </c>
      <c r="O4947" s="3">
        <v>5.1000000000000004E-3</v>
      </c>
      <c r="P4947" s="3">
        <v>2.18E-2</v>
      </c>
      <c r="Q4947" s="3">
        <v>0.1099</v>
      </c>
      <c r="R4947" s="3">
        <v>1.7299999999999999E-2</v>
      </c>
      <c r="S4947" s="3">
        <v>0.37209999999999999</v>
      </c>
      <c r="U4947" s="3">
        <v>2.4E-2</v>
      </c>
      <c r="V4947" s="3">
        <v>6.0400000000000002E-2</v>
      </c>
      <c r="W4947" s="3">
        <v>1.1000000000000001E-3</v>
      </c>
    </row>
    <row r="4948" spans="1:23">
      <c r="A4948" t="s">
        <v>195</v>
      </c>
      <c r="B4948" t="s">
        <v>205</v>
      </c>
      <c r="C4948">
        <v>332</v>
      </c>
      <c r="D4948" t="s">
        <v>194</v>
      </c>
      <c r="E4948">
        <v>2662</v>
      </c>
      <c r="F4948" s="3">
        <v>7.0699999999999999E-2</v>
      </c>
      <c r="G4948" s="3">
        <v>0.2414</v>
      </c>
      <c r="H4948" s="3">
        <v>0.17929999999999999</v>
      </c>
      <c r="J4948" s="3">
        <v>0.2024</v>
      </c>
      <c r="K4948" s="3">
        <v>7.1300000000000002E-2</v>
      </c>
      <c r="L4948" s="3">
        <v>1.66E-2</v>
      </c>
      <c r="M4948" s="3">
        <v>5.1999999999999998E-3</v>
      </c>
      <c r="N4948" s="3">
        <v>1.04E-2</v>
      </c>
      <c r="O4948" s="3">
        <v>7.6E-3</v>
      </c>
      <c r="P4948" s="3">
        <v>9.4200000000000006E-2</v>
      </c>
      <c r="Q4948" s="3">
        <v>8.1699999999999995E-2</v>
      </c>
      <c r="R4948" s="3">
        <v>5.9999999999999995E-4</v>
      </c>
      <c r="S4948" s="3">
        <v>0.38340000000000002</v>
      </c>
      <c r="T4948" s="3">
        <v>5.1999999999999998E-3</v>
      </c>
      <c r="U4948" s="3">
        <v>4.1000000000000003E-3</v>
      </c>
      <c r="V4948" s="3">
        <v>4.7E-2</v>
      </c>
    </row>
    <row r="4949" spans="1:23">
      <c r="A4949" t="s">
        <v>199</v>
      </c>
      <c r="B4949" t="s">
        <v>202</v>
      </c>
      <c r="C4949">
        <v>536</v>
      </c>
      <c r="D4949" t="s">
        <v>194</v>
      </c>
      <c r="E4949">
        <v>2662</v>
      </c>
      <c r="F4949" s="3">
        <v>0.01</v>
      </c>
      <c r="G4949" s="3">
        <v>1.3599999999999999E-2</v>
      </c>
      <c r="H4949" s="3">
        <v>1.46E-2</v>
      </c>
      <c r="I4949" s="3">
        <v>6.1000000000000004E-3</v>
      </c>
      <c r="J4949" s="3">
        <v>7.7000000000000002E-3</v>
      </c>
      <c r="K4949" s="3">
        <v>7.7000000000000002E-3</v>
      </c>
      <c r="L4949" s="3">
        <v>1.6999999999999999E-3</v>
      </c>
      <c r="M4949" s="3">
        <v>3.7000000000000002E-3</v>
      </c>
      <c r="N4949" s="3">
        <v>9.1999999999999998E-3</v>
      </c>
      <c r="O4949" s="3">
        <v>2E-3</v>
      </c>
      <c r="P4949" s="3">
        <v>1.6999999999999999E-3</v>
      </c>
      <c r="Q4949" s="3">
        <v>8.8000000000000005E-3</v>
      </c>
      <c r="R4949" s="3">
        <v>1.5E-3</v>
      </c>
      <c r="S4949" s="3">
        <v>0.92420000000000002</v>
      </c>
      <c r="U4949" s="3">
        <v>7.7000000000000002E-3</v>
      </c>
      <c r="V4949" s="3">
        <v>3.3E-3</v>
      </c>
      <c r="W4949" s="3">
        <v>8.9999999999999993E-3</v>
      </c>
    </row>
    <row r="4950" spans="1:23">
      <c r="A4950" t="s">
        <v>199</v>
      </c>
      <c r="B4950" t="s">
        <v>204</v>
      </c>
      <c r="C4950">
        <v>424</v>
      </c>
      <c r="D4950" t="s">
        <v>194</v>
      </c>
      <c r="E4950">
        <v>2662</v>
      </c>
      <c r="F4950" s="3">
        <v>1.0999999999999999E-2</v>
      </c>
      <c r="G4950" s="3">
        <v>4.3299999999999998E-2</v>
      </c>
      <c r="H4950" s="3">
        <v>3.8999999999999998E-3</v>
      </c>
      <c r="I4950" s="3">
        <v>1.1999999999999999E-3</v>
      </c>
      <c r="J4950" s="3">
        <v>2.0000000000000001E-4</v>
      </c>
      <c r="L4950" s="3">
        <v>1.5E-3</v>
      </c>
      <c r="M4950" s="3">
        <v>4.4999999999999997E-3</v>
      </c>
      <c r="N4950" s="3">
        <v>4.4000000000000003E-3</v>
      </c>
      <c r="O4950" s="3">
        <v>1.6000000000000001E-3</v>
      </c>
      <c r="P4950" s="3">
        <v>1.1000000000000001E-3</v>
      </c>
      <c r="Q4950" s="3">
        <v>5.7000000000000002E-3</v>
      </c>
      <c r="R4950" s="3">
        <v>1.1999999999999999E-3</v>
      </c>
      <c r="S4950" s="3">
        <v>0.94179999999999997</v>
      </c>
      <c r="T4950" s="3">
        <v>5.9999999999999995E-4</v>
      </c>
      <c r="U4950" s="3">
        <v>1.1000000000000001E-3</v>
      </c>
      <c r="V4950" s="3">
        <v>2.9999999999999997E-4</v>
      </c>
    </row>
    <row r="4951" spans="1:23">
      <c r="A4951" t="s">
        <v>199</v>
      </c>
      <c r="B4951" t="s">
        <v>205</v>
      </c>
      <c r="C4951">
        <v>500</v>
      </c>
      <c r="D4951" t="s">
        <v>194</v>
      </c>
      <c r="E4951">
        <v>2662</v>
      </c>
      <c r="F4951" s="3">
        <v>5.3800000000000001E-2</v>
      </c>
      <c r="G4951" s="3">
        <v>0.1148</v>
      </c>
      <c r="H4951" s="3">
        <v>2.07E-2</v>
      </c>
      <c r="I4951" s="3">
        <v>4.4999999999999997E-3</v>
      </c>
      <c r="J4951" s="3">
        <v>3.7000000000000002E-3</v>
      </c>
      <c r="K4951" s="3">
        <v>4.0000000000000002E-4</v>
      </c>
      <c r="L4951" s="3">
        <v>6.9999999999999999E-4</v>
      </c>
      <c r="M4951" s="3">
        <v>1.29E-2</v>
      </c>
      <c r="N4951" s="3">
        <v>3.8E-3</v>
      </c>
      <c r="O4951" s="3">
        <v>1.4E-3</v>
      </c>
      <c r="P4951" s="3">
        <v>2E-3</v>
      </c>
      <c r="Q4951" s="3">
        <v>3.7000000000000002E-3</v>
      </c>
      <c r="R4951" s="3">
        <v>1.5E-3</v>
      </c>
      <c r="S4951" s="3">
        <v>0.82630000000000003</v>
      </c>
      <c r="T4951" s="3">
        <v>2.5000000000000001E-3</v>
      </c>
      <c r="U4951" s="3">
        <v>1E-4</v>
      </c>
      <c r="W4951" s="3">
        <v>1.17E-2</v>
      </c>
    </row>
    <row r="4952" spans="1:23">
      <c r="A4952" t="s">
        <v>200</v>
      </c>
      <c r="B4952" t="s">
        <v>200</v>
      </c>
      <c r="C4952">
        <v>2662</v>
      </c>
      <c r="D4952" t="s">
        <v>200</v>
      </c>
      <c r="E4952">
        <v>2662</v>
      </c>
      <c r="F4952" s="3">
        <v>3.1199999999999999E-2</v>
      </c>
      <c r="G4952" s="3">
        <v>0.1016</v>
      </c>
      <c r="H4952" s="3">
        <v>0.12330000000000001</v>
      </c>
      <c r="I4952" s="3">
        <v>4.3E-3</v>
      </c>
      <c r="J4952" s="3">
        <v>7.1099999999999997E-2</v>
      </c>
      <c r="K4952" s="3">
        <v>1.4999999999999999E-2</v>
      </c>
      <c r="L4952" s="3">
        <v>1.3100000000000001E-2</v>
      </c>
      <c r="M4952" s="3">
        <v>0.01</v>
      </c>
      <c r="N4952" s="3">
        <v>9.2999999999999992E-3</v>
      </c>
      <c r="O4952" s="3">
        <v>6.4000000000000003E-3</v>
      </c>
      <c r="P4952" s="3">
        <v>1.9300000000000001E-2</v>
      </c>
      <c r="Q4952" s="3">
        <v>4.82E-2</v>
      </c>
      <c r="R4952" s="3">
        <v>6.4999999999999997E-3</v>
      </c>
      <c r="S4952" s="3">
        <v>0.67079999999999995</v>
      </c>
      <c r="T4952" s="3">
        <v>5.9999999999999995E-4</v>
      </c>
      <c r="U4952" s="3">
        <v>6.1999999999999998E-3</v>
      </c>
      <c r="V4952" s="3">
        <v>2.4E-2</v>
      </c>
      <c r="W4952" s="3">
        <v>4.4000000000000003E-3</v>
      </c>
    </row>
    <row r="4954" spans="1:23" ht="45">
      <c r="A4954" s="22" t="s">
        <v>1186</v>
      </c>
    </row>
    <row r="4955" spans="1:23">
      <c r="A4955" t="s">
        <v>185</v>
      </c>
      <c r="B4955" t="s">
        <v>186</v>
      </c>
      <c r="C4955" t="s">
        <v>192</v>
      </c>
      <c r="D4955" t="s">
        <v>184</v>
      </c>
      <c r="E4955" t="s">
        <v>193</v>
      </c>
      <c r="F4955" t="s">
        <v>1171</v>
      </c>
      <c r="G4955" t="s">
        <v>1172</v>
      </c>
      <c r="H4955" t="s">
        <v>1173</v>
      </c>
      <c r="I4955" t="s">
        <v>257</v>
      </c>
      <c r="J4955" t="s">
        <v>1174</v>
      </c>
      <c r="K4955" t="s">
        <v>1175</v>
      </c>
      <c r="L4955" t="s">
        <v>1176</v>
      </c>
      <c r="M4955" t="s">
        <v>1177</v>
      </c>
      <c r="N4955" t="s">
        <v>1178</v>
      </c>
      <c r="O4955" t="s">
        <v>1179</v>
      </c>
      <c r="P4955" t="s">
        <v>1180</v>
      </c>
      <c r="Q4955" t="s">
        <v>1181</v>
      </c>
      <c r="R4955" t="s">
        <v>1182</v>
      </c>
      <c r="S4955" t="s">
        <v>329</v>
      </c>
      <c r="T4955" t="s">
        <v>274</v>
      </c>
      <c r="U4955" t="s">
        <v>247</v>
      </c>
      <c r="V4955" t="s">
        <v>1183</v>
      </c>
      <c r="W4955" t="s">
        <v>1184</v>
      </c>
    </row>
    <row r="4956" spans="1:23">
      <c r="A4956" t="s">
        <v>195</v>
      </c>
      <c r="B4956" t="s">
        <v>207</v>
      </c>
      <c r="C4956">
        <v>319</v>
      </c>
      <c r="D4956" t="s">
        <v>194</v>
      </c>
      <c r="E4956">
        <v>2662</v>
      </c>
      <c r="F4956" s="3">
        <v>6.2199999999999998E-2</v>
      </c>
      <c r="G4956" s="3">
        <v>0.19739999999999999</v>
      </c>
      <c r="H4956" s="3">
        <v>0.25650000000000001</v>
      </c>
      <c r="I4956" s="3">
        <v>3.0999999999999999E-3</v>
      </c>
      <c r="J4956" s="3">
        <v>0.16209999999999999</v>
      </c>
      <c r="K4956" s="3">
        <v>3.3000000000000002E-2</v>
      </c>
      <c r="L4956" s="3">
        <v>2.92E-2</v>
      </c>
      <c r="M4956" s="3">
        <v>1.2800000000000001E-2</v>
      </c>
      <c r="N4956" s="3">
        <v>4.4999999999999997E-3</v>
      </c>
      <c r="O4956" s="3">
        <v>1.15E-2</v>
      </c>
      <c r="P4956" s="3">
        <v>5.3699999999999998E-2</v>
      </c>
      <c r="Q4956" s="3">
        <v>0.10290000000000001</v>
      </c>
      <c r="R4956" s="3">
        <v>2.0999999999999999E-3</v>
      </c>
      <c r="S4956" s="3">
        <v>0.33310000000000001</v>
      </c>
      <c r="T4956" s="3">
        <v>2.9999999999999997E-4</v>
      </c>
      <c r="U4956" s="3">
        <v>3.5999999999999999E-3</v>
      </c>
      <c r="V4956" s="3">
        <v>8.8900000000000007E-2</v>
      </c>
    </row>
    <row r="4957" spans="1:23">
      <c r="A4957" t="s">
        <v>195</v>
      </c>
      <c r="B4957" t="s">
        <v>209</v>
      </c>
      <c r="C4957">
        <v>865</v>
      </c>
      <c r="D4957" t="s">
        <v>194</v>
      </c>
      <c r="E4957">
        <v>2662</v>
      </c>
      <c r="F4957" s="3">
        <v>4.3700000000000003E-2</v>
      </c>
      <c r="G4957" s="3">
        <v>0.1792</v>
      </c>
      <c r="H4957" s="3">
        <v>0.26379999999999998</v>
      </c>
      <c r="I4957" s="3">
        <v>3.5999999999999999E-3</v>
      </c>
      <c r="J4957" s="3">
        <v>0.15090000000000001</v>
      </c>
      <c r="K4957" s="3">
        <v>2.5899999999999999E-2</v>
      </c>
      <c r="L4957" s="3">
        <v>2.7400000000000001E-2</v>
      </c>
      <c r="M4957" s="3">
        <v>1.6799999999999999E-2</v>
      </c>
      <c r="N4957" s="3">
        <v>1.41E-2</v>
      </c>
      <c r="O4957" s="3">
        <v>1.24E-2</v>
      </c>
      <c r="P4957" s="3">
        <v>3.7499999999999999E-2</v>
      </c>
      <c r="Q4957" s="3">
        <v>9.8699999999999996E-2</v>
      </c>
      <c r="R4957" s="3">
        <v>1.66E-2</v>
      </c>
      <c r="S4957" s="3">
        <v>0.37930000000000003</v>
      </c>
      <c r="T4957" s="3">
        <v>8.0000000000000004E-4</v>
      </c>
      <c r="U4957" s="3">
        <v>8.9999999999999993E-3</v>
      </c>
      <c r="V4957" s="3">
        <v>3.8600000000000002E-2</v>
      </c>
      <c r="W4957" s="3">
        <v>2.9999999999999997E-4</v>
      </c>
    </row>
    <row r="4958" spans="1:23">
      <c r="A4958" t="s">
        <v>199</v>
      </c>
      <c r="B4958" t="s">
        <v>207</v>
      </c>
      <c r="C4958">
        <v>283</v>
      </c>
      <c r="D4958" t="s">
        <v>194</v>
      </c>
      <c r="E4958">
        <v>2662</v>
      </c>
      <c r="F4958" s="3">
        <v>3.4599999999999999E-2</v>
      </c>
      <c r="G4958" s="3">
        <v>6.6199999999999995E-2</v>
      </c>
      <c r="H4958" s="3">
        <v>3.4099999999999998E-2</v>
      </c>
      <c r="I4958" s="3">
        <v>4.1999999999999997E-3</v>
      </c>
      <c r="L4958" s="3">
        <v>1E-3</v>
      </c>
      <c r="M4958" s="3">
        <v>1.0699999999999999E-2</v>
      </c>
      <c r="N4958" s="3">
        <v>5.1000000000000004E-3</v>
      </c>
      <c r="O4958" s="3">
        <v>2.8E-3</v>
      </c>
      <c r="P4958" s="3">
        <v>1.1599999999999999E-2</v>
      </c>
      <c r="Q4958" s="3">
        <v>2.1999999999999999E-2</v>
      </c>
      <c r="S4958" s="3">
        <v>0.80459999999999998</v>
      </c>
      <c r="T4958" s="3">
        <v>1E-3</v>
      </c>
      <c r="V4958" s="3">
        <v>1.7500000000000002E-2</v>
      </c>
      <c r="W4958" s="3">
        <v>4.0500000000000001E-2</v>
      </c>
    </row>
    <row r="4959" spans="1:23">
      <c r="A4959" t="s">
        <v>199</v>
      </c>
      <c r="B4959" t="s">
        <v>209</v>
      </c>
      <c r="C4959">
        <v>1195</v>
      </c>
      <c r="D4959" t="s">
        <v>194</v>
      </c>
      <c r="E4959">
        <v>2662</v>
      </c>
      <c r="F4959" s="3">
        <v>1.5299999999999999E-2</v>
      </c>
      <c r="G4959" s="3">
        <v>3.2399999999999998E-2</v>
      </c>
      <c r="H4959" s="3">
        <v>1.0699999999999999E-2</v>
      </c>
      <c r="I4959" s="3">
        <v>4.8999999999999998E-3</v>
      </c>
      <c r="J4959" s="3">
        <v>6.3E-3</v>
      </c>
      <c r="K4959" s="3">
        <v>5.5999999999999999E-3</v>
      </c>
      <c r="L4959" s="3">
        <v>1.5E-3</v>
      </c>
      <c r="M4959" s="3">
        <v>4.7000000000000002E-3</v>
      </c>
      <c r="N4959" s="3">
        <v>7.7000000000000002E-3</v>
      </c>
      <c r="O4959" s="3">
        <v>1.6999999999999999E-3</v>
      </c>
      <c r="P4959" s="3">
        <v>2.0000000000000001E-4</v>
      </c>
      <c r="Q4959" s="3">
        <v>5.3E-3</v>
      </c>
      <c r="R4959" s="3">
        <v>1.6000000000000001E-3</v>
      </c>
      <c r="S4959" s="3">
        <v>0.92579999999999996</v>
      </c>
      <c r="T4959" s="3">
        <v>5.0000000000000001E-4</v>
      </c>
      <c r="U4959" s="3">
        <v>5.7999999999999996E-3</v>
      </c>
      <c r="V4959" s="3">
        <v>1E-4</v>
      </c>
      <c r="W4959" s="3">
        <v>3.0999999999999999E-3</v>
      </c>
    </row>
    <row r="4960" spans="1:23">
      <c r="A4960" t="s">
        <v>200</v>
      </c>
      <c r="B4960" t="s">
        <v>200</v>
      </c>
      <c r="C4960">
        <v>2662</v>
      </c>
      <c r="D4960" t="s">
        <v>200</v>
      </c>
      <c r="E4960">
        <v>2662</v>
      </c>
      <c r="F4960" s="3">
        <v>3.1199999999999999E-2</v>
      </c>
      <c r="G4960" s="3">
        <v>0.1016</v>
      </c>
      <c r="H4960" s="3">
        <v>0.12330000000000001</v>
      </c>
      <c r="I4960" s="3">
        <v>4.3E-3</v>
      </c>
      <c r="J4960" s="3">
        <v>7.1099999999999997E-2</v>
      </c>
      <c r="K4960" s="3">
        <v>1.4999999999999999E-2</v>
      </c>
      <c r="L4960" s="3">
        <v>1.3100000000000001E-2</v>
      </c>
      <c r="M4960" s="3">
        <v>0.01</v>
      </c>
      <c r="N4960" s="3">
        <v>9.2999999999999992E-3</v>
      </c>
      <c r="O4960" s="3">
        <v>6.4000000000000003E-3</v>
      </c>
      <c r="P4960" s="3">
        <v>1.9300000000000001E-2</v>
      </c>
      <c r="Q4960" s="3">
        <v>4.82E-2</v>
      </c>
      <c r="R4960" s="3">
        <v>6.4999999999999997E-3</v>
      </c>
      <c r="S4960" s="3">
        <v>0.67079999999999995</v>
      </c>
      <c r="T4960" s="3">
        <v>5.9999999999999995E-4</v>
      </c>
      <c r="U4960" s="3">
        <v>6.1999999999999998E-3</v>
      </c>
      <c r="V4960" s="3">
        <v>2.4E-2</v>
      </c>
      <c r="W4960" s="3">
        <v>4.4000000000000003E-3</v>
      </c>
    </row>
    <row r="4962" spans="1:23" ht="45">
      <c r="A4962" s="22" t="s">
        <v>1187</v>
      </c>
    </row>
    <row r="4963" spans="1:23">
      <c r="A4963" t="s">
        <v>185</v>
      </c>
      <c r="B4963" t="s">
        <v>192</v>
      </c>
      <c r="C4963" t="s">
        <v>184</v>
      </c>
      <c r="D4963" t="s">
        <v>193</v>
      </c>
      <c r="E4963" t="s">
        <v>1171</v>
      </c>
      <c r="F4963" t="s">
        <v>1172</v>
      </c>
      <c r="G4963" t="s">
        <v>1173</v>
      </c>
      <c r="H4963" t="s">
        <v>257</v>
      </c>
      <c r="I4963" t="s">
        <v>1174</v>
      </c>
      <c r="J4963" t="s">
        <v>1175</v>
      </c>
      <c r="K4963" t="s">
        <v>1176</v>
      </c>
      <c r="L4963" t="s">
        <v>1177</v>
      </c>
      <c r="M4963" t="s">
        <v>1178</v>
      </c>
      <c r="N4963" t="s">
        <v>1179</v>
      </c>
      <c r="O4963" t="s">
        <v>1180</v>
      </c>
      <c r="P4963" t="s">
        <v>1181</v>
      </c>
      <c r="Q4963" t="s">
        <v>1182</v>
      </c>
      <c r="R4963" t="s">
        <v>329</v>
      </c>
      <c r="S4963" t="s">
        <v>274</v>
      </c>
      <c r="T4963" t="s">
        <v>247</v>
      </c>
      <c r="U4963" t="s">
        <v>1183</v>
      </c>
      <c r="V4963" t="s">
        <v>1184</v>
      </c>
    </row>
    <row r="4964" spans="1:23">
      <c r="A4964" t="s">
        <v>195</v>
      </c>
      <c r="B4964">
        <v>1184</v>
      </c>
      <c r="C4964" t="s">
        <v>194</v>
      </c>
      <c r="D4964">
        <v>2662</v>
      </c>
      <c r="E4964" s="3">
        <v>4.8399999999999999E-2</v>
      </c>
      <c r="F4964" s="3">
        <v>0.18390000000000001</v>
      </c>
      <c r="G4964" s="3">
        <v>0.26190000000000002</v>
      </c>
      <c r="H4964" s="3">
        <v>3.5000000000000001E-3</v>
      </c>
      <c r="I4964" s="3">
        <v>0.15379999999999999</v>
      </c>
      <c r="J4964" s="3">
        <v>2.7699999999999999E-2</v>
      </c>
      <c r="K4964" s="3">
        <v>2.7900000000000001E-2</v>
      </c>
      <c r="L4964" s="3">
        <v>1.5800000000000002E-2</v>
      </c>
      <c r="M4964" s="3">
        <v>1.1599999999999999E-2</v>
      </c>
      <c r="N4964" s="3">
        <v>1.2200000000000001E-2</v>
      </c>
      <c r="O4964" s="3">
        <v>4.1700000000000001E-2</v>
      </c>
      <c r="P4964" s="3">
        <v>9.9699999999999997E-2</v>
      </c>
      <c r="Q4964" s="3">
        <v>1.29E-2</v>
      </c>
      <c r="R4964" s="3">
        <v>0.36749999999999999</v>
      </c>
      <c r="S4964" s="3">
        <v>6.9999999999999999E-4</v>
      </c>
      <c r="T4964" s="3">
        <v>7.6E-3</v>
      </c>
      <c r="U4964" s="3">
        <v>5.1499999999999997E-2</v>
      </c>
      <c r="V4964" s="3">
        <v>2.0000000000000001E-4</v>
      </c>
    </row>
    <row r="4965" spans="1:23">
      <c r="A4965" t="s">
        <v>199</v>
      </c>
      <c r="B4965">
        <v>1478</v>
      </c>
      <c r="C4965" t="s">
        <v>194</v>
      </c>
      <c r="D4965">
        <v>2662</v>
      </c>
      <c r="E4965" s="3">
        <v>1.7600000000000001E-2</v>
      </c>
      <c r="F4965" s="3">
        <v>3.6499999999999998E-2</v>
      </c>
      <c r="G4965" s="3">
        <v>1.35E-2</v>
      </c>
      <c r="H4965" s="3">
        <v>4.8999999999999998E-3</v>
      </c>
      <c r="I4965" s="3">
        <v>5.5999999999999999E-3</v>
      </c>
      <c r="J4965" s="3">
        <v>5.0000000000000001E-3</v>
      </c>
      <c r="K4965" s="3">
        <v>1.5E-3</v>
      </c>
      <c r="L4965" s="3">
        <v>5.4000000000000003E-3</v>
      </c>
      <c r="M4965" s="3">
        <v>7.4000000000000003E-3</v>
      </c>
      <c r="N4965" s="3">
        <v>1.8E-3</v>
      </c>
      <c r="O4965" s="3">
        <v>1.6000000000000001E-3</v>
      </c>
      <c r="P4965" s="3">
        <v>7.3000000000000001E-3</v>
      </c>
      <c r="Q4965" s="3">
        <v>1.4E-3</v>
      </c>
      <c r="R4965" s="3">
        <v>0.91100000000000003</v>
      </c>
      <c r="S4965" s="3">
        <v>5.0000000000000001E-4</v>
      </c>
      <c r="T4965" s="3">
        <v>5.1000000000000004E-3</v>
      </c>
      <c r="U4965" s="3">
        <v>2.2000000000000001E-3</v>
      </c>
      <c r="V4965" s="3">
        <v>7.7000000000000002E-3</v>
      </c>
    </row>
    <row r="4966" spans="1:23">
      <c r="A4966" t="s">
        <v>200</v>
      </c>
      <c r="B4966">
        <v>2662</v>
      </c>
      <c r="C4966" t="s">
        <v>200</v>
      </c>
      <c r="D4966">
        <v>2662</v>
      </c>
      <c r="E4966" s="3">
        <v>3.1199999999999999E-2</v>
      </c>
      <c r="F4966" s="3">
        <v>0.1016</v>
      </c>
      <c r="G4966" s="3">
        <v>0.12330000000000001</v>
      </c>
      <c r="H4966" s="3">
        <v>4.3E-3</v>
      </c>
      <c r="I4966" s="3">
        <v>7.1099999999999997E-2</v>
      </c>
      <c r="J4966" s="3">
        <v>1.4999999999999999E-2</v>
      </c>
      <c r="K4966" s="3">
        <v>1.3100000000000001E-2</v>
      </c>
      <c r="L4966" s="3">
        <v>0.01</v>
      </c>
      <c r="M4966" s="3">
        <v>9.2999999999999992E-3</v>
      </c>
      <c r="N4966" s="3">
        <v>6.4000000000000003E-3</v>
      </c>
      <c r="O4966" s="3">
        <v>1.9300000000000001E-2</v>
      </c>
      <c r="P4966" s="3">
        <v>4.82E-2</v>
      </c>
      <c r="Q4966" s="3">
        <v>6.4999999999999997E-3</v>
      </c>
      <c r="R4966" s="3">
        <v>0.67079999999999995</v>
      </c>
      <c r="S4966" s="3">
        <v>5.9999999999999995E-4</v>
      </c>
      <c r="T4966" s="3">
        <v>6.1999999999999998E-3</v>
      </c>
      <c r="U4966" s="3">
        <v>2.4E-2</v>
      </c>
      <c r="V4966" s="3">
        <v>4.4000000000000003E-3</v>
      </c>
    </row>
    <row r="4968" spans="1:23" ht="45">
      <c r="A4968" s="22" t="s">
        <v>1188</v>
      </c>
    </row>
    <row r="4969" spans="1:23">
      <c r="A4969" t="s">
        <v>185</v>
      </c>
      <c r="B4969" t="s">
        <v>186</v>
      </c>
      <c r="C4969" t="s">
        <v>192</v>
      </c>
      <c r="D4969" t="s">
        <v>184</v>
      </c>
      <c r="E4969" t="s">
        <v>193</v>
      </c>
      <c r="F4969" t="s">
        <v>1171</v>
      </c>
      <c r="G4969" t="s">
        <v>1172</v>
      </c>
      <c r="H4969" t="s">
        <v>1173</v>
      </c>
      <c r="I4969" t="s">
        <v>257</v>
      </c>
      <c r="J4969" t="s">
        <v>1174</v>
      </c>
      <c r="K4969" t="s">
        <v>1175</v>
      </c>
      <c r="L4969" t="s">
        <v>1176</v>
      </c>
      <c r="M4969" t="s">
        <v>1177</v>
      </c>
      <c r="N4969" t="s">
        <v>1178</v>
      </c>
      <c r="O4969" t="s">
        <v>1179</v>
      </c>
      <c r="P4969" t="s">
        <v>1180</v>
      </c>
      <c r="Q4969" t="s">
        <v>1181</v>
      </c>
      <c r="R4969" t="s">
        <v>1182</v>
      </c>
      <c r="S4969" t="s">
        <v>329</v>
      </c>
      <c r="T4969" t="s">
        <v>274</v>
      </c>
      <c r="U4969" t="s">
        <v>247</v>
      </c>
      <c r="V4969" t="s">
        <v>1183</v>
      </c>
      <c r="W4969" t="s">
        <v>1184</v>
      </c>
    </row>
    <row r="4970" spans="1:23">
      <c r="A4970" t="s">
        <v>195</v>
      </c>
      <c r="B4970" t="s">
        <v>212</v>
      </c>
      <c r="C4970">
        <v>870</v>
      </c>
      <c r="D4970" t="s">
        <v>194</v>
      </c>
      <c r="E4970">
        <v>2662</v>
      </c>
      <c r="F4970" s="3">
        <v>5.0700000000000002E-2</v>
      </c>
      <c r="G4970" s="3">
        <v>0.20169999999999999</v>
      </c>
      <c r="H4970" s="3">
        <v>0.25619999999999998</v>
      </c>
      <c r="I4970" s="3">
        <v>8.0000000000000004E-4</v>
      </c>
      <c r="J4970" s="3">
        <v>0.16089999999999999</v>
      </c>
      <c r="K4970" s="3">
        <v>3.1099999999999999E-2</v>
      </c>
      <c r="L4970" s="3">
        <v>3.32E-2</v>
      </c>
      <c r="M4970" s="3">
        <v>1.5900000000000001E-2</v>
      </c>
      <c r="N4970" s="3">
        <v>1.47E-2</v>
      </c>
      <c r="O4970" s="3">
        <v>1.43E-2</v>
      </c>
      <c r="P4970" s="3">
        <v>4.3200000000000002E-2</v>
      </c>
      <c r="Q4970" s="3">
        <v>9.8900000000000002E-2</v>
      </c>
      <c r="R4970" s="3">
        <v>1.6E-2</v>
      </c>
      <c r="S4970" s="3">
        <v>0.35389999999999999</v>
      </c>
      <c r="T4970" s="3">
        <v>8.0000000000000004E-4</v>
      </c>
      <c r="U4970" s="3">
        <v>8.3000000000000001E-3</v>
      </c>
      <c r="V4970" s="3">
        <v>5.0900000000000001E-2</v>
      </c>
    </row>
    <row r="4971" spans="1:23">
      <c r="A4971" t="s">
        <v>195</v>
      </c>
      <c r="B4971" t="s">
        <v>214</v>
      </c>
      <c r="C4971">
        <v>180</v>
      </c>
      <c r="D4971" t="s">
        <v>194</v>
      </c>
      <c r="E4971">
        <v>2662</v>
      </c>
      <c r="F4971" s="3">
        <v>4.6199999999999998E-2</v>
      </c>
      <c r="G4971" s="3">
        <v>0.1037</v>
      </c>
      <c r="H4971" s="3">
        <v>0.34029999999999999</v>
      </c>
      <c r="I4971" s="3">
        <v>7.7999999999999996E-3</v>
      </c>
      <c r="J4971" s="3">
        <v>0.12820000000000001</v>
      </c>
      <c r="K4971" s="3">
        <v>1.7100000000000001E-2</v>
      </c>
      <c r="M4971" s="3">
        <v>1.03E-2</v>
      </c>
      <c r="N4971" s="3">
        <v>3.7000000000000002E-3</v>
      </c>
      <c r="O4971" s="3">
        <v>7.7999999999999996E-3</v>
      </c>
      <c r="P4971" s="3">
        <v>2.3900000000000001E-2</v>
      </c>
      <c r="Q4971" s="3">
        <v>0.10780000000000001</v>
      </c>
      <c r="R4971" s="3">
        <v>4.4999999999999997E-3</v>
      </c>
      <c r="S4971" s="3">
        <v>0.39839999999999998</v>
      </c>
      <c r="U4971" s="3">
        <v>5.7000000000000002E-3</v>
      </c>
      <c r="V4971" s="3">
        <v>5.5E-2</v>
      </c>
      <c r="W4971" s="3">
        <v>1.5E-3</v>
      </c>
    </row>
    <row r="4972" spans="1:23">
      <c r="A4972" t="s">
        <v>195</v>
      </c>
      <c r="B4972" t="s">
        <v>215</v>
      </c>
      <c r="C4972">
        <v>134</v>
      </c>
      <c r="D4972" t="s">
        <v>194</v>
      </c>
      <c r="E4972">
        <v>2662</v>
      </c>
      <c r="F4972" s="3">
        <v>3.1899999999999998E-2</v>
      </c>
      <c r="G4972" s="3">
        <v>0.17799999999999999</v>
      </c>
      <c r="H4972" s="3">
        <v>0.1628</v>
      </c>
      <c r="I4972" s="3">
        <v>1.95E-2</v>
      </c>
      <c r="J4972" s="3">
        <v>0.1396</v>
      </c>
      <c r="K4972" s="3">
        <v>1.7399999999999999E-2</v>
      </c>
      <c r="L4972" s="3">
        <v>3.3799999999999997E-2</v>
      </c>
      <c r="M4972" s="3">
        <v>2.53E-2</v>
      </c>
      <c r="O4972" s="3">
        <v>1.5E-3</v>
      </c>
      <c r="P4972" s="3">
        <v>6.1400000000000003E-2</v>
      </c>
      <c r="Q4972" s="3">
        <v>9.1499999999999998E-2</v>
      </c>
      <c r="R4972" s="3">
        <v>1E-3</v>
      </c>
      <c r="S4972" s="3">
        <v>0.42970000000000003</v>
      </c>
      <c r="T4972" s="3">
        <v>1E-3</v>
      </c>
      <c r="U4972" s="3">
        <v>5.8999999999999999E-3</v>
      </c>
      <c r="V4972" s="3">
        <v>4.9799999999999997E-2</v>
      </c>
    </row>
    <row r="4973" spans="1:23">
      <c r="A4973" t="s">
        <v>199</v>
      </c>
      <c r="B4973" t="s">
        <v>212</v>
      </c>
      <c r="C4973">
        <v>1110</v>
      </c>
      <c r="D4973" t="s">
        <v>194</v>
      </c>
      <c r="E4973">
        <v>2662</v>
      </c>
      <c r="F4973" s="3">
        <v>0.02</v>
      </c>
      <c r="G4973" s="3">
        <v>3.5700000000000003E-2</v>
      </c>
      <c r="H4973" s="3">
        <v>8.0999999999999996E-3</v>
      </c>
      <c r="I4973" s="3">
        <v>5.5999999999999999E-3</v>
      </c>
      <c r="J4973" s="3">
        <v>5.0000000000000001E-4</v>
      </c>
      <c r="L4973" s="3">
        <v>2.9999999999999997E-4</v>
      </c>
      <c r="M4973" s="3">
        <v>4.0000000000000001E-3</v>
      </c>
      <c r="N4973" s="3">
        <v>8.0000000000000002E-3</v>
      </c>
      <c r="O4973" s="3">
        <v>1.8E-3</v>
      </c>
      <c r="P4973" s="3">
        <v>5.9999999999999995E-4</v>
      </c>
      <c r="Q4973" s="3">
        <v>7.7000000000000002E-3</v>
      </c>
      <c r="R4973" s="3">
        <v>1.5E-3</v>
      </c>
      <c r="S4973" s="3">
        <v>0.91700000000000004</v>
      </c>
      <c r="T4973" s="3">
        <v>4.0000000000000002E-4</v>
      </c>
      <c r="U4973" s="3">
        <v>6.4000000000000003E-3</v>
      </c>
      <c r="V4973" s="3">
        <v>1E-4</v>
      </c>
      <c r="W4973" s="3">
        <v>7.4999999999999997E-3</v>
      </c>
    </row>
    <row r="4974" spans="1:23">
      <c r="A4974" t="s">
        <v>199</v>
      </c>
      <c r="B4974" t="s">
        <v>214</v>
      </c>
      <c r="C4974">
        <v>196</v>
      </c>
      <c r="D4974" t="s">
        <v>194</v>
      </c>
      <c r="E4974">
        <v>2662</v>
      </c>
      <c r="F4974" s="3">
        <v>1.26E-2</v>
      </c>
      <c r="G4974" s="3">
        <v>3.56E-2</v>
      </c>
      <c r="H4974" s="3">
        <v>3.4099999999999998E-2</v>
      </c>
      <c r="I4974" s="3">
        <v>2.3999999999999998E-3</v>
      </c>
      <c r="J4974" s="3">
        <v>3.3500000000000002E-2</v>
      </c>
      <c r="K4974" s="3">
        <v>3.27E-2</v>
      </c>
      <c r="L4974" s="3">
        <v>7.0000000000000001E-3</v>
      </c>
      <c r="M4974" s="3">
        <v>7.1000000000000004E-3</v>
      </c>
      <c r="N4974" s="3">
        <v>6.7000000000000002E-3</v>
      </c>
      <c r="O4974" s="3">
        <v>1.6000000000000001E-3</v>
      </c>
      <c r="P4974" s="3">
        <v>1E-4</v>
      </c>
      <c r="Q4974" s="3">
        <v>8.0000000000000004E-4</v>
      </c>
      <c r="R4974" s="3">
        <v>1.6000000000000001E-3</v>
      </c>
      <c r="S4974" s="3">
        <v>0.90100000000000002</v>
      </c>
      <c r="T4974" s="3">
        <v>1.6000000000000001E-3</v>
      </c>
      <c r="U4974" s="3">
        <v>1.2999999999999999E-3</v>
      </c>
      <c r="V4974" s="3">
        <v>7.1999999999999998E-3</v>
      </c>
    </row>
    <row r="4975" spans="1:23">
      <c r="A4975" t="s">
        <v>199</v>
      </c>
      <c r="B4975" t="s">
        <v>215</v>
      </c>
      <c r="C4975">
        <v>172</v>
      </c>
      <c r="D4975" t="s">
        <v>194</v>
      </c>
      <c r="E4975">
        <v>2662</v>
      </c>
      <c r="F4975" s="3">
        <v>4.4000000000000003E-3</v>
      </c>
      <c r="G4975" s="3">
        <v>4.53E-2</v>
      </c>
      <c r="H4975" s="3">
        <v>2.52E-2</v>
      </c>
      <c r="I4975" s="3">
        <v>2.7000000000000001E-3</v>
      </c>
      <c r="J4975" s="3">
        <v>1.2999999999999999E-3</v>
      </c>
      <c r="L4975" s="3">
        <v>2.0999999999999999E-3</v>
      </c>
      <c r="M4975" s="3">
        <v>1.5299999999999999E-2</v>
      </c>
      <c r="N4975" s="3">
        <v>2.8999999999999998E-3</v>
      </c>
      <c r="O4975" s="3">
        <v>2.0999999999999999E-3</v>
      </c>
      <c r="P4975" s="3">
        <v>1.35E-2</v>
      </c>
      <c r="Q4975" s="3">
        <v>1.52E-2</v>
      </c>
      <c r="S4975" s="3">
        <v>0.87490000000000001</v>
      </c>
      <c r="V4975" s="3">
        <v>1.26E-2</v>
      </c>
      <c r="W4975" s="3">
        <v>2.3099999999999999E-2</v>
      </c>
    </row>
    <row r="4976" spans="1:23">
      <c r="A4976" t="s">
        <v>200</v>
      </c>
      <c r="B4976" t="s">
        <v>200</v>
      </c>
      <c r="C4976">
        <v>2662</v>
      </c>
      <c r="D4976" t="s">
        <v>200</v>
      </c>
      <c r="E4976">
        <v>2662</v>
      </c>
      <c r="F4976" s="3">
        <v>3.1199999999999999E-2</v>
      </c>
      <c r="G4976" s="3">
        <v>0.1016</v>
      </c>
      <c r="H4976" s="3">
        <v>0.12330000000000001</v>
      </c>
      <c r="I4976" s="3">
        <v>4.3E-3</v>
      </c>
      <c r="J4976" s="3">
        <v>7.1099999999999997E-2</v>
      </c>
      <c r="K4976" s="3">
        <v>1.4999999999999999E-2</v>
      </c>
      <c r="L4976" s="3">
        <v>1.3100000000000001E-2</v>
      </c>
      <c r="M4976" s="3">
        <v>0.01</v>
      </c>
      <c r="N4976" s="3">
        <v>9.2999999999999992E-3</v>
      </c>
      <c r="O4976" s="3">
        <v>6.4000000000000003E-3</v>
      </c>
      <c r="P4976" s="3">
        <v>1.9300000000000001E-2</v>
      </c>
      <c r="Q4976" s="3">
        <v>4.82E-2</v>
      </c>
      <c r="R4976" s="3">
        <v>6.4999999999999997E-3</v>
      </c>
      <c r="S4976" s="3">
        <v>0.67079999999999995</v>
      </c>
      <c r="T4976" s="3">
        <v>5.9999999999999995E-4</v>
      </c>
      <c r="U4976" s="3">
        <v>6.1999999999999998E-3</v>
      </c>
      <c r="V4976" s="3">
        <v>2.4E-2</v>
      </c>
      <c r="W4976" s="3">
        <v>4.4000000000000003E-3</v>
      </c>
    </row>
    <row r="4978" spans="1:23" ht="45">
      <c r="A4978" s="22" t="s">
        <v>1189</v>
      </c>
    </row>
    <row r="4979" spans="1:23">
      <c r="A4979" t="s">
        <v>185</v>
      </c>
      <c r="B4979" t="s">
        <v>186</v>
      </c>
      <c r="C4979" t="s">
        <v>192</v>
      </c>
      <c r="D4979" t="s">
        <v>184</v>
      </c>
      <c r="E4979" t="s">
        <v>193</v>
      </c>
      <c r="F4979" t="s">
        <v>1171</v>
      </c>
      <c r="G4979" t="s">
        <v>1172</v>
      </c>
      <c r="H4979" t="s">
        <v>1173</v>
      </c>
      <c r="I4979" t="s">
        <v>257</v>
      </c>
      <c r="J4979" t="s">
        <v>1174</v>
      </c>
      <c r="K4979" t="s">
        <v>1175</v>
      </c>
      <c r="L4979" t="s">
        <v>1176</v>
      </c>
      <c r="M4979" t="s">
        <v>1177</v>
      </c>
      <c r="N4979" t="s">
        <v>1178</v>
      </c>
      <c r="O4979" t="s">
        <v>1179</v>
      </c>
      <c r="P4979" t="s">
        <v>1180</v>
      </c>
      <c r="Q4979" t="s">
        <v>1181</v>
      </c>
      <c r="R4979" t="s">
        <v>1182</v>
      </c>
      <c r="S4979" t="s">
        <v>329</v>
      </c>
      <c r="T4979" t="s">
        <v>274</v>
      </c>
      <c r="U4979" t="s">
        <v>247</v>
      </c>
      <c r="V4979" t="s">
        <v>1183</v>
      </c>
      <c r="W4979" t="s">
        <v>1184</v>
      </c>
    </row>
    <row r="4980" spans="1:23">
      <c r="A4980" t="s">
        <v>195</v>
      </c>
      <c r="B4980" t="s">
        <v>217</v>
      </c>
      <c r="C4980">
        <v>498</v>
      </c>
      <c r="D4980" t="s">
        <v>194</v>
      </c>
      <c r="E4980">
        <v>2662</v>
      </c>
      <c r="F4980" s="3">
        <v>5.4300000000000001E-2</v>
      </c>
      <c r="G4980" s="3">
        <v>0.1696</v>
      </c>
      <c r="H4980" s="3">
        <v>0.27689999999999998</v>
      </c>
      <c r="I4980" s="3">
        <v>2.0999999999999999E-3</v>
      </c>
      <c r="J4980" s="3">
        <v>0.1976</v>
      </c>
      <c r="K4980" s="3">
        <v>3.39E-2</v>
      </c>
      <c r="L4980" s="3">
        <v>3.6200000000000003E-2</v>
      </c>
      <c r="M4980" s="3">
        <v>1.3100000000000001E-2</v>
      </c>
      <c r="N4980" s="3">
        <v>2.0500000000000001E-2</v>
      </c>
      <c r="O4980" s="3">
        <v>1.67E-2</v>
      </c>
      <c r="P4980" s="3">
        <v>4.9500000000000002E-2</v>
      </c>
      <c r="Q4980" s="3">
        <v>7.9200000000000007E-2</v>
      </c>
      <c r="R4980" s="3">
        <v>1.8100000000000002E-2</v>
      </c>
      <c r="S4980" s="3">
        <v>0.33510000000000001</v>
      </c>
      <c r="T4980" s="3">
        <v>1.6999999999999999E-3</v>
      </c>
      <c r="U4980" s="3">
        <v>3.3E-3</v>
      </c>
      <c r="V4980" s="3">
        <v>4.2299999999999997E-2</v>
      </c>
    </row>
    <row r="4981" spans="1:23">
      <c r="A4981" t="s">
        <v>195</v>
      </c>
      <c r="B4981" t="s">
        <v>219</v>
      </c>
      <c r="C4981">
        <v>504</v>
      </c>
      <c r="D4981" t="s">
        <v>194</v>
      </c>
      <c r="E4981">
        <v>2662</v>
      </c>
      <c r="F4981" s="3">
        <v>4.3200000000000002E-2</v>
      </c>
      <c r="G4981" s="3">
        <v>0.22</v>
      </c>
      <c r="H4981" s="3">
        <v>0.22209999999999999</v>
      </c>
      <c r="I4981" s="3">
        <v>3.8E-3</v>
      </c>
      <c r="J4981" s="3">
        <v>0.12479999999999999</v>
      </c>
      <c r="K4981" s="3">
        <v>2.4199999999999999E-2</v>
      </c>
      <c r="L4981" s="3">
        <v>1.2699999999999999E-2</v>
      </c>
      <c r="M4981" s="3">
        <v>1.67E-2</v>
      </c>
      <c r="N4981" s="3">
        <v>6.1000000000000004E-3</v>
      </c>
      <c r="O4981" s="3">
        <v>8.9999999999999993E-3</v>
      </c>
      <c r="P4981" s="3">
        <v>3.2000000000000001E-2</v>
      </c>
      <c r="Q4981" s="3">
        <v>0.1042</v>
      </c>
      <c r="R4981" s="3">
        <v>1.9E-3</v>
      </c>
      <c r="S4981" s="3">
        <v>0.41549999999999998</v>
      </c>
      <c r="U4981" s="3">
        <v>1.6199999999999999E-2</v>
      </c>
      <c r="V4981" s="3">
        <v>4.7899999999999998E-2</v>
      </c>
      <c r="W4981" s="3">
        <v>5.9999999999999995E-4</v>
      </c>
    </row>
    <row r="4982" spans="1:23">
      <c r="A4982" t="s">
        <v>195</v>
      </c>
      <c r="B4982" t="s">
        <v>220</v>
      </c>
      <c r="C4982">
        <v>181</v>
      </c>
      <c r="D4982" t="s">
        <v>194</v>
      </c>
      <c r="E4982">
        <v>2662</v>
      </c>
      <c r="F4982" s="3">
        <v>4.5600000000000002E-2</v>
      </c>
      <c r="G4982" s="3">
        <v>0.1424</v>
      </c>
      <c r="H4982" s="3">
        <v>0.309</v>
      </c>
      <c r="I4982" s="3">
        <v>6.1000000000000004E-3</v>
      </c>
      <c r="J4982" s="3">
        <v>0.1148</v>
      </c>
      <c r="K4982" s="3">
        <v>2.07E-2</v>
      </c>
      <c r="L4982" s="3">
        <v>0.04</v>
      </c>
      <c r="M4982" s="3">
        <v>0.02</v>
      </c>
      <c r="N4982" s="3">
        <v>3.2000000000000002E-3</v>
      </c>
      <c r="O4982" s="3">
        <v>8.8000000000000005E-3</v>
      </c>
      <c r="P4982" s="3">
        <v>4.3499999999999997E-2</v>
      </c>
      <c r="Q4982" s="3">
        <v>0.13650000000000001</v>
      </c>
      <c r="R4982" s="3">
        <v>2.3400000000000001E-2</v>
      </c>
      <c r="S4982" s="3">
        <v>0.34239999999999998</v>
      </c>
      <c r="V4982" s="3">
        <v>7.9299999999999995E-2</v>
      </c>
    </row>
    <row r="4983" spans="1:23">
      <c r="A4983" t="s">
        <v>199</v>
      </c>
      <c r="B4983" t="s">
        <v>217</v>
      </c>
      <c r="C4983">
        <v>808</v>
      </c>
      <c r="D4983" t="s">
        <v>194</v>
      </c>
      <c r="E4983">
        <v>2662</v>
      </c>
      <c r="F4983" s="3">
        <v>1.9099999999999999E-2</v>
      </c>
      <c r="G4983" s="3">
        <v>3.6499999999999998E-2</v>
      </c>
      <c r="H4983" s="3">
        <v>1.17E-2</v>
      </c>
      <c r="I4983" s="3">
        <v>5.7999999999999996E-3</v>
      </c>
      <c r="J4983" s="3">
        <v>4.0000000000000002E-4</v>
      </c>
      <c r="M4983" s="3">
        <v>6.1000000000000004E-3</v>
      </c>
      <c r="N4983" s="3">
        <v>9.7000000000000003E-3</v>
      </c>
      <c r="O4983" s="3">
        <v>1.8E-3</v>
      </c>
      <c r="P4983" s="3">
        <v>2.3E-3</v>
      </c>
      <c r="Q4983" s="3">
        <v>4.7999999999999996E-3</v>
      </c>
      <c r="R4983" s="3">
        <v>1.8E-3</v>
      </c>
      <c r="S4983" s="3">
        <v>0.90539999999999998</v>
      </c>
      <c r="T4983" s="3">
        <v>4.0000000000000002E-4</v>
      </c>
      <c r="U4983" s="3">
        <v>8.2000000000000007E-3</v>
      </c>
      <c r="V4983" s="3">
        <v>1.9E-3</v>
      </c>
      <c r="W4983" s="3">
        <v>1.29E-2</v>
      </c>
    </row>
    <row r="4984" spans="1:23">
      <c r="A4984" t="s">
        <v>199</v>
      </c>
      <c r="B4984" t="s">
        <v>219</v>
      </c>
      <c r="C4984">
        <v>449</v>
      </c>
      <c r="D4984" t="s">
        <v>194</v>
      </c>
      <c r="E4984">
        <v>2662</v>
      </c>
      <c r="F4984" s="3">
        <v>6.4999999999999997E-3</v>
      </c>
      <c r="G4984" s="3">
        <v>4.3499999999999997E-2</v>
      </c>
      <c r="H4984" s="3">
        <v>2.5000000000000001E-2</v>
      </c>
      <c r="I4984" s="3">
        <v>5.3E-3</v>
      </c>
      <c r="J4984" s="3">
        <v>2.1000000000000001E-2</v>
      </c>
      <c r="K4984" s="3">
        <v>2.01E-2</v>
      </c>
      <c r="L4984" s="3">
        <v>4.7999999999999996E-3</v>
      </c>
      <c r="M4984" s="3">
        <v>7.0000000000000001E-3</v>
      </c>
      <c r="N4984" s="3">
        <v>6.4000000000000003E-3</v>
      </c>
      <c r="O4984" s="3">
        <v>1.8E-3</v>
      </c>
      <c r="P4984" s="3">
        <v>4.0000000000000002E-4</v>
      </c>
      <c r="Q4984" s="3">
        <v>8.0000000000000004E-4</v>
      </c>
      <c r="R4984" s="3">
        <v>1E-3</v>
      </c>
      <c r="S4984" s="3">
        <v>0.91310000000000002</v>
      </c>
      <c r="T4984" s="3">
        <v>5.0000000000000001E-4</v>
      </c>
      <c r="U4984" s="3">
        <v>8.0000000000000004E-4</v>
      </c>
      <c r="V4984" s="3">
        <v>4.3E-3</v>
      </c>
    </row>
    <row r="4985" spans="1:23">
      <c r="A4985" t="s">
        <v>199</v>
      </c>
      <c r="B4985" t="s">
        <v>220</v>
      </c>
      <c r="C4985">
        <v>221</v>
      </c>
      <c r="D4985" t="s">
        <v>194</v>
      </c>
      <c r="E4985">
        <v>2662</v>
      </c>
      <c r="F4985" s="3">
        <v>2.9399999999999999E-2</v>
      </c>
      <c r="G4985" s="3">
        <v>2.5499999999999998E-2</v>
      </c>
      <c r="H4985" s="3">
        <v>2.5000000000000001E-3</v>
      </c>
      <c r="I4985" s="3">
        <v>6.9999999999999999E-4</v>
      </c>
      <c r="J4985" s="3">
        <v>1E-3</v>
      </c>
      <c r="L4985" s="3">
        <v>1.9E-3</v>
      </c>
      <c r="M4985" s="3">
        <v>1E-4</v>
      </c>
      <c r="O4985" s="3">
        <v>2E-3</v>
      </c>
      <c r="P4985" s="3">
        <v>1.1999999999999999E-3</v>
      </c>
      <c r="Q4985" s="3">
        <v>2.7300000000000001E-2</v>
      </c>
      <c r="R4985" s="3">
        <v>6.9999999999999999E-4</v>
      </c>
      <c r="S4985" s="3">
        <v>0.9294</v>
      </c>
      <c r="T4985" s="3">
        <v>1.1000000000000001E-3</v>
      </c>
      <c r="V4985" s="3">
        <v>2.0000000000000001E-4</v>
      </c>
    </row>
    <row r="4986" spans="1:23">
      <c r="A4986" t="s">
        <v>200</v>
      </c>
      <c r="B4986" t="s">
        <v>200</v>
      </c>
      <c r="C4986">
        <v>2662</v>
      </c>
      <c r="D4986" t="s">
        <v>200</v>
      </c>
      <c r="E4986">
        <v>2662</v>
      </c>
      <c r="F4986" s="3">
        <v>3.1199999999999999E-2</v>
      </c>
      <c r="G4986" s="3">
        <v>0.1016</v>
      </c>
      <c r="H4986" s="3">
        <v>0.12330000000000001</v>
      </c>
      <c r="I4986" s="3">
        <v>4.3E-3</v>
      </c>
      <c r="J4986" s="3">
        <v>7.1099999999999997E-2</v>
      </c>
      <c r="K4986" s="3">
        <v>1.4999999999999999E-2</v>
      </c>
      <c r="L4986" s="3">
        <v>1.3100000000000001E-2</v>
      </c>
      <c r="M4986" s="3">
        <v>0.01</v>
      </c>
      <c r="N4986" s="3">
        <v>9.2999999999999992E-3</v>
      </c>
      <c r="O4986" s="3">
        <v>6.4000000000000003E-3</v>
      </c>
      <c r="P4986" s="3">
        <v>1.9300000000000001E-2</v>
      </c>
      <c r="Q4986" s="3">
        <v>4.82E-2</v>
      </c>
      <c r="R4986" s="3">
        <v>6.4999999999999997E-3</v>
      </c>
      <c r="S4986" s="3">
        <v>0.67079999999999995</v>
      </c>
      <c r="T4986" s="3">
        <v>5.9999999999999995E-4</v>
      </c>
      <c r="U4986" s="3">
        <v>6.1999999999999998E-3</v>
      </c>
      <c r="V4986" s="3">
        <v>2.4E-2</v>
      </c>
      <c r="W4986" s="3">
        <v>4.4000000000000003E-3</v>
      </c>
    </row>
    <row r="4988" spans="1:23" ht="45">
      <c r="A4988" s="22" t="s">
        <v>1190</v>
      </c>
    </row>
    <row r="4989" spans="1:23">
      <c r="A4989" t="s">
        <v>184</v>
      </c>
      <c r="B4989" t="s">
        <v>185</v>
      </c>
      <c r="C4989" t="s">
        <v>186</v>
      </c>
      <c r="D4989" t="s">
        <v>187</v>
      </c>
      <c r="E4989" t="s">
        <v>188</v>
      </c>
      <c r="F4989" t="s">
        <v>189</v>
      </c>
      <c r="G4989" t="s">
        <v>190</v>
      </c>
      <c r="H4989" t="s">
        <v>191</v>
      </c>
      <c r="I4989" t="s">
        <v>192</v>
      </c>
      <c r="J4989" t="s">
        <v>193</v>
      </c>
    </row>
    <row r="4990" spans="1:23">
      <c r="A4990" t="s">
        <v>194</v>
      </c>
      <c r="B4990" t="s">
        <v>195</v>
      </c>
      <c r="C4990" t="s">
        <v>196</v>
      </c>
      <c r="D4990" t="s">
        <v>197</v>
      </c>
      <c r="E4990">
        <v>1.4996436908416839</v>
      </c>
      <c r="F4990">
        <v>0</v>
      </c>
      <c r="G4990">
        <v>0</v>
      </c>
      <c r="H4990">
        <v>18</v>
      </c>
      <c r="I4990">
        <v>368</v>
      </c>
      <c r="J4990">
        <v>2316</v>
      </c>
    </row>
    <row r="4991" spans="1:23">
      <c r="A4991" t="s">
        <v>194</v>
      </c>
      <c r="B4991" t="s">
        <v>195</v>
      </c>
      <c r="C4991" t="s">
        <v>198</v>
      </c>
      <c r="D4991" t="s">
        <v>197</v>
      </c>
      <c r="E4991">
        <v>1.338477739182006</v>
      </c>
      <c r="F4991">
        <v>0</v>
      </c>
      <c r="G4991">
        <v>0</v>
      </c>
      <c r="H4991">
        <v>19</v>
      </c>
      <c r="I4991">
        <v>635</v>
      </c>
      <c r="J4991">
        <v>2316</v>
      </c>
    </row>
    <row r="4992" spans="1:23">
      <c r="A4992" t="s">
        <v>194</v>
      </c>
      <c r="B4992" t="s">
        <v>199</v>
      </c>
      <c r="C4992" t="s">
        <v>196</v>
      </c>
      <c r="D4992" t="s">
        <v>197</v>
      </c>
      <c r="E4992">
        <v>1.2020844387058149</v>
      </c>
      <c r="F4992">
        <v>0</v>
      </c>
      <c r="G4992">
        <v>0</v>
      </c>
      <c r="H4992">
        <v>18</v>
      </c>
      <c r="I4992">
        <v>456</v>
      </c>
      <c r="J4992">
        <v>2316</v>
      </c>
    </row>
    <row r="4993" spans="1:10">
      <c r="A4993" t="s">
        <v>194</v>
      </c>
      <c r="B4993" t="s">
        <v>199</v>
      </c>
      <c r="C4993" t="s">
        <v>198</v>
      </c>
      <c r="D4993" t="s">
        <v>197</v>
      </c>
      <c r="E4993">
        <v>1.20604553128915</v>
      </c>
      <c r="F4993">
        <v>0</v>
      </c>
      <c r="G4993">
        <v>0</v>
      </c>
      <c r="H4993">
        <v>15</v>
      </c>
      <c r="I4993">
        <v>823</v>
      </c>
      <c r="J4993">
        <v>2316</v>
      </c>
    </row>
    <row r="4994" spans="1:10">
      <c r="A4994" t="s">
        <v>200</v>
      </c>
      <c r="B4994" t="s">
        <v>200</v>
      </c>
      <c r="C4994" t="s">
        <v>200</v>
      </c>
      <c r="D4994" t="s">
        <v>200</v>
      </c>
      <c r="E4994">
        <v>1.2840273528967181</v>
      </c>
      <c r="F4994">
        <v>0</v>
      </c>
      <c r="G4994">
        <v>0</v>
      </c>
      <c r="H4994">
        <v>19</v>
      </c>
      <c r="I4994">
        <v>2316</v>
      </c>
      <c r="J4994">
        <v>2316</v>
      </c>
    </row>
    <row r="4996" spans="1:10" ht="60">
      <c r="A4996" s="22" t="s">
        <v>1191</v>
      </c>
    </row>
    <row r="4997" spans="1:10">
      <c r="A4997" t="s">
        <v>184</v>
      </c>
      <c r="B4997" t="s">
        <v>185</v>
      </c>
      <c r="C4997" t="s">
        <v>186</v>
      </c>
      <c r="D4997" t="s">
        <v>187</v>
      </c>
      <c r="E4997" t="s">
        <v>188</v>
      </c>
      <c r="F4997" t="s">
        <v>189</v>
      </c>
      <c r="G4997" t="s">
        <v>190</v>
      </c>
      <c r="H4997" t="s">
        <v>191</v>
      </c>
      <c r="I4997" t="s">
        <v>192</v>
      </c>
      <c r="J4997" t="s">
        <v>193</v>
      </c>
    </row>
    <row r="4998" spans="1:10">
      <c r="A4998" t="s">
        <v>194</v>
      </c>
      <c r="B4998" t="s">
        <v>195</v>
      </c>
      <c r="C4998" t="s">
        <v>202</v>
      </c>
      <c r="D4998" t="s">
        <v>203</v>
      </c>
      <c r="E4998">
        <v>1.234390323930562</v>
      </c>
      <c r="F4998">
        <v>0</v>
      </c>
      <c r="G4998">
        <v>0</v>
      </c>
      <c r="H4998">
        <v>15</v>
      </c>
      <c r="I4998">
        <v>469</v>
      </c>
      <c r="J4998">
        <v>2316</v>
      </c>
    </row>
    <row r="4999" spans="1:10">
      <c r="A4999" t="s">
        <v>194</v>
      </c>
      <c r="B4999" t="s">
        <v>195</v>
      </c>
      <c r="C4999" t="s">
        <v>204</v>
      </c>
      <c r="D4999" t="s">
        <v>203</v>
      </c>
      <c r="E4999">
        <v>1.373243049396345</v>
      </c>
      <c r="F4999">
        <v>1</v>
      </c>
      <c r="G4999">
        <v>0</v>
      </c>
      <c r="H4999">
        <v>12</v>
      </c>
      <c r="I4999">
        <v>267</v>
      </c>
      <c r="J4999">
        <v>2316</v>
      </c>
    </row>
    <row r="5000" spans="1:10">
      <c r="A5000" t="s">
        <v>194</v>
      </c>
      <c r="B5000" t="s">
        <v>195</v>
      </c>
      <c r="C5000" t="s">
        <v>205</v>
      </c>
      <c r="D5000" t="s">
        <v>203</v>
      </c>
      <c r="E5000">
        <v>2.166296570305219</v>
      </c>
      <c r="F5000">
        <v>1</v>
      </c>
      <c r="G5000">
        <v>0</v>
      </c>
      <c r="H5000">
        <v>19</v>
      </c>
      <c r="I5000">
        <v>267</v>
      </c>
      <c r="J5000">
        <v>2316</v>
      </c>
    </row>
    <row r="5001" spans="1:10">
      <c r="A5001" t="s">
        <v>194</v>
      </c>
      <c r="B5001" t="s">
        <v>199</v>
      </c>
      <c r="C5001" t="s">
        <v>202</v>
      </c>
      <c r="D5001" t="s">
        <v>203</v>
      </c>
      <c r="E5001">
        <v>1.178872452631327</v>
      </c>
      <c r="F5001">
        <v>0</v>
      </c>
      <c r="G5001">
        <v>0</v>
      </c>
      <c r="H5001">
        <v>15</v>
      </c>
      <c r="I5001">
        <v>509</v>
      </c>
      <c r="J5001">
        <v>2316</v>
      </c>
    </row>
    <row r="5002" spans="1:10">
      <c r="A5002" t="s">
        <v>194</v>
      </c>
      <c r="B5002" t="s">
        <v>199</v>
      </c>
      <c r="C5002" t="s">
        <v>204</v>
      </c>
      <c r="D5002" t="s">
        <v>203</v>
      </c>
      <c r="E5002">
        <v>0.95514246876980813</v>
      </c>
      <c r="F5002">
        <v>1</v>
      </c>
      <c r="G5002">
        <v>0</v>
      </c>
      <c r="H5002">
        <v>12</v>
      </c>
      <c r="I5002">
        <v>356</v>
      </c>
      <c r="J5002">
        <v>2316</v>
      </c>
    </row>
    <row r="5003" spans="1:10">
      <c r="A5003" t="s">
        <v>194</v>
      </c>
      <c r="B5003" t="s">
        <v>199</v>
      </c>
      <c r="C5003" t="s">
        <v>205</v>
      </c>
      <c r="D5003" t="s">
        <v>203</v>
      </c>
      <c r="E5003">
        <v>1.5984915128066171</v>
      </c>
      <c r="F5003">
        <v>1</v>
      </c>
      <c r="G5003">
        <v>0</v>
      </c>
      <c r="H5003">
        <v>18</v>
      </c>
      <c r="I5003">
        <v>414</v>
      </c>
      <c r="J5003">
        <v>2316</v>
      </c>
    </row>
    <row r="5004" spans="1:10">
      <c r="A5004" t="s">
        <v>200</v>
      </c>
      <c r="B5004" t="s">
        <v>200</v>
      </c>
      <c r="C5004" t="s">
        <v>200</v>
      </c>
      <c r="D5004" t="s">
        <v>200</v>
      </c>
      <c r="E5004">
        <v>1.2840273528967181</v>
      </c>
      <c r="F5004">
        <v>0</v>
      </c>
      <c r="G5004">
        <v>0</v>
      </c>
      <c r="H5004">
        <v>19</v>
      </c>
      <c r="I5004">
        <v>2316</v>
      </c>
      <c r="J5004">
        <v>2316</v>
      </c>
    </row>
    <row r="5006" spans="1:10" ht="60">
      <c r="A5006" s="22" t="s">
        <v>1192</v>
      </c>
    </row>
    <row r="5007" spans="1:10">
      <c r="A5007" t="s">
        <v>184</v>
      </c>
      <c r="B5007" t="s">
        <v>185</v>
      </c>
      <c r="C5007" t="s">
        <v>186</v>
      </c>
      <c r="D5007" t="s">
        <v>187</v>
      </c>
      <c r="E5007" t="s">
        <v>188</v>
      </c>
      <c r="F5007" t="s">
        <v>189</v>
      </c>
      <c r="G5007" t="s">
        <v>190</v>
      </c>
      <c r="H5007" t="s">
        <v>191</v>
      </c>
      <c r="I5007" t="s">
        <v>192</v>
      </c>
      <c r="J5007" t="s">
        <v>193</v>
      </c>
    </row>
    <row r="5008" spans="1:10">
      <c r="A5008" t="s">
        <v>194</v>
      </c>
      <c r="B5008" t="s">
        <v>195</v>
      </c>
      <c r="C5008" t="s">
        <v>207</v>
      </c>
      <c r="D5008" t="s">
        <v>208</v>
      </c>
      <c r="E5008">
        <v>1.218550198178922</v>
      </c>
      <c r="F5008">
        <v>0</v>
      </c>
      <c r="G5008">
        <v>0</v>
      </c>
      <c r="H5008">
        <v>18</v>
      </c>
      <c r="I5008">
        <v>272</v>
      </c>
      <c r="J5008">
        <v>2316</v>
      </c>
    </row>
    <row r="5009" spans="1:10">
      <c r="A5009" t="s">
        <v>194</v>
      </c>
      <c r="B5009" t="s">
        <v>195</v>
      </c>
      <c r="C5009" t="s">
        <v>209</v>
      </c>
      <c r="D5009" t="s">
        <v>208</v>
      </c>
      <c r="E5009">
        <v>1.4424913997527831</v>
      </c>
      <c r="F5009">
        <v>1</v>
      </c>
      <c r="G5009">
        <v>0</v>
      </c>
      <c r="H5009">
        <v>19</v>
      </c>
      <c r="I5009">
        <v>749</v>
      </c>
      <c r="J5009">
        <v>2316</v>
      </c>
    </row>
    <row r="5010" spans="1:10">
      <c r="A5010" t="s">
        <v>194</v>
      </c>
      <c r="B5010" t="s">
        <v>199</v>
      </c>
      <c r="C5010" t="s">
        <v>207</v>
      </c>
      <c r="D5010" t="s">
        <v>208</v>
      </c>
      <c r="E5010">
        <v>1.502970863027556</v>
      </c>
      <c r="F5010">
        <v>0</v>
      </c>
      <c r="G5010">
        <v>0</v>
      </c>
      <c r="H5010">
        <v>15</v>
      </c>
      <c r="I5010">
        <v>244</v>
      </c>
      <c r="J5010">
        <v>2316</v>
      </c>
    </row>
    <row r="5011" spans="1:10">
      <c r="A5011" t="s">
        <v>194</v>
      </c>
      <c r="B5011" t="s">
        <v>199</v>
      </c>
      <c r="C5011" t="s">
        <v>209</v>
      </c>
      <c r="D5011" t="s">
        <v>208</v>
      </c>
      <c r="E5011">
        <v>1.167538817694239</v>
      </c>
      <c r="F5011">
        <v>0</v>
      </c>
      <c r="G5011">
        <v>0</v>
      </c>
      <c r="H5011">
        <v>18</v>
      </c>
      <c r="I5011">
        <v>1051</v>
      </c>
      <c r="J5011">
        <v>2316</v>
      </c>
    </row>
    <row r="5012" spans="1:10">
      <c r="A5012" t="s">
        <v>200</v>
      </c>
      <c r="B5012" t="s">
        <v>200</v>
      </c>
      <c r="C5012" t="s">
        <v>200</v>
      </c>
      <c r="D5012" t="s">
        <v>200</v>
      </c>
      <c r="E5012">
        <v>1.2840273528967181</v>
      </c>
      <c r="F5012">
        <v>0</v>
      </c>
      <c r="G5012">
        <v>0</v>
      </c>
      <c r="H5012">
        <v>19</v>
      </c>
      <c r="I5012">
        <v>2316</v>
      </c>
      <c r="J5012">
        <v>2316</v>
      </c>
    </row>
    <row r="5014" spans="1:10" ht="60">
      <c r="A5014" s="22" t="s">
        <v>1193</v>
      </c>
    </row>
    <row r="5015" spans="1:10">
      <c r="A5015" t="s">
        <v>184</v>
      </c>
      <c r="B5015" t="s">
        <v>185</v>
      </c>
      <c r="C5015" t="s">
        <v>188</v>
      </c>
      <c r="D5015" t="s">
        <v>189</v>
      </c>
      <c r="E5015" t="s">
        <v>190</v>
      </c>
      <c r="F5015" t="s">
        <v>191</v>
      </c>
      <c r="G5015" t="s">
        <v>192</v>
      </c>
      <c r="H5015" t="s">
        <v>193</v>
      </c>
    </row>
    <row r="5016" spans="1:10">
      <c r="A5016" t="s">
        <v>194</v>
      </c>
      <c r="B5016" t="s">
        <v>195</v>
      </c>
      <c r="C5016">
        <v>1.3878301424229611</v>
      </c>
      <c r="D5016">
        <v>0</v>
      </c>
      <c r="E5016">
        <v>0</v>
      </c>
      <c r="F5016">
        <v>19</v>
      </c>
      <c r="G5016">
        <v>1021</v>
      </c>
      <c r="H5016">
        <v>2316</v>
      </c>
    </row>
    <row r="5017" spans="1:10">
      <c r="A5017" t="s">
        <v>194</v>
      </c>
      <c r="B5017" t="s">
        <v>199</v>
      </c>
      <c r="C5017">
        <v>1.2071701973465141</v>
      </c>
      <c r="D5017">
        <v>0</v>
      </c>
      <c r="E5017">
        <v>0</v>
      </c>
      <c r="F5017">
        <v>18</v>
      </c>
      <c r="G5017">
        <v>1295</v>
      </c>
      <c r="H5017">
        <v>2316</v>
      </c>
    </row>
    <row r="5018" spans="1:10">
      <c r="A5018" t="s">
        <v>200</v>
      </c>
      <c r="B5018" t="s">
        <v>200</v>
      </c>
      <c r="C5018">
        <v>1.2840273528967181</v>
      </c>
      <c r="D5018">
        <v>0</v>
      </c>
      <c r="E5018">
        <v>0</v>
      </c>
      <c r="F5018">
        <v>19</v>
      </c>
      <c r="G5018">
        <v>2316</v>
      </c>
      <c r="H5018">
        <v>2316</v>
      </c>
    </row>
    <row r="5020" spans="1:10" ht="45">
      <c r="A5020" s="22" t="s">
        <v>1194</v>
      </c>
    </row>
    <row r="5021" spans="1:10">
      <c r="A5021" t="s">
        <v>184</v>
      </c>
      <c r="B5021" t="s">
        <v>185</v>
      </c>
      <c r="C5021" t="s">
        <v>186</v>
      </c>
      <c r="D5021" t="s">
        <v>187</v>
      </c>
      <c r="E5021" t="s">
        <v>188</v>
      </c>
      <c r="F5021" t="s">
        <v>189</v>
      </c>
      <c r="G5021" t="s">
        <v>190</v>
      </c>
      <c r="H5021" t="s">
        <v>191</v>
      </c>
      <c r="I5021" t="s">
        <v>192</v>
      </c>
      <c r="J5021" t="s">
        <v>193</v>
      </c>
    </row>
    <row r="5022" spans="1:10">
      <c r="A5022" t="s">
        <v>194</v>
      </c>
      <c r="B5022" t="s">
        <v>195</v>
      </c>
      <c r="C5022" t="s">
        <v>212</v>
      </c>
      <c r="D5022" t="s">
        <v>213</v>
      </c>
      <c r="E5022">
        <v>1.3600405924338079</v>
      </c>
      <c r="F5022">
        <v>1</v>
      </c>
      <c r="G5022">
        <v>0</v>
      </c>
      <c r="H5022">
        <v>19</v>
      </c>
      <c r="I5022">
        <v>745</v>
      </c>
      <c r="J5022">
        <v>2316</v>
      </c>
    </row>
    <row r="5023" spans="1:10">
      <c r="A5023" t="s">
        <v>194</v>
      </c>
      <c r="B5023" t="s">
        <v>195</v>
      </c>
      <c r="C5023" t="s">
        <v>214</v>
      </c>
      <c r="D5023" t="s">
        <v>213</v>
      </c>
      <c r="E5023">
        <v>1.0407253800731071</v>
      </c>
      <c r="F5023">
        <v>0</v>
      </c>
      <c r="G5023">
        <v>0</v>
      </c>
      <c r="H5023">
        <v>10</v>
      </c>
      <c r="I5023">
        <v>160</v>
      </c>
      <c r="J5023">
        <v>2316</v>
      </c>
    </row>
    <row r="5024" spans="1:10">
      <c r="A5024" t="s">
        <v>194</v>
      </c>
      <c r="B5024" t="s">
        <v>195</v>
      </c>
      <c r="C5024" t="s">
        <v>215</v>
      </c>
      <c r="D5024" t="s">
        <v>213</v>
      </c>
      <c r="E5024">
        <v>2.314684864872389</v>
      </c>
      <c r="F5024">
        <v>1</v>
      </c>
      <c r="G5024">
        <v>0</v>
      </c>
      <c r="H5024">
        <v>18</v>
      </c>
      <c r="I5024">
        <v>116</v>
      </c>
      <c r="J5024">
        <v>2316</v>
      </c>
    </row>
    <row r="5025" spans="1:10">
      <c r="A5025" t="s">
        <v>194</v>
      </c>
      <c r="B5025" t="s">
        <v>199</v>
      </c>
      <c r="C5025" t="s">
        <v>212</v>
      </c>
      <c r="D5025" t="s">
        <v>213</v>
      </c>
      <c r="E5025">
        <v>1.1749151617109801</v>
      </c>
      <c r="F5025">
        <v>0</v>
      </c>
      <c r="G5025">
        <v>0</v>
      </c>
      <c r="H5025">
        <v>18</v>
      </c>
      <c r="I5025">
        <v>965</v>
      </c>
      <c r="J5025">
        <v>2316</v>
      </c>
    </row>
    <row r="5026" spans="1:10">
      <c r="A5026" t="s">
        <v>194</v>
      </c>
      <c r="B5026" t="s">
        <v>199</v>
      </c>
      <c r="C5026" t="s">
        <v>214</v>
      </c>
      <c r="D5026" t="s">
        <v>213</v>
      </c>
      <c r="E5026">
        <v>1.1015355462259639</v>
      </c>
      <c r="F5026">
        <v>0</v>
      </c>
      <c r="G5026">
        <v>0</v>
      </c>
      <c r="H5026">
        <v>15</v>
      </c>
      <c r="I5026">
        <v>180</v>
      </c>
      <c r="J5026">
        <v>2316</v>
      </c>
    </row>
    <row r="5027" spans="1:10">
      <c r="A5027" t="s">
        <v>194</v>
      </c>
      <c r="B5027" t="s">
        <v>199</v>
      </c>
      <c r="C5027" t="s">
        <v>215</v>
      </c>
      <c r="D5027" t="s">
        <v>213</v>
      </c>
      <c r="E5027">
        <v>1.6899738404197571</v>
      </c>
      <c r="F5027">
        <v>0</v>
      </c>
      <c r="G5027">
        <v>0</v>
      </c>
      <c r="H5027">
        <v>15</v>
      </c>
      <c r="I5027">
        <v>150</v>
      </c>
      <c r="J5027">
        <v>2316</v>
      </c>
    </row>
    <row r="5028" spans="1:10">
      <c r="A5028" t="s">
        <v>200</v>
      </c>
      <c r="B5028" t="s">
        <v>200</v>
      </c>
      <c r="C5028" t="s">
        <v>200</v>
      </c>
      <c r="D5028" t="s">
        <v>200</v>
      </c>
      <c r="E5028">
        <v>1.2840273528967181</v>
      </c>
      <c r="F5028">
        <v>0</v>
      </c>
      <c r="G5028">
        <v>0</v>
      </c>
      <c r="H5028">
        <v>19</v>
      </c>
      <c r="I5028">
        <v>2316</v>
      </c>
      <c r="J5028">
        <v>2316</v>
      </c>
    </row>
    <row r="5030" spans="1:10" ht="60">
      <c r="A5030" s="22" t="s">
        <v>1195</v>
      </c>
    </row>
    <row r="5031" spans="1:10">
      <c r="A5031" t="s">
        <v>184</v>
      </c>
      <c r="B5031" t="s">
        <v>185</v>
      </c>
      <c r="C5031" t="s">
        <v>186</v>
      </c>
      <c r="D5031" t="s">
        <v>187</v>
      </c>
      <c r="E5031" t="s">
        <v>188</v>
      </c>
      <c r="F5031" t="s">
        <v>189</v>
      </c>
      <c r="G5031" t="s">
        <v>190</v>
      </c>
      <c r="H5031" t="s">
        <v>191</v>
      </c>
      <c r="I5031" t="s">
        <v>192</v>
      </c>
      <c r="J5031" t="s">
        <v>193</v>
      </c>
    </row>
    <row r="5032" spans="1:10">
      <c r="A5032" t="s">
        <v>194</v>
      </c>
      <c r="B5032" t="s">
        <v>195</v>
      </c>
      <c r="C5032" t="s">
        <v>217</v>
      </c>
      <c r="D5032" t="s">
        <v>218</v>
      </c>
      <c r="E5032">
        <v>1.425290332431792</v>
      </c>
      <c r="F5032">
        <v>1</v>
      </c>
      <c r="G5032">
        <v>0</v>
      </c>
      <c r="H5032">
        <v>10</v>
      </c>
      <c r="I5032">
        <v>437</v>
      </c>
      <c r="J5032">
        <v>2316</v>
      </c>
    </row>
    <row r="5033" spans="1:10">
      <c r="A5033" t="s">
        <v>194</v>
      </c>
      <c r="B5033" t="s">
        <v>195</v>
      </c>
      <c r="C5033" t="s">
        <v>219</v>
      </c>
      <c r="D5033" t="s">
        <v>218</v>
      </c>
      <c r="E5033">
        <v>1.469553301855872</v>
      </c>
      <c r="F5033">
        <v>0</v>
      </c>
      <c r="G5033">
        <v>0</v>
      </c>
      <c r="H5033">
        <v>18</v>
      </c>
      <c r="I5033">
        <v>430</v>
      </c>
      <c r="J5033">
        <v>2316</v>
      </c>
    </row>
    <row r="5034" spans="1:10">
      <c r="A5034" t="s">
        <v>194</v>
      </c>
      <c r="B5034" t="s">
        <v>195</v>
      </c>
      <c r="C5034" t="s">
        <v>220</v>
      </c>
      <c r="D5034" t="s">
        <v>218</v>
      </c>
      <c r="E5034">
        <v>1.0979454052337749</v>
      </c>
      <c r="F5034">
        <v>0</v>
      </c>
      <c r="G5034">
        <v>0</v>
      </c>
      <c r="H5034">
        <v>19</v>
      </c>
      <c r="I5034">
        <v>153</v>
      </c>
      <c r="J5034">
        <v>2316</v>
      </c>
    </row>
    <row r="5035" spans="1:10">
      <c r="A5035" t="s">
        <v>194</v>
      </c>
      <c r="B5035" t="s">
        <v>199</v>
      </c>
      <c r="C5035" t="s">
        <v>217</v>
      </c>
      <c r="D5035" t="s">
        <v>218</v>
      </c>
      <c r="E5035">
        <v>1.2614852875581319</v>
      </c>
      <c r="F5035">
        <v>0</v>
      </c>
      <c r="G5035">
        <v>0</v>
      </c>
      <c r="H5035">
        <v>18</v>
      </c>
      <c r="I5035">
        <v>708</v>
      </c>
      <c r="J5035">
        <v>2316</v>
      </c>
    </row>
    <row r="5036" spans="1:10">
      <c r="A5036" t="s">
        <v>194</v>
      </c>
      <c r="B5036" t="s">
        <v>199</v>
      </c>
      <c r="C5036" t="s">
        <v>219</v>
      </c>
      <c r="D5036" t="s">
        <v>218</v>
      </c>
      <c r="E5036">
        <v>1.2493023285939779</v>
      </c>
      <c r="F5036">
        <v>0</v>
      </c>
      <c r="G5036">
        <v>0</v>
      </c>
      <c r="H5036">
        <v>15</v>
      </c>
      <c r="I5036">
        <v>393</v>
      </c>
      <c r="J5036">
        <v>2316</v>
      </c>
    </row>
    <row r="5037" spans="1:10">
      <c r="A5037" t="s">
        <v>194</v>
      </c>
      <c r="B5037" t="s">
        <v>199</v>
      </c>
      <c r="C5037" t="s">
        <v>220</v>
      </c>
      <c r="D5037" t="s">
        <v>218</v>
      </c>
      <c r="E5037">
        <v>0.9378106580791935</v>
      </c>
      <c r="F5037">
        <v>0</v>
      </c>
      <c r="G5037">
        <v>0</v>
      </c>
      <c r="H5037">
        <v>15</v>
      </c>
      <c r="I5037">
        <v>194</v>
      </c>
      <c r="J5037">
        <v>2316</v>
      </c>
    </row>
    <row r="5038" spans="1:10">
      <c r="A5038" t="s">
        <v>200</v>
      </c>
      <c r="B5038" t="s">
        <v>200</v>
      </c>
      <c r="C5038" t="s">
        <v>200</v>
      </c>
      <c r="D5038" t="s">
        <v>200</v>
      </c>
      <c r="E5038">
        <v>1.2840273528967181</v>
      </c>
      <c r="F5038">
        <v>0</v>
      </c>
      <c r="G5038">
        <v>0</v>
      </c>
      <c r="H5038">
        <v>19</v>
      </c>
      <c r="I5038">
        <v>2316</v>
      </c>
      <c r="J5038">
        <v>2316</v>
      </c>
    </row>
    <row r="5040" spans="1:10" ht="45">
      <c r="A5040" s="22" t="s">
        <v>1196</v>
      </c>
    </row>
    <row r="5041" spans="1:10">
      <c r="A5041" t="s">
        <v>185</v>
      </c>
      <c r="B5041" t="s">
        <v>186</v>
      </c>
      <c r="C5041" t="s">
        <v>192</v>
      </c>
      <c r="D5041" t="s">
        <v>184</v>
      </c>
      <c r="E5041" t="s">
        <v>193</v>
      </c>
      <c r="F5041" t="s">
        <v>257</v>
      </c>
      <c r="G5041" t="s">
        <v>226</v>
      </c>
      <c r="H5041" t="s">
        <v>1197</v>
      </c>
      <c r="I5041" t="s">
        <v>1198</v>
      </c>
      <c r="J5041" t="s">
        <v>1199</v>
      </c>
    </row>
    <row r="5042" spans="1:10">
      <c r="A5042" t="s">
        <v>195</v>
      </c>
      <c r="B5042" t="s">
        <v>196</v>
      </c>
      <c r="C5042">
        <v>413</v>
      </c>
      <c r="D5042" t="s">
        <v>194</v>
      </c>
      <c r="E5042">
        <v>2677</v>
      </c>
      <c r="F5042" s="3">
        <v>0.2026</v>
      </c>
      <c r="G5042" s="3">
        <v>0.68210000000000004</v>
      </c>
      <c r="H5042" s="3">
        <v>2.9999999999999997E-4</v>
      </c>
      <c r="I5042" s="3">
        <v>9.1300000000000006E-2</v>
      </c>
      <c r="J5042" s="3">
        <v>2.3699999999999999E-2</v>
      </c>
    </row>
    <row r="5043" spans="1:10">
      <c r="A5043" t="s">
        <v>195</v>
      </c>
      <c r="B5043" t="s">
        <v>198</v>
      </c>
      <c r="C5043">
        <v>755</v>
      </c>
      <c r="D5043" t="s">
        <v>194</v>
      </c>
      <c r="E5043">
        <v>2677</v>
      </c>
      <c r="F5043" s="3">
        <v>0.24060000000000001</v>
      </c>
      <c r="G5043" s="3">
        <v>0.65890000000000004</v>
      </c>
      <c r="H5043" s="3">
        <v>5.9999999999999995E-4</v>
      </c>
      <c r="I5043" s="3">
        <v>8.7599999999999997E-2</v>
      </c>
      <c r="J5043" s="3">
        <v>1.23E-2</v>
      </c>
    </row>
    <row r="5044" spans="1:10">
      <c r="A5044" t="s">
        <v>199</v>
      </c>
      <c r="B5044" t="s">
        <v>196</v>
      </c>
      <c r="C5044">
        <v>525</v>
      </c>
      <c r="D5044" t="s">
        <v>194</v>
      </c>
      <c r="E5044">
        <v>2677</v>
      </c>
      <c r="F5044" s="3">
        <v>0.23719999999999999</v>
      </c>
      <c r="G5044" s="3">
        <v>0.5534</v>
      </c>
      <c r="I5044" s="3">
        <v>0.14480000000000001</v>
      </c>
      <c r="J5044" s="3">
        <v>6.4699999999999994E-2</v>
      </c>
    </row>
    <row r="5045" spans="1:10">
      <c r="A5045" t="s">
        <v>199</v>
      </c>
      <c r="B5045" t="s">
        <v>198</v>
      </c>
      <c r="C5045">
        <v>945</v>
      </c>
      <c r="D5045" t="s">
        <v>194</v>
      </c>
      <c r="E5045">
        <v>2677</v>
      </c>
      <c r="F5045" s="3">
        <v>0.24149999999999999</v>
      </c>
      <c r="G5045" s="3">
        <v>0.55479999999999996</v>
      </c>
      <c r="H5045" s="3">
        <v>5.0000000000000001E-4</v>
      </c>
      <c r="I5045" s="3">
        <v>0.18060000000000001</v>
      </c>
      <c r="J5045" s="3">
        <v>2.2599999999999999E-2</v>
      </c>
    </row>
    <row r="5046" spans="1:10">
      <c r="A5046" t="s">
        <v>200</v>
      </c>
      <c r="B5046" t="s">
        <v>200</v>
      </c>
      <c r="C5046">
        <v>2677</v>
      </c>
      <c r="D5046" t="s">
        <v>200</v>
      </c>
      <c r="E5046">
        <v>2677</v>
      </c>
      <c r="F5046" s="3">
        <v>0.2361</v>
      </c>
      <c r="G5046" s="3">
        <v>0.60360000000000003</v>
      </c>
      <c r="H5046" s="3">
        <v>5.0000000000000001E-4</v>
      </c>
      <c r="I5046" s="3">
        <v>0.13600000000000001</v>
      </c>
      <c r="J5046" s="3">
        <v>2.3800000000000002E-2</v>
      </c>
    </row>
    <row r="5048" spans="1:10" ht="45">
      <c r="A5048" s="22" t="s">
        <v>1200</v>
      </c>
    </row>
    <row r="5049" spans="1:10">
      <c r="A5049" t="s">
        <v>185</v>
      </c>
      <c r="B5049" t="s">
        <v>186</v>
      </c>
      <c r="C5049" t="s">
        <v>192</v>
      </c>
      <c r="D5049" t="s">
        <v>184</v>
      </c>
      <c r="E5049" t="s">
        <v>193</v>
      </c>
      <c r="F5049" t="s">
        <v>257</v>
      </c>
      <c r="G5049" t="s">
        <v>226</v>
      </c>
      <c r="H5049" t="s">
        <v>1197</v>
      </c>
      <c r="I5049" t="s">
        <v>1198</v>
      </c>
      <c r="J5049" t="s">
        <v>1199</v>
      </c>
    </row>
    <row r="5050" spans="1:10">
      <c r="A5050" t="s">
        <v>195</v>
      </c>
      <c r="B5050" t="s">
        <v>202</v>
      </c>
      <c r="C5050">
        <v>533</v>
      </c>
      <c r="D5050" t="s">
        <v>194</v>
      </c>
      <c r="E5050">
        <v>2677</v>
      </c>
      <c r="F5050" s="3">
        <v>0.21160000000000001</v>
      </c>
      <c r="G5050" s="3">
        <v>0.72519999999999996</v>
      </c>
      <c r="H5050" s="3">
        <v>6.9999999999999999E-4</v>
      </c>
      <c r="I5050" s="3">
        <v>5.21E-2</v>
      </c>
      <c r="J5050" s="3">
        <v>1.03E-2</v>
      </c>
    </row>
    <row r="5051" spans="1:10">
      <c r="A5051" t="s">
        <v>195</v>
      </c>
      <c r="B5051" t="s">
        <v>204</v>
      </c>
      <c r="C5051">
        <v>301</v>
      </c>
      <c r="D5051" t="s">
        <v>194</v>
      </c>
      <c r="E5051">
        <v>2677</v>
      </c>
      <c r="F5051" s="3">
        <v>0.27329999999999999</v>
      </c>
      <c r="G5051" s="3">
        <v>0.57430000000000003</v>
      </c>
      <c r="I5051" s="3">
        <v>0.1429</v>
      </c>
      <c r="J5051" s="3">
        <v>9.4999999999999998E-3</v>
      </c>
    </row>
    <row r="5052" spans="1:10">
      <c r="A5052" t="s">
        <v>195</v>
      </c>
      <c r="B5052" t="s">
        <v>205</v>
      </c>
      <c r="C5052">
        <v>334</v>
      </c>
      <c r="D5052" t="s">
        <v>194</v>
      </c>
      <c r="E5052">
        <v>2677</v>
      </c>
      <c r="F5052" s="3">
        <v>0.2525</v>
      </c>
      <c r="G5052" s="3">
        <v>0.5212</v>
      </c>
      <c r="H5052" s="3">
        <v>5.9999999999999995E-4</v>
      </c>
      <c r="I5052" s="3">
        <v>0.17710000000000001</v>
      </c>
      <c r="J5052" s="3">
        <v>4.8599999999999997E-2</v>
      </c>
    </row>
    <row r="5053" spans="1:10">
      <c r="A5053" t="s">
        <v>199</v>
      </c>
      <c r="B5053" t="s">
        <v>202</v>
      </c>
      <c r="C5053">
        <v>538</v>
      </c>
      <c r="D5053" t="s">
        <v>194</v>
      </c>
      <c r="E5053">
        <v>2677</v>
      </c>
      <c r="F5053" s="3">
        <v>0.224</v>
      </c>
      <c r="G5053" s="3">
        <v>0.59970000000000001</v>
      </c>
      <c r="I5053" s="3">
        <v>0.15659999999999999</v>
      </c>
      <c r="J5053" s="3">
        <v>1.9800000000000002E-2</v>
      </c>
    </row>
    <row r="5054" spans="1:10">
      <c r="A5054" t="s">
        <v>199</v>
      </c>
      <c r="B5054" t="s">
        <v>204</v>
      </c>
      <c r="C5054">
        <v>426</v>
      </c>
      <c r="D5054" t="s">
        <v>194</v>
      </c>
      <c r="E5054">
        <v>2677</v>
      </c>
      <c r="F5054" s="3">
        <v>0.2127</v>
      </c>
      <c r="G5054" s="3">
        <v>0.59309999999999996</v>
      </c>
      <c r="H5054" s="3">
        <v>2.0999999999999999E-3</v>
      </c>
      <c r="I5054" s="3">
        <v>0.15279999999999999</v>
      </c>
      <c r="J5054" s="3">
        <v>3.9300000000000002E-2</v>
      </c>
    </row>
    <row r="5055" spans="1:10">
      <c r="A5055" t="s">
        <v>199</v>
      </c>
      <c r="B5055" t="s">
        <v>205</v>
      </c>
      <c r="C5055">
        <v>506</v>
      </c>
      <c r="D5055" t="s">
        <v>194</v>
      </c>
      <c r="E5055">
        <v>2677</v>
      </c>
      <c r="F5055" s="3">
        <v>0.33579999999999999</v>
      </c>
      <c r="G5055" s="3">
        <v>0.34029999999999999</v>
      </c>
      <c r="I5055" s="3">
        <v>0.26369999999999999</v>
      </c>
      <c r="J5055" s="3">
        <v>6.0199999999999997E-2</v>
      </c>
    </row>
    <row r="5056" spans="1:10">
      <c r="A5056" t="s">
        <v>200</v>
      </c>
      <c r="B5056" t="s">
        <v>200</v>
      </c>
      <c r="C5056">
        <v>2677</v>
      </c>
      <c r="D5056" t="s">
        <v>200</v>
      </c>
      <c r="E5056">
        <v>2677</v>
      </c>
      <c r="F5056" s="3">
        <v>0.2361</v>
      </c>
      <c r="G5056" s="3">
        <v>0.60360000000000003</v>
      </c>
      <c r="H5056" s="3">
        <v>5.0000000000000001E-4</v>
      </c>
      <c r="I5056" s="3">
        <v>0.13600000000000001</v>
      </c>
      <c r="J5056" s="3">
        <v>2.3800000000000002E-2</v>
      </c>
    </row>
    <row r="5058" spans="1:10" ht="45">
      <c r="A5058" s="22" t="s">
        <v>1201</v>
      </c>
    </row>
    <row r="5059" spans="1:10">
      <c r="A5059" t="s">
        <v>185</v>
      </c>
      <c r="B5059" t="s">
        <v>186</v>
      </c>
      <c r="C5059" t="s">
        <v>192</v>
      </c>
      <c r="D5059" t="s">
        <v>184</v>
      </c>
      <c r="E5059" t="s">
        <v>193</v>
      </c>
      <c r="F5059" t="s">
        <v>257</v>
      </c>
      <c r="G5059" t="s">
        <v>226</v>
      </c>
      <c r="H5059" t="s">
        <v>1197</v>
      </c>
      <c r="I5059" t="s">
        <v>1198</v>
      </c>
      <c r="J5059" t="s">
        <v>1199</v>
      </c>
    </row>
    <row r="5060" spans="1:10">
      <c r="A5060" t="s">
        <v>195</v>
      </c>
      <c r="B5060" t="s">
        <v>207</v>
      </c>
      <c r="C5060">
        <v>322</v>
      </c>
      <c r="D5060" t="s">
        <v>194</v>
      </c>
      <c r="E5060">
        <v>2677</v>
      </c>
      <c r="F5060" s="3">
        <v>0.2016</v>
      </c>
      <c r="G5060" s="3">
        <v>0.65500000000000003</v>
      </c>
      <c r="I5060" s="3">
        <v>0.1159</v>
      </c>
      <c r="J5060" s="3">
        <v>2.7400000000000001E-2</v>
      </c>
    </row>
    <row r="5061" spans="1:10">
      <c r="A5061" t="s">
        <v>195</v>
      </c>
      <c r="B5061" t="s">
        <v>209</v>
      </c>
      <c r="C5061">
        <v>867</v>
      </c>
      <c r="D5061" t="s">
        <v>194</v>
      </c>
      <c r="E5061">
        <v>2677</v>
      </c>
      <c r="F5061" s="3">
        <v>0.24049999999999999</v>
      </c>
      <c r="G5061" s="3">
        <v>0.66879999999999995</v>
      </c>
      <c r="H5061" s="3">
        <v>6.9999999999999999E-4</v>
      </c>
      <c r="I5061" s="3">
        <v>7.8700000000000006E-2</v>
      </c>
      <c r="J5061" s="3">
        <v>1.12E-2</v>
      </c>
    </row>
    <row r="5062" spans="1:10">
      <c r="A5062" t="s">
        <v>199</v>
      </c>
      <c r="B5062" t="s">
        <v>207</v>
      </c>
      <c r="C5062">
        <v>283</v>
      </c>
      <c r="D5062" t="s">
        <v>194</v>
      </c>
      <c r="E5062">
        <v>2677</v>
      </c>
      <c r="F5062" s="3">
        <v>0.1331</v>
      </c>
      <c r="G5062" s="3">
        <v>0.49509999999999998</v>
      </c>
      <c r="H5062" s="3">
        <v>3.3E-3</v>
      </c>
      <c r="I5062" s="3">
        <v>0.30109999999999998</v>
      </c>
      <c r="J5062" s="3">
        <v>6.7299999999999999E-2</v>
      </c>
    </row>
    <row r="5063" spans="1:10">
      <c r="A5063" t="s">
        <v>199</v>
      </c>
      <c r="B5063" t="s">
        <v>209</v>
      </c>
      <c r="C5063">
        <v>1205</v>
      </c>
      <c r="D5063" t="s">
        <v>194</v>
      </c>
      <c r="E5063">
        <v>2677</v>
      </c>
      <c r="F5063" s="3">
        <v>0.25530000000000003</v>
      </c>
      <c r="G5063" s="3">
        <v>0.56259999999999999</v>
      </c>
      <c r="I5063" s="3">
        <v>0.15659999999999999</v>
      </c>
      <c r="J5063" s="3">
        <v>2.5499999999999998E-2</v>
      </c>
    </row>
    <row r="5064" spans="1:10">
      <c r="A5064" t="s">
        <v>200</v>
      </c>
      <c r="B5064" t="s">
        <v>200</v>
      </c>
      <c r="C5064">
        <v>2677</v>
      </c>
      <c r="D5064" t="s">
        <v>200</v>
      </c>
      <c r="E5064">
        <v>2677</v>
      </c>
      <c r="F5064" s="3">
        <v>0.2361</v>
      </c>
      <c r="G5064" s="3">
        <v>0.60360000000000003</v>
      </c>
      <c r="H5064" s="3">
        <v>5.0000000000000001E-4</v>
      </c>
      <c r="I5064" s="3">
        <v>0.13600000000000001</v>
      </c>
      <c r="J5064" s="3">
        <v>2.3800000000000002E-2</v>
      </c>
    </row>
    <row r="5066" spans="1:10" ht="45">
      <c r="A5066" s="22" t="s">
        <v>1202</v>
      </c>
    </row>
    <row r="5067" spans="1:10">
      <c r="A5067" t="s">
        <v>185</v>
      </c>
      <c r="B5067" t="s">
        <v>192</v>
      </c>
      <c r="C5067" t="s">
        <v>184</v>
      </c>
      <c r="D5067" t="s">
        <v>193</v>
      </c>
      <c r="E5067" t="s">
        <v>257</v>
      </c>
      <c r="F5067" t="s">
        <v>226</v>
      </c>
      <c r="G5067" t="s">
        <v>1197</v>
      </c>
      <c r="H5067" t="s">
        <v>1198</v>
      </c>
      <c r="I5067" t="s">
        <v>1199</v>
      </c>
    </row>
    <row r="5068" spans="1:10">
      <c r="A5068" t="s">
        <v>195</v>
      </c>
      <c r="B5068">
        <v>1189</v>
      </c>
      <c r="C5068" t="s">
        <v>194</v>
      </c>
      <c r="D5068">
        <v>2677</v>
      </c>
      <c r="E5068" s="3">
        <v>0.23050000000000001</v>
      </c>
      <c r="F5068" s="3">
        <v>0.6653</v>
      </c>
      <c r="G5068" s="3">
        <v>5.9999999999999995E-4</v>
      </c>
      <c r="H5068" s="3">
        <v>8.8300000000000003E-2</v>
      </c>
      <c r="I5068" s="3">
        <v>1.54E-2</v>
      </c>
    </row>
    <row r="5069" spans="1:10">
      <c r="A5069" t="s">
        <v>199</v>
      </c>
      <c r="B5069">
        <v>1488</v>
      </c>
      <c r="C5069" t="s">
        <v>194</v>
      </c>
      <c r="D5069">
        <v>2677</v>
      </c>
      <c r="E5069" s="3">
        <v>0.24049999999999999</v>
      </c>
      <c r="F5069" s="3">
        <v>0.5544</v>
      </c>
      <c r="G5069" s="3">
        <v>4.0000000000000002E-4</v>
      </c>
      <c r="H5069" s="3">
        <v>0.17419999999999999</v>
      </c>
      <c r="I5069" s="3">
        <v>3.0599999999999999E-2</v>
      </c>
    </row>
    <row r="5070" spans="1:10">
      <c r="A5070" t="s">
        <v>200</v>
      </c>
      <c r="B5070">
        <v>2677</v>
      </c>
      <c r="C5070" t="s">
        <v>200</v>
      </c>
      <c r="D5070">
        <v>2677</v>
      </c>
      <c r="E5070" s="3">
        <v>0.2361</v>
      </c>
      <c r="F5070" s="3">
        <v>0.60360000000000003</v>
      </c>
      <c r="G5070" s="3">
        <v>5.0000000000000001E-4</v>
      </c>
      <c r="H5070" s="3">
        <v>0.13600000000000001</v>
      </c>
      <c r="I5070" s="3">
        <v>2.3800000000000002E-2</v>
      </c>
    </row>
    <row r="5072" spans="1:10" ht="45">
      <c r="A5072" s="22" t="s">
        <v>1203</v>
      </c>
    </row>
    <row r="5073" spans="1:10">
      <c r="A5073" t="s">
        <v>185</v>
      </c>
      <c r="B5073" t="s">
        <v>186</v>
      </c>
      <c r="C5073" t="s">
        <v>192</v>
      </c>
      <c r="D5073" t="s">
        <v>184</v>
      </c>
      <c r="E5073" t="s">
        <v>193</v>
      </c>
      <c r="F5073" t="s">
        <v>257</v>
      </c>
      <c r="G5073" t="s">
        <v>226</v>
      </c>
      <c r="H5073" t="s">
        <v>1197</v>
      </c>
      <c r="I5073" t="s">
        <v>1198</v>
      </c>
      <c r="J5073" t="s">
        <v>1199</v>
      </c>
    </row>
    <row r="5074" spans="1:10">
      <c r="A5074" t="s">
        <v>195</v>
      </c>
      <c r="B5074" t="s">
        <v>212</v>
      </c>
      <c r="C5074">
        <v>873</v>
      </c>
      <c r="D5074" t="s">
        <v>194</v>
      </c>
      <c r="E5074">
        <v>2677</v>
      </c>
      <c r="F5074" s="3">
        <v>0.2263</v>
      </c>
      <c r="G5074" s="3">
        <v>0.67549999999999999</v>
      </c>
      <c r="H5074" s="3">
        <v>1E-4</v>
      </c>
      <c r="I5074" s="3">
        <v>8.8300000000000003E-2</v>
      </c>
      <c r="J5074" s="3">
        <v>9.7999999999999997E-3</v>
      </c>
    </row>
    <row r="5075" spans="1:10">
      <c r="A5075" t="s">
        <v>195</v>
      </c>
      <c r="B5075" t="s">
        <v>214</v>
      </c>
      <c r="C5075">
        <v>181</v>
      </c>
      <c r="D5075" t="s">
        <v>194</v>
      </c>
      <c r="E5075">
        <v>2677</v>
      </c>
      <c r="F5075" s="3">
        <v>0.2321</v>
      </c>
      <c r="G5075" s="3">
        <v>0.65510000000000002</v>
      </c>
      <c r="I5075" s="3">
        <v>9.35E-2</v>
      </c>
      <c r="J5075" s="3">
        <v>1.9400000000000001E-2</v>
      </c>
    </row>
    <row r="5076" spans="1:10">
      <c r="A5076" t="s">
        <v>195</v>
      </c>
      <c r="B5076" t="s">
        <v>215</v>
      </c>
      <c r="C5076">
        <v>135</v>
      </c>
      <c r="D5076" t="s">
        <v>194</v>
      </c>
      <c r="E5076">
        <v>2677</v>
      </c>
      <c r="F5076" s="3">
        <v>0.26519999999999999</v>
      </c>
      <c r="G5076" s="3">
        <v>0.59370000000000001</v>
      </c>
      <c r="H5076" s="3">
        <v>5.7000000000000002E-3</v>
      </c>
      <c r="I5076" s="3">
        <v>7.85E-2</v>
      </c>
      <c r="J5076" s="3">
        <v>5.6899999999999999E-2</v>
      </c>
    </row>
    <row r="5077" spans="1:10">
      <c r="A5077" t="s">
        <v>199</v>
      </c>
      <c r="B5077" t="s">
        <v>212</v>
      </c>
      <c r="C5077">
        <v>1118</v>
      </c>
      <c r="D5077" t="s">
        <v>194</v>
      </c>
      <c r="E5077">
        <v>2677</v>
      </c>
      <c r="F5077" s="3">
        <v>0.25530000000000003</v>
      </c>
      <c r="G5077" s="3">
        <v>0.55959999999999999</v>
      </c>
      <c r="H5077" s="3">
        <v>2.9999999999999997E-4</v>
      </c>
      <c r="I5077" s="3">
        <v>0.1555</v>
      </c>
      <c r="J5077" s="3">
        <v>2.93E-2</v>
      </c>
    </row>
    <row r="5078" spans="1:10">
      <c r="A5078" t="s">
        <v>199</v>
      </c>
      <c r="B5078" t="s">
        <v>214</v>
      </c>
      <c r="C5078">
        <v>197</v>
      </c>
      <c r="D5078" t="s">
        <v>194</v>
      </c>
      <c r="E5078">
        <v>2677</v>
      </c>
      <c r="F5078" s="3">
        <v>0.2198</v>
      </c>
      <c r="G5078" s="3">
        <v>0.46200000000000002</v>
      </c>
      <c r="H5078" s="3">
        <v>1.2999999999999999E-3</v>
      </c>
      <c r="I5078" s="3">
        <v>0.30680000000000002</v>
      </c>
      <c r="J5078" s="3">
        <v>0.01</v>
      </c>
    </row>
    <row r="5079" spans="1:10">
      <c r="A5079" t="s">
        <v>199</v>
      </c>
      <c r="B5079" t="s">
        <v>215</v>
      </c>
      <c r="C5079">
        <v>173</v>
      </c>
      <c r="D5079" t="s">
        <v>194</v>
      </c>
      <c r="E5079">
        <v>2677</v>
      </c>
      <c r="F5079" s="3">
        <v>0.1426</v>
      </c>
      <c r="G5079" s="3">
        <v>0.67359999999999998</v>
      </c>
      <c r="I5079" s="3">
        <v>0.1053</v>
      </c>
      <c r="J5079" s="3">
        <v>7.85E-2</v>
      </c>
    </row>
    <row r="5080" spans="1:10">
      <c r="A5080" t="s">
        <v>200</v>
      </c>
      <c r="B5080" t="s">
        <v>200</v>
      </c>
      <c r="C5080">
        <v>2677</v>
      </c>
      <c r="D5080" t="s">
        <v>200</v>
      </c>
      <c r="E5080">
        <v>2677</v>
      </c>
      <c r="F5080" s="3">
        <v>0.2361</v>
      </c>
      <c r="G5080" s="3">
        <v>0.60360000000000003</v>
      </c>
      <c r="H5080" s="3">
        <v>5.0000000000000001E-4</v>
      </c>
      <c r="I5080" s="3">
        <v>0.13600000000000001</v>
      </c>
      <c r="J5080" s="3">
        <v>2.3800000000000002E-2</v>
      </c>
    </row>
    <row r="5082" spans="1:10" ht="45">
      <c r="A5082" s="22" t="s">
        <v>1204</v>
      </c>
    </row>
    <row r="5083" spans="1:10">
      <c r="A5083" t="s">
        <v>185</v>
      </c>
      <c r="B5083" t="s">
        <v>186</v>
      </c>
      <c r="C5083" t="s">
        <v>192</v>
      </c>
      <c r="D5083" t="s">
        <v>184</v>
      </c>
      <c r="E5083" t="s">
        <v>193</v>
      </c>
      <c r="F5083" t="s">
        <v>257</v>
      </c>
      <c r="G5083" t="s">
        <v>226</v>
      </c>
      <c r="H5083" t="s">
        <v>1197</v>
      </c>
      <c r="I5083" t="s">
        <v>1198</v>
      </c>
      <c r="J5083" t="s">
        <v>1199</v>
      </c>
    </row>
    <row r="5084" spans="1:10">
      <c r="A5084" t="s">
        <v>195</v>
      </c>
      <c r="B5084" t="s">
        <v>217</v>
      </c>
      <c r="C5084">
        <v>499</v>
      </c>
      <c r="D5084" t="s">
        <v>194</v>
      </c>
      <c r="E5084">
        <v>2677</v>
      </c>
      <c r="F5084" s="3">
        <v>0.21679999999999999</v>
      </c>
      <c r="G5084" s="3">
        <v>0.67859999999999998</v>
      </c>
      <c r="I5084" s="3">
        <v>8.5000000000000006E-2</v>
      </c>
      <c r="J5084" s="3">
        <v>1.9599999999999999E-2</v>
      </c>
    </row>
    <row r="5085" spans="1:10">
      <c r="A5085" t="s">
        <v>195</v>
      </c>
      <c r="B5085" t="s">
        <v>219</v>
      </c>
      <c r="C5085">
        <v>507</v>
      </c>
      <c r="D5085" t="s">
        <v>194</v>
      </c>
      <c r="E5085">
        <v>2677</v>
      </c>
      <c r="F5085" s="3">
        <v>0.2195</v>
      </c>
      <c r="G5085" s="3">
        <v>0.67920000000000003</v>
      </c>
      <c r="H5085" s="3">
        <v>1.4E-3</v>
      </c>
      <c r="I5085" s="3">
        <v>9.11E-2</v>
      </c>
      <c r="J5085" s="3">
        <v>8.8000000000000005E-3</v>
      </c>
    </row>
    <row r="5086" spans="1:10">
      <c r="A5086" t="s">
        <v>195</v>
      </c>
      <c r="B5086" t="s">
        <v>220</v>
      </c>
      <c r="C5086">
        <v>182</v>
      </c>
      <c r="D5086" t="s">
        <v>194</v>
      </c>
      <c r="E5086">
        <v>2677</v>
      </c>
      <c r="F5086" s="3">
        <v>0.28410000000000002</v>
      </c>
      <c r="G5086" s="3">
        <v>0.60670000000000002</v>
      </c>
      <c r="I5086" s="3">
        <v>8.9700000000000002E-2</v>
      </c>
      <c r="J5086" s="3">
        <v>1.9599999999999999E-2</v>
      </c>
    </row>
    <row r="5087" spans="1:10">
      <c r="A5087" t="s">
        <v>199</v>
      </c>
      <c r="B5087" t="s">
        <v>217</v>
      </c>
      <c r="C5087">
        <v>814</v>
      </c>
      <c r="D5087" t="s">
        <v>194</v>
      </c>
      <c r="E5087">
        <v>2677</v>
      </c>
      <c r="F5087" s="3">
        <v>0.25580000000000003</v>
      </c>
      <c r="G5087" s="3">
        <v>0.54910000000000003</v>
      </c>
      <c r="H5087" s="3">
        <v>2.9999999999999997E-4</v>
      </c>
      <c r="I5087" s="3">
        <v>0.15840000000000001</v>
      </c>
      <c r="J5087" s="3">
        <v>3.6400000000000002E-2</v>
      </c>
    </row>
    <row r="5088" spans="1:10">
      <c r="A5088" t="s">
        <v>199</v>
      </c>
      <c r="B5088" t="s">
        <v>219</v>
      </c>
      <c r="C5088">
        <v>451</v>
      </c>
      <c r="D5088" t="s">
        <v>194</v>
      </c>
      <c r="E5088">
        <v>2677</v>
      </c>
      <c r="F5088" s="3">
        <v>0.2152</v>
      </c>
      <c r="G5088" s="3">
        <v>0.53849999999999998</v>
      </c>
      <c r="H5088" s="3">
        <v>8.0000000000000004E-4</v>
      </c>
      <c r="I5088" s="3">
        <v>0.2293</v>
      </c>
      <c r="J5088" s="3">
        <v>1.61E-2</v>
      </c>
    </row>
    <row r="5089" spans="1:10">
      <c r="A5089" t="s">
        <v>199</v>
      </c>
      <c r="B5089" t="s">
        <v>220</v>
      </c>
      <c r="C5089">
        <v>223</v>
      </c>
      <c r="D5089" t="s">
        <v>194</v>
      </c>
      <c r="E5089">
        <v>2677</v>
      </c>
      <c r="F5089" s="3">
        <v>0.2218</v>
      </c>
      <c r="G5089" s="3">
        <v>0.59970000000000001</v>
      </c>
      <c r="I5089" s="3">
        <v>0.14749999999999999</v>
      </c>
      <c r="J5089" s="3">
        <v>3.1E-2</v>
      </c>
    </row>
    <row r="5090" spans="1:10">
      <c r="A5090" t="s">
        <v>200</v>
      </c>
      <c r="B5090" t="s">
        <v>200</v>
      </c>
      <c r="C5090">
        <v>2677</v>
      </c>
      <c r="D5090" t="s">
        <v>200</v>
      </c>
      <c r="E5090">
        <v>2677</v>
      </c>
      <c r="F5090" s="3">
        <v>0.2361</v>
      </c>
      <c r="G5090" s="3">
        <v>0.60360000000000003</v>
      </c>
      <c r="H5090" s="3">
        <v>5.0000000000000001E-4</v>
      </c>
      <c r="I5090" s="3">
        <v>0.13600000000000001</v>
      </c>
      <c r="J5090" s="3">
        <v>2.3800000000000002E-2</v>
      </c>
    </row>
    <row r="5092" spans="1:10" ht="45">
      <c r="A5092" s="22" t="s">
        <v>1205</v>
      </c>
    </row>
    <row r="5093" spans="1:10">
      <c r="A5093" t="s">
        <v>185</v>
      </c>
      <c r="B5093" t="s">
        <v>186</v>
      </c>
      <c r="C5093" t="s">
        <v>192</v>
      </c>
      <c r="D5093" t="s">
        <v>184</v>
      </c>
      <c r="E5093" t="s">
        <v>193</v>
      </c>
      <c r="F5093" t="s">
        <v>257</v>
      </c>
      <c r="G5093" t="s">
        <v>1206</v>
      </c>
      <c r="H5093" t="s">
        <v>1207</v>
      </c>
    </row>
    <row r="5094" spans="1:10">
      <c r="A5094" t="s">
        <v>195</v>
      </c>
      <c r="B5094" t="s">
        <v>196</v>
      </c>
      <c r="C5094">
        <v>84</v>
      </c>
      <c r="D5094" t="s">
        <v>194</v>
      </c>
      <c r="E5094">
        <v>709</v>
      </c>
      <c r="F5094" s="3">
        <v>6.7199999999999996E-2</v>
      </c>
      <c r="G5094" s="3">
        <v>7.22E-2</v>
      </c>
      <c r="H5094" s="3">
        <v>0.86050000000000004</v>
      </c>
    </row>
    <row r="5095" spans="1:10">
      <c r="A5095" t="s">
        <v>195</v>
      </c>
      <c r="B5095" t="s">
        <v>198</v>
      </c>
      <c r="C5095">
        <v>134</v>
      </c>
      <c r="D5095" t="s">
        <v>194</v>
      </c>
      <c r="E5095">
        <v>709</v>
      </c>
      <c r="F5095" s="3">
        <v>8.4199999999999997E-2</v>
      </c>
      <c r="G5095" s="3">
        <v>0.19589999999999999</v>
      </c>
      <c r="H5095" s="3">
        <v>0.71989999999999998</v>
      </c>
    </row>
    <row r="5096" spans="1:10">
      <c r="A5096" t="s">
        <v>199</v>
      </c>
      <c r="B5096" t="s">
        <v>196</v>
      </c>
      <c r="C5096">
        <v>202</v>
      </c>
      <c r="D5096" t="s">
        <v>194</v>
      </c>
      <c r="E5096">
        <v>709</v>
      </c>
      <c r="F5096" s="3">
        <v>7.6100000000000001E-2</v>
      </c>
      <c r="G5096" s="3">
        <v>0.1206</v>
      </c>
      <c r="H5096" s="3">
        <v>0.8034</v>
      </c>
    </row>
    <row r="5097" spans="1:10">
      <c r="A5097" t="s">
        <v>199</v>
      </c>
      <c r="B5097" t="s">
        <v>198</v>
      </c>
      <c r="C5097">
        <v>274</v>
      </c>
      <c r="D5097" t="s">
        <v>194</v>
      </c>
      <c r="E5097">
        <v>709</v>
      </c>
      <c r="F5097" s="3">
        <v>5.8000000000000003E-2</v>
      </c>
      <c r="G5097" s="3">
        <v>0.1014</v>
      </c>
      <c r="H5097" s="3">
        <v>0.8407</v>
      </c>
    </row>
    <row r="5098" spans="1:10">
      <c r="A5098" t="s">
        <v>200</v>
      </c>
      <c r="B5098" t="s">
        <v>200</v>
      </c>
      <c r="C5098">
        <v>709</v>
      </c>
      <c r="D5098" t="s">
        <v>200</v>
      </c>
      <c r="E5098">
        <v>709</v>
      </c>
      <c r="F5098" s="3">
        <v>6.6299999999999998E-2</v>
      </c>
      <c r="G5098" s="3">
        <v>0.1208</v>
      </c>
      <c r="H5098" s="3">
        <v>0.81279999999999997</v>
      </c>
    </row>
    <row r="5100" spans="1:10" ht="60">
      <c r="A5100" s="22" t="s">
        <v>1208</v>
      </c>
    </row>
    <row r="5101" spans="1:10">
      <c r="A5101" t="s">
        <v>185</v>
      </c>
      <c r="B5101" t="s">
        <v>186</v>
      </c>
      <c r="C5101" t="s">
        <v>192</v>
      </c>
      <c r="D5101" t="s">
        <v>184</v>
      </c>
      <c r="E5101" t="s">
        <v>193</v>
      </c>
      <c r="F5101" t="s">
        <v>257</v>
      </c>
      <c r="G5101" t="s">
        <v>1206</v>
      </c>
      <c r="H5101" t="s">
        <v>1207</v>
      </c>
    </row>
    <row r="5102" spans="1:10">
      <c r="A5102" t="s">
        <v>195</v>
      </c>
      <c r="B5102" t="s">
        <v>202</v>
      </c>
      <c r="C5102">
        <v>43</v>
      </c>
      <c r="D5102" t="s">
        <v>194</v>
      </c>
      <c r="E5102">
        <v>709</v>
      </c>
      <c r="F5102" s="3">
        <v>0.1235</v>
      </c>
      <c r="G5102" s="3">
        <v>0.12470000000000001</v>
      </c>
      <c r="H5102" s="3">
        <v>0.75180000000000002</v>
      </c>
    </row>
    <row r="5103" spans="1:10">
      <c r="A5103" t="s">
        <v>195</v>
      </c>
      <c r="B5103" t="s">
        <v>204</v>
      </c>
      <c r="C5103">
        <v>56</v>
      </c>
      <c r="D5103" t="s">
        <v>194</v>
      </c>
      <c r="E5103">
        <v>709</v>
      </c>
      <c r="F5103" s="3">
        <v>7.4000000000000003E-3</v>
      </c>
      <c r="G5103" s="3">
        <v>0.29920000000000002</v>
      </c>
      <c r="H5103" s="3">
        <v>0.69340000000000002</v>
      </c>
    </row>
    <row r="5104" spans="1:10">
      <c r="A5104" t="s">
        <v>195</v>
      </c>
      <c r="B5104" t="s">
        <v>205</v>
      </c>
      <c r="C5104">
        <v>119</v>
      </c>
      <c r="D5104" t="s">
        <v>194</v>
      </c>
      <c r="E5104">
        <v>709</v>
      </c>
      <c r="F5104" s="3">
        <v>9.7199999999999995E-2</v>
      </c>
      <c r="G5104" s="3">
        <v>5.57E-2</v>
      </c>
      <c r="H5104" s="3">
        <v>0.84709999999999996</v>
      </c>
    </row>
    <row r="5105" spans="1:8">
      <c r="A5105" t="s">
        <v>199</v>
      </c>
      <c r="B5105" t="s">
        <v>202</v>
      </c>
      <c r="C5105">
        <v>79</v>
      </c>
      <c r="D5105" t="s">
        <v>194</v>
      </c>
      <c r="E5105">
        <v>709</v>
      </c>
      <c r="F5105" s="3">
        <v>7.4499999999999997E-2</v>
      </c>
      <c r="G5105" s="3">
        <v>0.14249999999999999</v>
      </c>
      <c r="H5105" s="3">
        <v>0.78300000000000003</v>
      </c>
    </row>
    <row r="5106" spans="1:8">
      <c r="A5106" t="s">
        <v>199</v>
      </c>
      <c r="B5106" t="s">
        <v>204</v>
      </c>
      <c r="C5106">
        <v>150</v>
      </c>
      <c r="D5106" t="s">
        <v>194</v>
      </c>
      <c r="E5106">
        <v>709</v>
      </c>
      <c r="F5106" s="3">
        <v>2.41E-2</v>
      </c>
      <c r="G5106" s="3">
        <v>5.7200000000000001E-2</v>
      </c>
      <c r="H5106" s="3">
        <v>0.91869999999999996</v>
      </c>
    </row>
    <row r="5107" spans="1:8">
      <c r="A5107" t="s">
        <v>199</v>
      </c>
      <c r="B5107" t="s">
        <v>205</v>
      </c>
      <c r="C5107">
        <v>247</v>
      </c>
      <c r="D5107" t="s">
        <v>194</v>
      </c>
      <c r="E5107">
        <v>709</v>
      </c>
      <c r="F5107" s="3">
        <v>5.9799999999999999E-2</v>
      </c>
      <c r="G5107" s="3">
        <v>6.0699999999999997E-2</v>
      </c>
      <c r="H5107" s="3">
        <v>0.87949999999999995</v>
      </c>
    </row>
    <row r="5108" spans="1:8">
      <c r="A5108" t="s">
        <v>200</v>
      </c>
      <c r="B5108" t="s">
        <v>200</v>
      </c>
      <c r="C5108">
        <v>709</v>
      </c>
      <c r="D5108" t="s">
        <v>200</v>
      </c>
      <c r="E5108">
        <v>709</v>
      </c>
      <c r="F5108" s="3">
        <v>6.6299999999999998E-2</v>
      </c>
      <c r="G5108" s="3">
        <v>0.1208</v>
      </c>
      <c r="H5108" s="3">
        <v>0.81279999999999997</v>
      </c>
    </row>
    <row r="5110" spans="1:8" ht="60">
      <c r="A5110" s="22" t="s">
        <v>1209</v>
      </c>
    </row>
    <row r="5111" spans="1:8">
      <c r="A5111" t="s">
        <v>185</v>
      </c>
      <c r="B5111" t="s">
        <v>186</v>
      </c>
      <c r="C5111" t="s">
        <v>192</v>
      </c>
      <c r="D5111" t="s">
        <v>184</v>
      </c>
      <c r="E5111" t="s">
        <v>193</v>
      </c>
      <c r="F5111" t="s">
        <v>257</v>
      </c>
      <c r="G5111" t="s">
        <v>1206</v>
      </c>
      <c r="H5111" t="s">
        <v>1207</v>
      </c>
    </row>
    <row r="5112" spans="1:8">
      <c r="A5112" t="s">
        <v>195</v>
      </c>
      <c r="B5112" t="s">
        <v>207</v>
      </c>
      <c r="C5112">
        <v>69</v>
      </c>
      <c r="D5112" t="s">
        <v>194</v>
      </c>
      <c r="E5112">
        <v>709</v>
      </c>
      <c r="F5112" s="3">
        <v>8.5199999999999998E-2</v>
      </c>
      <c r="G5112" s="3">
        <v>5.6099999999999997E-2</v>
      </c>
      <c r="H5112" s="3">
        <v>0.85870000000000002</v>
      </c>
    </row>
    <row r="5113" spans="1:8">
      <c r="A5113" t="s">
        <v>195</v>
      </c>
      <c r="B5113" t="s">
        <v>209</v>
      </c>
      <c r="C5113">
        <v>154</v>
      </c>
      <c r="D5113" t="s">
        <v>194</v>
      </c>
      <c r="E5113">
        <v>709</v>
      </c>
      <c r="F5113" s="3">
        <v>7.5600000000000001E-2</v>
      </c>
      <c r="G5113" s="3">
        <v>0.2157</v>
      </c>
      <c r="H5113" s="3">
        <v>0.70879999999999999</v>
      </c>
    </row>
    <row r="5114" spans="1:8">
      <c r="A5114" t="s">
        <v>199</v>
      </c>
      <c r="B5114" t="s">
        <v>207</v>
      </c>
      <c r="C5114">
        <v>135</v>
      </c>
      <c r="D5114" t="s">
        <v>194</v>
      </c>
      <c r="E5114">
        <v>709</v>
      </c>
      <c r="F5114" s="3">
        <v>3.9699999999999999E-2</v>
      </c>
      <c r="G5114" s="3">
        <v>4.5699999999999998E-2</v>
      </c>
      <c r="H5114" s="3">
        <v>0.91469999999999996</v>
      </c>
    </row>
    <row r="5115" spans="1:8">
      <c r="A5115" t="s">
        <v>199</v>
      </c>
      <c r="B5115" t="s">
        <v>209</v>
      </c>
      <c r="C5115">
        <v>351</v>
      </c>
      <c r="D5115" t="s">
        <v>194</v>
      </c>
      <c r="E5115">
        <v>709</v>
      </c>
      <c r="F5115" s="3">
        <v>6.7299999999999999E-2</v>
      </c>
      <c r="G5115" s="3">
        <v>0.1222</v>
      </c>
      <c r="H5115" s="3">
        <v>0.81059999999999999</v>
      </c>
    </row>
    <row r="5116" spans="1:8">
      <c r="A5116" t="s">
        <v>200</v>
      </c>
      <c r="B5116" t="s">
        <v>200</v>
      </c>
      <c r="C5116">
        <v>709</v>
      </c>
      <c r="D5116" t="s">
        <v>200</v>
      </c>
      <c r="E5116">
        <v>709</v>
      </c>
      <c r="F5116" s="3">
        <v>6.6299999999999998E-2</v>
      </c>
      <c r="G5116" s="3">
        <v>0.1208</v>
      </c>
      <c r="H5116" s="3">
        <v>0.81279999999999997</v>
      </c>
    </row>
    <row r="5118" spans="1:8" ht="60">
      <c r="A5118" s="22" t="s">
        <v>1210</v>
      </c>
    </row>
    <row r="5119" spans="1:8">
      <c r="A5119" t="s">
        <v>185</v>
      </c>
      <c r="B5119" t="s">
        <v>192</v>
      </c>
      <c r="C5119" t="s">
        <v>184</v>
      </c>
      <c r="D5119" t="s">
        <v>193</v>
      </c>
      <c r="E5119" t="s">
        <v>257</v>
      </c>
      <c r="F5119" t="s">
        <v>1206</v>
      </c>
      <c r="G5119" t="s">
        <v>1207</v>
      </c>
    </row>
    <row r="5120" spans="1:8">
      <c r="A5120" t="s">
        <v>195</v>
      </c>
      <c r="B5120">
        <v>223</v>
      </c>
      <c r="C5120" t="s">
        <v>194</v>
      </c>
      <c r="D5120">
        <v>709</v>
      </c>
      <c r="E5120" s="3">
        <v>7.9000000000000001E-2</v>
      </c>
      <c r="F5120" s="3">
        <v>0.159</v>
      </c>
      <c r="G5120" s="3">
        <v>0.7621</v>
      </c>
    </row>
    <row r="5121" spans="1:8">
      <c r="A5121" t="s">
        <v>199</v>
      </c>
      <c r="B5121">
        <v>486</v>
      </c>
      <c r="C5121" t="s">
        <v>194</v>
      </c>
      <c r="D5121">
        <v>709</v>
      </c>
      <c r="E5121" s="3">
        <v>6.1199999999999997E-2</v>
      </c>
      <c r="F5121" s="3">
        <v>0.10539999999999999</v>
      </c>
      <c r="G5121" s="3">
        <v>0.83340000000000003</v>
      </c>
    </row>
    <row r="5122" spans="1:8">
      <c r="A5122" t="s">
        <v>200</v>
      </c>
      <c r="B5122">
        <v>709</v>
      </c>
      <c r="C5122" t="s">
        <v>200</v>
      </c>
      <c r="D5122">
        <v>709</v>
      </c>
      <c r="E5122" s="3">
        <v>6.6299999999999998E-2</v>
      </c>
      <c r="F5122" s="3">
        <v>0.1208</v>
      </c>
      <c r="G5122" s="3">
        <v>0.81279999999999997</v>
      </c>
    </row>
    <row r="5124" spans="1:8" ht="45">
      <c r="A5124" s="22" t="s">
        <v>1211</v>
      </c>
    </row>
    <row r="5125" spans="1:8">
      <c r="A5125" t="s">
        <v>185</v>
      </c>
      <c r="B5125" t="s">
        <v>186</v>
      </c>
      <c r="C5125" t="s">
        <v>192</v>
      </c>
      <c r="D5125" t="s">
        <v>184</v>
      </c>
      <c r="E5125" t="s">
        <v>193</v>
      </c>
      <c r="F5125" t="s">
        <v>257</v>
      </c>
      <c r="G5125" t="s">
        <v>1206</v>
      </c>
      <c r="H5125" t="s">
        <v>1207</v>
      </c>
    </row>
    <row r="5126" spans="1:8">
      <c r="A5126" t="s">
        <v>195</v>
      </c>
      <c r="B5126" t="s">
        <v>212</v>
      </c>
      <c r="C5126">
        <v>156</v>
      </c>
      <c r="D5126" t="s">
        <v>194</v>
      </c>
      <c r="E5126">
        <v>709</v>
      </c>
      <c r="F5126" s="3">
        <v>6.3100000000000003E-2</v>
      </c>
      <c r="G5126" s="3">
        <v>0.19259999999999999</v>
      </c>
      <c r="H5126" s="3">
        <v>0.74429999999999996</v>
      </c>
    </row>
    <row r="5127" spans="1:8">
      <c r="A5127" t="s">
        <v>195</v>
      </c>
      <c r="B5127" t="s">
        <v>214</v>
      </c>
      <c r="C5127">
        <v>37</v>
      </c>
      <c r="D5127" t="s">
        <v>194</v>
      </c>
      <c r="E5127">
        <v>709</v>
      </c>
      <c r="F5127" s="3">
        <v>0.1178</v>
      </c>
      <c r="G5127" s="3">
        <v>6.3E-3</v>
      </c>
      <c r="H5127" s="3">
        <v>0.87580000000000002</v>
      </c>
    </row>
    <row r="5128" spans="1:8">
      <c r="A5128" t="s">
        <v>195</v>
      </c>
      <c r="B5128" t="s">
        <v>215</v>
      </c>
      <c r="C5128">
        <v>30</v>
      </c>
      <c r="D5128" t="s">
        <v>194</v>
      </c>
      <c r="E5128">
        <v>709</v>
      </c>
      <c r="F5128" s="3">
        <v>0.1182</v>
      </c>
      <c r="G5128" s="3">
        <v>0.19170000000000001</v>
      </c>
      <c r="H5128" s="3">
        <v>0.69010000000000005</v>
      </c>
    </row>
    <row r="5129" spans="1:8">
      <c r="A5129" t="s">
        <v>199</v>
      </c>
      <c r="B5129" t="s">
        <v>212</v>
      </c>
      <c r="C5129">
        <v>363</v>
      </c>
      <c r="D5129" t="s">
        <v>194</v>
      </c>
      <c r="E5129">
        <v>709</v>
      </c>
      <c r="F5129" s="3">
        <v>3.6600000000000001E-2</v>
      </c>
      <c r="G5129" s="3">
        <v>0.105</v>
      </c>
      <c r="H5129" s="3">
        <v>0.85850000000000004</v>
      </c>
    </row>
    <row r="5130" spans="1:8">
      <c r="A5130" t="s">
        <v>199</v>
      </c>
      <c r="B5130" t="s">
        <v>214</v>
      </c>
      <c r="C5130">
        <v>68</v>
      </c>
      <c r="D5130" t="s">
        <v>194</v>
      </c>
      <c r="E5130">
        <v>709</v>
      </c>
      <c r="F5130" s="3">
        <v>0.1183</v>
      </c>
      <c r="G5130" s="3">
        <v>0.13500000000000001</v>
      </c>
      <c r="H5130" s="3">
        <v>0.74670000000000003</v>
      </c>
    </row>
    <row r="5131" spans="1:8">
      <c r="A5131" t="s">
        <v>199</v>
      </c>
      <c r="B5131" t="s">
        <v>215</v>
      </c>
      <c r="C5131">
        <v>55</v>
      </c>
      <c r="D5131" t="s">
        <v>194</v>
      </c>
      <c r="E5131">
        <v>709</v>
      </c>
      <c r="F5131" s="3">
        <v>0.1091</v>
      </c>
      <c r="G5131" s="3">
        <v>1.7500000000000002E-2</v>
      </c>
      <c r="H5131" s="3">
        <v>0.87329999999999997</v>
      </c>
    </row>
    <row r="5132" spans="1:8">
      <c r="A5132" t="s">
        <v>200</v>
      </c>
      <c r="B5132" t="s">
        <v>200</v>
      </c>
      <c r="C5132">
        <v>709</v>
      </c>
      <c r="D5132" t="s">
        <v>200</v>
      </c>
      <c r="E5132">
        <v>709</v>
      </c>
      <c r="F5132" s="3">
        <v>6.6299999999999998E-2</v>
      </c>
      <c r="G5132" s="3">
        <v>0.1208</v>
      </c>
      <c r="H5132" s="3">
        <v>0.81279999999999997</v>
      </c>
    </row>
    <row r="5134" spans="1:8" ht="45">
      <c r="A5134" s="22" t="s">
        <v>1212</v>
      </c>
    </row>
    <row r="5135" spans="1:8">
      <c r="A5135" t="s">
        <v>185</v>
      </c>
      <c r="B5135" t="s">
        <v>186</v>
      </c>
      <c r="C5135" t="s">
        <v>192</v>
      </c>
      <c r="D5135" t="s">
        <v>184</v>
      </c>
      <c r="E5135" t="s">
        <v>193</v>
      </c>
      <c r="F5135" t="s">
        <v>257</v>
      </c>
      <c r="G5135" t="s">
        <v>1206</v>
      </c>
      <c r="H5135" t="s">
        <v>1207</v>
      </c>
    </row>
    <row r="5136" spans="1:8">
      <c r="A5136" t="s">
        <v>195</v>
      </c>
      <c r="B5136" t="s">
        <v>217</v>
      </c>
      <c r="C5136">
        <v>93</v>
      </c>
      <c r="D5136" t="s">
        <v>194</v>
      </c>
      <c r="E5136">
        <v>709</v>
      </c>
      <c r="F5136" s="3">
        <v>6.5500000000000003E-2</v>
      </c>
      <c r="G5136" s="3">
        <v>0.16309999999999999</v>
      </c>
      <c r="H5136" s="3">
        <v>0.77139999999999997</v>
      </c>
    </row>
    <row r="5137" spans="1:13">
      <c r="A5137" t="s">
        <v>195</v>
      </c>
      <c r="B5137" t="s">
        <v>219</v>
      </c>
      <c r="C5137">
        <v>91</v>
      </c>
      <c r="D5137" t="s">
        <v>194</v>
      </c>
      <c r="E5137">
        <v>709</v>
      </c>
      <c r="F5137" s="3">
        <v>0.1179</v>
      </c>
      <c r="G5137" s="3">
        <v>0.1014</v>
      </c>
      <c r="H5137" s="3">
        <v>0.78069999999999995</v>
      </c>
    </row>
    <row r="5138" spans="1:13">
      <c r="A5138" t="s">
        <v>195</v>
      </c>
      <c r="B5138" t="s">
        <v>220</v>
      </c>
      <c r="C5138">
        <v>38</v>
      </c>
      <c r="D5138" t="s">
        <v>194</v>
      </c>
      <c r="E5138">
        <v>709</v>
      </c>
      <c r="F5138" s="3">
        <v>3.4000000000000002E-2</v>
      </c>
      <c r="G5138" s="3">
        <v>0.2596</v>
      </c>
      <c r="H5138" s="3">
        <v>0.70640000000000003</v>
      </c>
    </row>
    <row r="5139" spans="1:13">
      <c r="A5139" t="s">
        <v>199</v>
      </c>
      <c r="B5139" t="s">
        <v>217</v>
      </c>
      <c r="C5139">
        <v>255</v>
      </c>
      <c r="D5139" t="s">
        <v>194</v>
      </c>
      <c r="E5139">
        <v>709</v>
      </c>
      <c r="F5139" s="3">
        <v>5.5E-2</v>
      </c>
      <c r="G5139" s="3">
        <v>0.08</v>
      </c>
      <c r="H5139" s="3">
        <v>0.86499999999999999</v>
      </c>
    </row>
    <row r="5140" spans="1:13">
      <c r="A5140" t="s">
        <v>199</v>
      </c>
      <c r="B5140" t="s">
        <v>219</v>
      </c>
      <c r="C5140">
        <v>147</v>
      </c>
      <c r="D5140" t="s">
        <v>194</v>
      </c>
      <c r="E5140">
        <v>709</v>
      </c>
      <c r="F5140" s="3">
        <v>0.1007</v>
      </c>
      <c r="G5140" s="3">
        <v>8.7599999999999997E-2</v>
      </c>
      <c r="H5140" s="3">
        <v>0.81159999999999999</v>
      </c>
    </row>
    <row r="5141" spans="1:13">
      <c r="A5141" t="s">
        <v>199</v>
      </c>
      <c r="B5141" t="s">
        <v>220</v>
      </c>
      <c r="C5141">
        <v>84</v>
      </c>
      <c r="D5141" t="s">
        <v>194</v>
      </c>
      <c r="E5141">
        <v>709</v>
      </c>
      <c r="F5141" s="3">
        <v>1.5E-3</v>
      </c>
      <c r="G5141" s="3">
        <v>0.24959999999999999</v>
      </c>
      <c r="H5141" s="3">
        <v>0.74890000000000001</v>
      </c>
    </row>
    <row r="5142" spans="1:13">
      <c r="A5142" t="s">
        <v>200</v>
      </c>
      <c r="B5142" t="s">
        <v>200</v>
      </c>
      <c r="C5142">
        <v>709</v>
      </c>
      <c r="D5142" t="s">
        <v>200</v>
      </c>
      <c r="E5142">
        <v>709</v>
      </c>
      <c r="F5142" s="3">
        <v>6.6299999999999998E-2</v>
      </c>
      <c r="G5142" s="3">
        <v>0.1208</v>
      </c>
      <c r="H5142" s="3">
        <v>0.81279999999999997</v>
      </c>
    </row>
    <row r="5144" spans="1:13" ht="30">
      <c r="A5144" s="22" t="s">
        <v>1213</v>
      </c>
    </row>
    <row r="5145" spans="1:13">
      <c r="A5145" t="s">
        <v>185</v>
      </c>
      <c r="B5145" t="s">
        <v>186</v>
      </c>
      <c r="C5145" t="s">
        <v>192</v>
      </c>
      <c r="D5145" t="s">
        <v>184</v>
      </c>
      <c r="E5145" t="s">
        <v>193</v>
      </c>
      <c r="F5145" t="s">
        <v>1214</v>
      </c>
      <c r="G5145" t="s">
        <v>257</v>
      </c>
      <c r="H5145" t="s">
        <v>1215</v>
      </c>
      <c r="I5145" t="s">
        <v>1216</v>
      </c>
      <c r="J5145" t="s">
        <v>1217</v>
      </c>
      <c r="K5145" t="s">
        <v>1218</v>
      </c>
      <c r="L5145" t="s">
        <v>1219</v>
      </c>
      <c r="M5145" t="s">
        <v>274</v>
      </c>
    </row>
    <row r="5146" spans="1:13">
      <c r="A5146" t="s">
        <v>195</v>
      </c>
      <c r="B5146" t="s">
        <v>196</v>
      </c>
      <c r="C5146">
        <v>413</v>
      </c>
      <c r="D5146" t="s">
        <v>194</v>
      </c>
      <c r="E5146">
        <v>2677</v>
      </c>
      <c r="F5146" s="3">
        <v>4.3099999999999999E-2</v>
      </c>
      <c r="H5146" s="3">
        <v>0.10290000000000001</v>
      </c>
      <c r="J5146" s="3">
        <v>0.78159999999999996</v>
      </c>
      <c r="K5146" s="3">
        <v>7.2400000000000006E-2</v>
      </c>
    </row>
    <row r="5147" spans="1:13">
      <c r="A5147" t="s">
        <v>195</v>
      </c>
      <c r="B5147" t="s">
        <v>198</v>
      </c>
      <c r="C5147">
        <v>755</v>
      </c>
      <c r="D5147" t="s">
        <v>194</v>
      </c>
      <c r="E5147">
        <v>2677</v>
      </c>
      <c r="F5147" s="3">
        <v>2.8799999999999999E-2</v>
      </c>
      <c r="H5147" s="3">
        <v>5.7799999999999997E-2</v>
      </c>
      <c r="J5147" s="3">
        <v>0.8407</v>
      </c>
      <c r="K5147" s="3">
        <v>6.2E-2</v>
      </c>
      <c r="M5147" s="3">
        <v>1.0699999999999999E-2</v>
      </c>
    </row>
    <row r="5148" spans="1:13">
      <c r="A5148" t="s">
        <v>199</v>
      </c>
      <c r="B5148" t="s">
        <v>196</v>
      </c>
      <c r="C5148">
        <v>525</v>
      </c>
      <c r="D5148" t="s">
        <v>194</v>
      </c>
      <c r="E5148">
        <v>2677</v>
      </c>
      <c r="H5148" s="3">
        <v>0.01</v>
      </c>
      <c r="I5148" s="3">
        <v>3.2000000000000002E-3</v>
      </c>
      <c r="J5148" s="3">
        <v>0.95720000000000005</v>
      </c>
      <c r="K5148" s="3">
        <v>2.3099999999999999E-2</v>
      </c>
      <c r="L5148" s="3">
        <v>5.7000000000000002E-3</v>
      </c>
      <c r="M5148" s="3">
        <v>8.0000000000000004E-4</v>
      </c>
    </row>
    <row r="5149" spans="1:13">
      <c r="A5149" t="s">
        <v>199</v>
      </c>
      <c r="B5149" t="s">
        <v>198</v>
      </c>
      <c r="C5149">
        <v>945</v>
      </c>
      <c r="D5149" t="s">
        <v>194</v>
      </c>
      <c r="E5149">
        <v>2677</v>
      </c>
      <c r="F5149" s="3">
        <v>2.0000000000000001E-4</v>
      </c>
      <c r="G5149" s="3">
        <v>1.4E-3</v>
      </c>
      <c r="H5149" s="3">
        <v>1.8E-3</v>
      </c>
      <c r="I5149" s="3">
        <v>2.7000000000000001E-3</v>
      </c>
      <c r="J5149" s="3">
        <v>0.93269999999999997</v>
      </c>
      <c r="K5149" s="3">
        <v>5.9200000000000003E-2</v>
      </c>
      <c r="L5149" s="3">
        <v>1.2999999999999999E-3</v>
      </c>
      <c r="M5149" s="3">
        <v>8.0000000000000004E-4</v>
      </c>
    </row>
    <row r="5150" spans="1:13">
      <c r="A5150" t="s">
        <v>200</v>
      </c>
      <c r="B5150" t="s">
        <v>200</v>
      </c>
      <c r="C5150">
        <v>2677</v>
      </c>
      <c r="D5150" t="s">
        <v>200</v>
      </c>
      <c r="E5150">
        <v>2677</v>
      </c>
      <c r="F5150" s="3">
        <v>1.4500000000000001E-2</v>
      </c>
      <c r="G5150" s="3">
        <v>6.9999999999999999E-4</v>
      </c>
      <c r="H5150" s="3">
        <v>3.2800000000000003E-2</v>
      </c>
      <c r="I5150" s="3">
        <v>1.5E-3</v>
      </c>
      <c r="J5150" s="3">
        <v>0.88729999999999998</v>
      </c>
      <c r="K5150" s="3">
        <v>5.8099999999999999E-2</v>
      </c>
      <c r="L5150" s="3">
        <v>1.1999999999999999E-3</v>
      </c>
      <c r="M5150" s="3">
        <v>3.8999999999999998E-3</v>
      </c>
    </row>
    <row r="5152" spans="1:13" ht="45">
      <c r="A5152" s="22" t="s">
        <v>1220</v>
      </c>
    </row>
    <row r="5153" spans="1:13">
      <c r="A5153" t="s">
        <v>185</v>
      </c>
      <c r="B5153" t="s">
        <v>186</v>
      </c>
      <c r="C5153" t="s">
        <v>192</v>
      </c>
      <c r="D5153" t="s">
        <v>184</v>
      </c>
      <c r="E5153" t="s">
        <v>193</v>
      </c>
      <c r="F5153" t="s">
        <v>1214</v>
      </c>
      <c r="G5153" t="s">
        <v>257</v>
      </c>
      <c r="H5153" t="s">
        <v>1215</v>
      </c>
      <c r="I5153" t="s">
        <v>1216</v>
      </c>
      <c r="J5153" t="s">
        <v>1217</v>
      </c>
      <c r="K5153" t="s">
        <v>1218</v>
      </c>
      <c r="L5153" t="s">
        <v>1219</v>
      </c>
      <c r="M5153" t="s">
        <v>274</v>
      </c>
    </row>
    <row r="5154" spans="1:13">
      <c r="A5154" t="s">
        <v>195</v>
      </c>
      <c r="B5154" t="s">
        <v>202</v>
      </c>
      <c r="C5154">
        <v>533</v>
      </c>
      <c r="D5154" t="s">
        <v>194</v>
      </c>
      <c r="E5154">
        <v>2677</v>
      </c>
      <c r="F5154" s="3">
        <v>4.1599999999999998E-2</v>
      </c>
      <c r="H5154" s="3">
        <v>6.8400000000000002E-2</v>
      </c>
      <c r="J5154" s="3">
        <v>0.80559999999999998</v>
      </c>
      <c r="K5154" s="3">
        <v>7.3300000000000004E-2</v>
      </c>
      <c r="M5154" s="3">
        <v>1.12E-2</v>
      </c>
    </row>
    <row r="5155" spans="1:13">
      <c r="A5155" t="s">
        <v>195</v>
      </c>
      <c r="B5155" t="s">
        <v>204</v>
      </c>
      <c r="C5155">
        <v>301</v>
      </c>
      <c r="D5155" t="s">
        <v>194</v>
      </c>
      <c r="E5155">
        <v>2677</v>
      </c>
      <c r="F5155" s="3">
        <v>1.6899999999999998E-2</v>
      </c>
      <c r="H5155" s="3">
        <v>6.54E-2</v>
      </c>
      <c r="J5155" s="3">
        <v>0.87409999999999999</v>
      </c>
      <c r="K5155" s="3">
        <v>4.3499999999999997E-2</v>
      </c>
    </row>
    <row r="5156" spans="1:13">
      <c r="A5156" t="s">
        <v>195</v>
      </c>
      <c r="B5156" t="s">
        <v>205</v>
      </c>
      <c r="C5156">
        <v>334</v>
      </c>
      <c r="D5156" t="s">
        <v>194</v>
      </c>
      <c r="E5156">
        <v>2677</v>
      </c>
      <c r="F5156" s="3">
        <v>1.46E-2</v>
      </c>
      <c r="H5156" s="3">
        <v>8.3799999999999999E-2</v>
      </c>
      <c r="J5156" s="3">
        <v>0.83979999999999999</v>
      </c>
      <c r="K5156" s="3">
        <v>5.7700000000000001E-2</v>
      </c>
      <c r="M5156" s="3">
        <v>4.1000000000000003E-3</v>
      </c>
    </row>
    <row r="5157" spans="1:13">
      <c r="A5157" t="s">
        <v>199</v>
      </c>
      <c r="B5157" t="s">
        <v>202</v>
      </c>
      <c r="C5157">
        <v>538</v>
      </c>
      <c r="D5157" t="s">
        <v>194</v>
      </c>
      <c r="E5157">
        <v>2677</v>
      </c>
      <c r="G5157" s="3">
        <v>1.6999999999999999E-3</v>
      </c>
      <c r="H5157" s="3">
        <v>1.9E-3</v>
      </c>
      <c r="I5157" s="3">
        <v>4.0000000000000002E-4</v>
      </c>
      <c r="J5157" s="3">
        <v>0.9355</v>
      </c>
      <c r="K5157" s="3">
        <v>5.7200000000000001E-2</v>
      </c>
      <c r="L5157" s="3">
        <v>3.3E-3</v>
      </c>
    </row>
    <row r="5158" spans="1:13">
      <c r="A5158" t="s">
        <v>199</v>
      </c>
      <c r="B5158" t="s">
        <v>204</v>
      </c>
      <c r="C5158">
        <v>426</v>
      </c>
      <c r="D5158" t="s">
        <v>194</v>
      </c>
      <c r="E5158">
        <v>2677</v>
      </c>
      <c r="H5158" s="3">
        <v>2.3999999999999998E-3</v>
      </c>
      <c r="I5158" s="3">
        <v>7.9000000000000008E-3</v>
      </c>
      <c r="J5158" s="3">
        <v>0.94830000000000003</v>
      </c>
      <c r="K5158" s="3">
        <v>3.7999999999999999E-2</v>
      </c>
      <c r="M5158" s="3">
        <v>3.3999999999999998E-3</v>
      </c>
    </row>
    <row r="5159" spans="1:13">
      <c r="A5159" t="s">
        <v>199</v>
      </c>
      <c r="B5159" t="s">
        <v>205</v>
      </c>
      <c r="C5159">
        <v>506</v>
      </c>
      <c r="D5159" t="s">
        <v>194</v>
      </c>
      <c r="E5159">
        <v>2677</v>
      </c>
      <c r="F5159" s="3">
        <v>6.9999999999999999E-4</v>
      </c>
      <c r="G5159" s="3">
        <v>6.9999999999999999E-4</v>
      </c>
      <c r="H5159" s="3">
        <v>9.9000000000000008E-3</v>
      </c>
      <c r="I5159" s="3">
        <v>5.5999999999999999E-3</v>
      </c>
      <c r="J5159" s="3">
        <v>0.93079999999999996</v>
      </c>
      <c r="K5159" s="3">
        <v>5.1400000000000001E-2</v>
      </c>
      <c r="M5159" s="3">
        <v>8.0000000000000004E-4</v>
      </c>
    </row>
    <row r="5160" spans="1:13">
      <c r="A5160" t="s">
        <v>200</v>
      </c>
      <c r="B5160" t="s">
        <v>200</v>
      </c>
      <c r="C5160">
        <v>2677</v>
      </c>
      <c r="D5160" t="s">
        <v>200</v>
      </c>
      <c r="E5160">
        <v>2677</v>
      </c>
      <c r="F5160" s="3">
        <v>1.4500000000000001E-2</v>
      </c>
      <c r="G5160" s="3">
        <v>6.9999999999999999E-4</v>
      </c>
      <c r="H5160" s="3">
        <v>3.2800000000000003E-2</v>
      </c>
      <c r="I5160" s="3">
        <v>1.5E-3</v>
      </c>
      <c r="J5160" s="3">
        <v>0.88729999999999998</v>
      </c>
      <c r="K5160" s="3">
        <v>5.8099999999999999E-2</v>
      </c>
      <c r="L5160" s="3">
        <v>1.1999999999999999E-3</v>
      </c>
      <c r="M5160" s="3">
        <v>3.8999999999999998E-3</v>
      </c>
    </row>
    <row r="5162" spans="1:13" ht="30">
      <c r="A5162" s="22" t="s">
        <v>1221</v>
      </c>
    </row>
    <row r="5163" spans="1:13">
      <c r="A5163" t="s">
        <v>185</v>
      </c>
      <c r="B5163" t="s">
        <v>186</v>
      </c>
      <c r="C5163" t="s">
        <v>192</v>
      </c>
      <c r="D5163" t="s">
        <v>184</v>
      </c>
      <c r="E5163" t="s">
        <v>193</v>
      </c>
      <c r="F5163" t="s">
        <v>1214</v>
      </c>
      <c r="G5163" t="s">
        <v>257</v>
      </c>
      <c r="H5163" t="s">
        <v>1215</v>
      </c>
      <c r="I5163" t="s">
        <v>1216</v>
      </c>
      <c r="J5163" t="s">
        <v>1217</v>
      </c>
      <c r="K5163" t="s">
        <v>1218</v>
      </c>
      <c r="L5163" t="s">
        <v>1219</v>
      </c>
      <c r="M5163" t="s">
        <v>274</v>
      </c>
    </row>
    <row r="5164" spans="1:13">
      <c r="A5164" t="s">
        <v>195</v>
      </c>
      <c r="B5164" t="s">
        <v>207</v>
      </c>
      <c r="C5164">
        <v>322</v>
      </c>
      <c r="D5164" t="s">
        <v>194</v>
      </c>
      <c r="E5164">
        <v>2677</v>
      </c>
      <c r="F5164" s="3">
        <v>4.48E-2</v>
      </c>
      <c r="H5164" s="3">
        <v>9.8199999999999996E-2</v>
      </c>
      <c r="J5164" s="3">
        <v>0.78859999999999997</v>
      </c>
      <c r="K5164" s="3">
        <v>6.3500000000000001E-2</v>
      </c>
      <c r="M5164" s="3">
        <v>4.8999999999999998E-3</v>
      </c>
    </row>
    <row r="5165" spans="1:13">
      <c r="A5165" t="s">
        <v>195</v>
      </c>
      <c r="B5165" t="s">
        <v>209</v>
      </c>
      <c r="C5165">
        <v>867</v>
      </c>
      <c r="D5165" t="s">
        <v>194</v>
      </c>
      <c r="E5165">
        <v>2677</v>
      </c>
      <c r="F5165" s="3">
        <v>2.8199999999999999E-2</v>
      </c>
      <c r="H5165" s="3">
        <v>5.9900000000000002E-2</v>
      </c>
      <c r="J5165" s="3">
        <v>0.83750000000000002</v>
      </c>
      <c r="K5165" s="3">
        <v>6.5600000000000006E-2</v>
      </c>
      <c r="M5165" s="3">
        <v>8.8000000000000005E-3</v>
      </c>
    </row>
    <row r="5166" spans="1:13">
      <c r="A5166" t="s">
        <v>199</v>
      </c>
      <c r="B5166" t="s">
        <v>207</v>
      </c>
      <c r="C5166">
        <v>283</v>
      </c>
      <c r="D5166" t="s">
        <v>194</v>
      </c>
      <c r="E5166">
        <v>2677</v>
      </c>
      <c r="H5166" s="3">
        <v>6.4000000000000003E-3</v>
      </c>
      <c r="I5166" s="3">
        <v>3.0999999999999999E-3</v>
      </c>
      <c r="J5166" s="3">
        <v>0.95199999999999996</v>
      </c>
      <c r="K5166" s="3">
        <v>2.9700000000000001E-2</v>
      </c>
      <c r="L5166" s="3">
        <v>8.6999999999999994E-3</v>
      </c>
    </row>
    <row r="5167" spans="1:13">
      <c r="A5167" t="s">
        <v>199</v>
      </c>
      <c r="B5167" t="s">
        <v>209</v>
      </c>
      <c r="C5167">
        <v>1205</v>
      </c>
      <c r="D5167" t="s">
        <v>194</v>
      </c>
      <c r="E5167">
        <v>2677</v>
      </c>
      <c r="F5167" s="3">
        <v>1E-4</v>
      </c>
      <c r="G5167" s="3">
        <v>1.2999999999999999E-3</v>
      </c>
      <c r="H5167" s="3">
        <v>2.8999999999999998E-3</v>
      </c>
      <c r="I5167" s="3">
        <v>2.7000000000000001E-3</v>
      </c>
      <c r="J5167" s="3">
        <v>0.93510000000000004</v>
      </c>
      <c r="K5167" s="3">
        <v>5.57E-2</v>
      </c>
      <c r="L5167" s="3">
        <v>1.1999999999999999E-3</v>
      </c>
      <c r="M5167" s="3">
        <v>8.9999999999999998E-4</v>
      </c>
    </row>
    <row r="5168" spans="1:13">
      <c r="A5168" t="s">
        <v>200</v>
      </c>
      <c r="B5168" t="s">
        <v>200</v>
      </c>
      <c r="C5168">
        <v>2677</v>
      </c>
      <c r="D5168" t="s">
        <v>200</v>
      </c>
      <c r="E5168">
        <v>2677</v>
      </c>
      <c r="F5168" s="3">
        <v>1.4500000000000001E-2</v>
      </c>
      <c r="G5168" s="3">
        <v>6.9999999999999999E-4</v>
      </c>
      <c r="H5168" s="3">
        <v>3.2800000000000003E-2</v>
      </c>
      <c r="I5168" s="3">
        <v>1.5E-3</v>
      </c>
      <c r="J5168" s="3">
        <v>0.88729999999999998</v>
      </c>
      <c r="K5168" s="3">
        <v>5.8099999999999999E-2</v>
      </c>
      <c r="L5168" s="3">
        <v>1.1999999999999999E-3</v>
      </c>
      <c r="M5168" s="3">
        <v>3.8999999999999998E-3</v>
      </c>
    </row>
    <row r="5170" spans="1:13" ht="30">
      <c r="A5170" s="22" t="s">
        <v>1222</v>
      </c>
    </row>
    <row r="5171" spans="1:13">
      <c r="A5171" t="s">
        <v>185</v>
      </c>
      <c r="B5171" t="s">
        <v>192</v>
      </c>
      <c r="C5171" t="s">
        <v>184</v>
      </c>
      <c r="D5171" t="s">
        <v>193</v>
      </c>
      <c r="E5171" t="s">
        <v>1214</v>
      </c>
      <c r="F5171" t="s">
        <v>257</v>
      </c>
      <c r="G5171" t="s">
        <v>1215</v>
      </c>
      <c r="H5171" t="s">
        <v>1216</v>
      </c>
      <c r="I5171" t="s">
        <v>1217</v>
      </c>
      <c r="J5171" t="s">
        <v>1218</v>
      </c>
      <c r="K5171" t="s">
        <v>1219</v>
      </c>
      <c r="L5171" t="s">
        <v>274</v>
      </c>
    </row>
    <row r="5172" spans="1:13">
      <c r="A5172" t="s">
        <v>195</v>
      </c>
      <c r="B5172">
        <v>1189</v>
      </c>
      <c r="C5172" t="s">
        <v>194</v>
      </c>
      <c r="D5172">
        <v>2677</v>
      </c>
      <c r="E5172" s="3">
        <v>3.2500000000000001E-2</v>
      </c>
      <c r="G5172" s="3">
        <v>6.9699999999999998E-2</v>
      </c>
      <c r="I5172" s="3">
        <v>0.82489999999999997</v>
      </c>
      <c r="J5172" s="3">
        <v>6.5100000000000005E-2</v>
      </c>
      <c r="L5172" s="3">
        <v>7.7999999999999996E-3</v>
      </c>
    </row>
    <row r="5173" spans="1:13">
      <c r="A5173" t="s">
        <v>199</v>
      </c>
      <c r="B5173">
        <v>1488</v>
      </c>
      <c r="C5173" t="s">
        <v>194</v>
      </c>
      <c r="D5173">
        <v>2677</v>
      </c>
      <c r="E5173" s="3">
        <v>1E-4</v>
      </c>
      <c r="F5173" s="3">
        <v>1.1999999999999999E-3</v>
      </c>
      <c r="G5173" s="3">
        <v>3.3E-3</v>
      </c>
      <c r="H5173" s="3">
        <v>2.8E-3</v>
      </c>
      <c r="I5173" s="3">
        <v>0.93720000000000003</v>
      </c>
      <c r="J5173" s="3">
        <v>5.2499999999999998E-2</v>
      </c>
      <c r="K5173" s="3">
        <v>2.0999999999999999E-3</v>
      </c>
      <c r="L5173" s="3">
        <v>8.0000000000000004E-4</v>
      </c>
    </row>
    <row r="5174" spans="1:13">
      <c r="A5174" t="s">
        <v>200</v>
      </c>
      <c r="B5174">
        <v>2677</v>
      </c>
      <c r="C5174" t="s">
        <v>200</v>
      </c>
      <c r="D5174">
        <v>2677</v>
      </c>
      <c r="E5174" s="3">
        <v>1.4500000000000001E-2</v>
      </c>
      <c r="F5174" s="3">
        <v>6.9999999999999999E-4</v>
      </c>
      <c r="G5174" s="3">
        <v>3.2800000000000003E-2</v>
      </c>
      <c r="H5174" s="3">
        <v>1.5E-3</v>
      </c>
      <c r="I5174" s="3">
        <v>0.88729999999999998</v>
      </c>
      <c r="J5174" s="3">
        <v>5.8099999999999999E-2</v>
      </c>
      <c r="K5174" s="3">
        <v>1.1999999999999999E-3</v>
      </c>
      <c r="L5174" s="3">
        <v>3.8999999999999998E-3</v>
      </c>
    </row>
    <row r="5176" spans="1:13" ht="30">
      <c r="A5176" s="22" t="s">
        <v>1223</v>
      </c>
    </row>
    <row r="5177" spans="1:13">
      <c r="A5177" t="s">
        <v>185</v>
      </c>
      <c r="B5177" t="s">
        <v>186</v>
      </c>
      <c r="C5177" t="s">
        <v>192</v>
      </c>
      <c r="D5177" t="s">
        <v>184</v>
      </c>
      <c r="E5177" t="s">
        <v>193</v>
      </c>
      <c r="F5177" t="s">
        <v>1214</v>
      </c>
      <c r="G5177" t="s">
        <v>257</v>
      </c>
      <c r="H5177" t="s">
        <v>1215</v>
      </c>
      <c r="I5177" t="s">
        <v>1216</v>
      </c>
      <c r="J5177" t="s">
        <v>1217</v>
      </c>
      <c r="K5177" t="s">
        <v>1218</v>
      </c>
      <c r="L5177" t="s">
        <v>1219</v>
      </c>
      <c r="M5177" t="s">
        <v>274</v>
      </c>
    </row>
    <row r="5178" spans="1:13">
      <c r="A5178" t="s">
        <v>195</v>
      </c>
      <c r="B5178" t="s">
        <v>212</v>
      </c>
      <c r="C5178">
        <v>873</v>
      </c>
      <c r="D5178" t="s">
        <v>194</v>
      </c>
      <c r="E5178">
        <v>2677</v>
      </c>
      <c r="F5178" s="3">
        <v>2.3099999999999999E-2</v>
      </c>
      <c r="H5178" s="3">
        <v>5.96E-2</v>
      </c>
      <c r="J5178" s="3">
        <v>0.86</v>
      </c>
      <c r="K5178" s="3">
        <v>5.0700000000000002E-2</v>
      </c>
      <c r="M5178" s="3">
        <v>6.6E-3</v>
      </c>
    </row>
    <row r="5179" spans="1:13">
      <c r="A5179" t="s">
        <v>195</v>
      </c>
      <c r="B5179" t="s">
        <v>214</v>
      </c>
      <c r="C5179">
        <v>181</v>
      </c>
      <c r="D5179" t="s">
        <v>194</v>
      </c>
      <c r="E5179">
        <v>2677</v>
      </c>
      <c r="F5179" s="3">
        <v>7.8899999999999998E-2</v>
      </c>
      <c r="H5179" s="3">
        <v>0.1152</v>
      </c>
      <c r="J5179" s="3">
        <v>0.67730000000000001</v>
      </c>
      <c r="K5179" s="3">
        <v>0.1115</v>
      </c>
      <c r="M5179" s="3">
        <v>1.7100000000000001E-2</v>
      </c>
    </row>
    <row r="5180" spans="1:13">
      <c r="A5180" t="s">
        <v>195</v>
      </c>
      <c r="B5180" t="s">
        <v>215</v>
      </c>
      <c r="C5180">
        <v>135</v>
      </c>
      <c r="D5180" t="s">
        <v>194</v>
      </c>
      <c r="E5180">
        <v>2677</v>
      </c>
      <c r="F5180" s="3">
        <v>2.5100000000000001E-2</v>
      </c>
      <c r="H5180" s="3">
        <v>7.1300000000000002E-2</v>
      </c>
      <c r="J5180" s="3">
        <v>0.80149999999999999</v>
      </c>
      <c r="K5180" s="3">
        <v>0.1021</v>
      </c>
    </row>
    <row r="5181" spans="1:13">
      <c r="A5181" t="s">
        <v>199</v>
      </c>
      <c r="B5181" t="s">
        <v>212</v>
      </c>
      <c r="C5181">
        <v>1118</v>
      </c>
      <c r="D5181" t="s">
        <v>194</v>
      </c>
      <c r="E5181">
        <v>2677</v>
      </c>
      <c r="F5181" s="3">
        <v>2.0000000000000001E-4</v>
      </c>
      <c r="G5181" s="3">
        <v>2.0000000000000001E-4</v>
      </c>
      <c r="H5181" s="3">
        <v>2.5999999999999999E-3</v>
      </c>
      <c r="I5181" s="3">
        <v>3.0000000000000001E-3</v>
      </c>
      <c r="J5181" s="3">
        <v>0.96189999999999998</v>
      </c>
      <c r="K5181" s="3">
        <v>3.1300000000000001E-2</v>
      </c>
      <c r="M5181" s="3">
        <v>8.9999999999999998E-4</v>
      </c>
    </row>
    <row r="5182" spans="1:13">
      <c r="A5182" t="s">
        <v>199</v>
      </c>
      <c r="B5182" t="s">
        <v>214</v>
      </c>
      <c r="C5182">
        <v>197</v>
      </c>
      <c r="D5182" t="s">
        <v>194</v>
      </c>
      <c r="E5182">
        <v>2677</v>
      </c>
      <c r="G5182" s="3">
        <v>7.0000000000000001E-3</v>
      </c>
      <c r="H5182" s="3">
        <v>8.0000000000000002E-3</v>
      </c>
      <c r="I5182" s="3">
        <v>4.0000000000000002E-4</v>
      </c>
      <c r="J5182" s="3">
        <v>0.79200000000000004</v>
      </c>
      <c r="K5182" s="3">
        <v>0.1847</v>
      </c>
      <c r="L5182" s="3">
        <v>7.0000000000000001E-3</v>
      </c>
      <c r="M5182" s="3">
        <v>8.9999999999999998E-4</v>
      </c>
    </row>
    <row r="5183" spans="1:13">
      <c r="A5183" t="s">
        <v>199</v>
      </c>
      <c r="B5183" t="s">
        <v>215</v>
      </c>
      <c r="C5183">
        <v>173</v>
      </c>
      <c r="D5183" t="s">
        <v>194</v>
      </c>
      <c r="E5183">
        <v>2677</v>
      </c>
      <c r="H5183" s="3">
        <v>1.5E-3</v>
      </c>
      <c r="I5183" s="3">
        <v>4.3E-3</v>
      </c>
      <c r="J5183" s="3">
        <v>0.97389999999999999</v>
      </c>
      <c r="K5183" s="3">
        <v>7.7000000000000002E-3</v>
      </c>
      <c r="L5183" s="3">
        <v>1.26E-2</v>
      </c>
    </row>
    <row r="5184" spans="1:13">
      <c r="A5184" t="s">
        <v>200</v>
      </c>
      <c r="B5184" t="s">
        <v>200</v>
      </c>
      <c r="C5184">
        <v>2677</v>
      </c>
      <c r="D5184" t="s">
        <v>200</v>
      </c>
      <c r="E5184">
        <v>2677</v>
      </c>
      <c r="F5184" s="3">
        <v>1.4500000000000001E-2</v>
      </c>
      <c r="G5184" s="3">
        <v>6.9999999999999999E-4</v>
      </c>
      <c r="H5184" s="3">
        <v>3.2800000000000003E-2</v>
      </c>
      <c r="I5184" s="3">
        <v>1.5E-3</v>
      </c>
      <c r="J5184" s="3">
        <v>0.88729999999999998</v>
      </c>
      <c r="K5184" s="3">
        <v>5.8099999999999999E-2</v>
      </c>
      <c r="L5184" s="3">
        <v>1.1999999999999999E-3</v>
      </c>
      <c r="M5184" s="3">
        <v>3.8999999999999998E-3</v>
      </c>
    </row>
    <row r="5186" spans="1:13" ht="30">
      <c r="A5186" s="22" t="s">
        <v>1224</v>
      </c>
    </row>
    <row r="5187" spans="1:13">
      <c r="A5187" t="s">
        <v>185</v>
      </c>
      <c r="B5187" t="s">
        <v>186</v>
      </c>
      <c r="C5187" t="s">
        <v>192</v>
      </c>
      <c r="D5187" t="s">
        <v>184</v>
      </c>
      <c r="E5187" t="s">
        <v>193</v>
      </c>
      <c r="F5187" t="s">
        <v>1214</v>
      </c>
      <c r="G5187" t="s">
        <v>257</v>
      </c>
      <c r="H5187" t="s">
        <v>1215</v>
      </c>
      <c r="I5187" t="s">
        <v>1216</v>
      </c>
      <c r="J5187" t="s">
        <v>1217</v>
      </c>
      <c r="K5187" t="s">
        <v>1218</v>
      </c>
      <c r="L5187" t="s">
        <v>1219</v>
      </c>
      <c r="M5187" t="s">
        <v>274</v>
      </c>
    </row>
    <row r="5188" spans="1:13">
      <c r="A5188" t="s">
        <v>195</v>
      </c>
      <c r="B5188" t="s">
        <v>217</v>
      </c>
      <c r="C5188">
        <v>499</v>
      </c>
      <c r="D5188" t="s">
        <v>194</v>
      </c>
      <c r="E5188">
        <v>2677</v>
      </c>
      <c r="F5188" s="3">
        <v>1.3100000000000001E-2</v>
      </c>
      <c r="H5188" s="3">
        <v>4.7500000000000001E-2</v>
      </c>
      <c r="J5188" s="3">
        <v>0.88329999999999997</v>
      </c>
      <c r="K5188" s="3">
        <v>5.1900000000000002E-2</v>
      </c>
      <c r="M5188" s="3">
        <v>4.3E-3</v>
      </c>
    </row>
    <row r="5189" spans="1:13">
      <c r="A5189" t="s">
        <v>195</v>
      </c>
      <c r="B5189" t="s">
        <v>219</v>
      </c>
      <c r="C5189">
        <v>507</v>
      </c>
      <c r="D5189" t="s">
        <v>194</v>
      </c>
      <c r="E5189">
        <v>2677</v>
      </c>
      <c r="F5189" s="3">
        <v>4.9099999999999998E-2</v>
      </c>
      <c r="H5189" s="3">
        <v>8.7900000000000006E-2</v>
      </c>
      <c r="J5189" s="3">
        <v>0.7742</v>
      </c>
      <c r="K5189" s="3">
        <v>8.0600000000000005E-2</v>
      </c>
      <c r="M5189" s="3">
        <v>8.0999999999999996E-3</v>
      </c>
    </row>
    <row r="5190" spans="1:13">
      <c r="A5190" t="s">
        <v>195</v>
      </c>
      <c r="B5190" t="s">
        <v>220</v>
      </c>
      <c r="C5190">
        <v>182</v>
      </c>
      <c r="D5190" t="s">
        <v>194</v>
      </c>
      <c r="E5190">
        <v>2677</v>
      </c>
      <c r="F5190" s="3">
        <v>4.1200000000000001E-2</v>
      </c>
      <c r="H5190" s="3">
        <v>8.1699999999999995E-2</v>
      </c>
      <c r="J5190" s="3">
        <v>0.79979999999999996</v>
      </c>
      <c r="K5190" s="3">
        <v>6.2300000000000001E-2</v>
      </c>
      <c r="M5190" s="3">
        <v>1.4999999999999999E-2</v>
      </c>
    </row>
    <row r="5191" spans="1:13">
      <c r="A5191" t="s">
        <v>199</v>
      </c>
      <c r="B5191" t="s">
        <v>217</v>
      </c>
      <c r="C5191">
        <v>814</v>
      </c>
      <c r="D5191" t="s">
        <v>194</v>
      </c>
      <c r="E5191">
        <v>2677</v>
      </c>
      <c r="G5191" s="3">
        <v>2.0000000000000001E-4</v>
      </c>
      <c r="H5191" s="3">
        <v>1.4E-3</v>
      </c>
      <c r="I5191" s="3">
        <v>3.0999999999999999E-3</v>
      </c>
      <c r="J5191" s="3">
        <v>0.97230000000000005</v>
      </c>
      <c r="K5191" s="3">
        <v>2.1299999999999999E-2</v>
      </c>
      <c r="L5191" s="3">
        <v>1.8E-3</v>
      </c>
    </row>
    <row r="5192" spans="1:13">
      <c r="A5192" t="s">
        <v>199</v>
      </c>
      <c r="B5192" t="s">
        <v>219</v>
      </c>
      <c r="C5192">
        <v>451</v>
      </c>
      <c r="D5192" t="s">
        <v>194</v>
      </c>
      <c r="E5192">
        <v>2677</v>
      </c>
      <c r="F5192" s="3">
        <v>5.0000000000000001E-4</v>
      </c>
      <c r="H5192" s="3">
        <v>8.8000000000000005E-3</v>
      </c>
      <c r="I5192" s="3">
        <v>2.0999999999999999E-3</v>
      </c>
      <c r="J5192" s="3">
        <v>0.89239999999999997</v>
      </c>
      <c r="K5192" s="3">
        <v>8.8700000000000001E-2</v>
      </c>
      <c r="L5192" s="3">
        <v>4.3E-3</v>
      </c>
      <c r="M5192" s="3">
        <v>3.2000000000000002E-3</v>
      </c>
    </row>
    <row r="5193" spans="1:13">
      <c r="A5193" t="s">
        <v>199</v>
      </c>
      <c r="B5193" t="s">
        <v>220</v>
      </c>
      <c r="C5193">
        <v>223</v>
      </c>
      <c r="D5193" t="s">
        <v>194</v>
      </c>
      <c r="E5193">
        <v>2677</v>
      </c>
      <c r="G5193" s="3">
        <v>6.7000000000000002E-3</v>
      </c>
      <c r="H5193" s="3">
        <v>2.3E-3</v>
      </c>
      <c r="I5193" s="3">
        <v>2.5999999999999999E-3</v>
      </c>
      <c r="J5193" s="3">
        <v>0.87390000000000001</v>
      </c>
      <c r="K5193" s="3">
        <v>0.11459999999999999</v>
      </c>
    </row>
    <row r="5194" spans="1:13">
      <c r="A5194" t="s">
        <v>200</v>
      </c>
      <c r="B5194" t="s">
        <v>200</v>
      </c>
      <c r="C5194">
        <v>2677</v>
      </c>
      <c r="D5194" t="s">
        <v>200</v>
      </c>
      <c r="E5194">
        <v>2677</v>
      </c>
      <c r="F5194" s="3">
        <v>1.4500000000000001E-2</v>
      </c>
      <c r="G5194" s="3">
        <v>6.9999999999999999E-4</v>
      </c>
      <c r="H5194" s="3">
        <v>3.2800000000000003E-2</v>
      </c>
      <c r="I5194" s="3">
        <v>1.5E-3</v>
      </c>
      <c r="J5194" s="3">
        <v>0.88729999999999998</v>
      </c>
      <c r="K5194" s="3">
        <v>5.8099999999999999E-2</v>
      </c>
      <c r="L5194" s="3">
        <v>1.1999999999999999E-3</v>
      </c>
      <c r="M5194" s="3">
        <v>3.8999999999999998E-3</v>
      </c>
    </row>
    <row r="5196" spans="1:13" ht="30">
      <c r="A5196" s="22" t="s">
        <v>1225</v>
      </c>
    </row>
    <row r="5197" spans="1:13">
      <c r="A5197" t="s">
        <v>185</v>
      </c>
      <c r="B5197" t="s">
        <v>186</v>
      </c>
      <c r="C5197" t="s">
        <v>192</v>
      </c>
      <c r="D5197" t="s">
        <v>184</v>
      </c>
      <c r="E5197" t="s">
        <v>193</v>
      </c>
      <c r="F5197" t="s">
        <v>257</v>
      </c>
      <c r="G5197" t="s">
        <v>1226</v>
      </c>
      <c r="H5197" t="s">
        <v>274</v>
      </c>
      <c r="I5197" t="s">
        <v>247</v>
      </c>
      <c r="J5197" t="s">
        <v>1227</v>
      </c>
      <c r="K5197" t="s">
        <v>1228</v>
      </c>
      <c r="L5197" t="s">
        <v>1229</v>
      </c>
      <c r="M5197" t="s">
        <v>1230</v>
      </c>
    </row>
    <row r="5198" spans="1:13">
      <c r="A5198" t="s">
        <v>195</v>
      </c>
      <c r="B5198" t="s">
        <v>196</v>
      </c>
      <c r="C5198">
        <v>402</v>
      </c>
      <c r="D5198" t="s">
        <v>194</v>
      </c>
      <c r="E5198">
        <v>2643</v>
      </c>
      <c r="J5198" s="3">
        <v>0.14369999999999999</v>
      </c>
      <c r="K5198" s="3">
        <v>0.84750000000000003</v>
      </c>
      <c r="M5198" s="3">
        <v>8.8000000000000005E-3</v>
      </c>
    </row>
    <row r="5199" spans="1:13">
      <c r="A5199" t="s">
        <v>195</v>
      </c>
      <c r="B5199" t="s">
        <v>198</v>
      </c>
      <c r="C5199">
        <v>736</v>
      </c>
      <c r="D5199" t="s">
        <v>194</v>
      </c>
      <c r="E5199">
        <v>2643</v>
      </c>
      <c r="G5199" s="3">
        <v>6.9999999999999999E-4</v>
      </c>
      <c r="H5199" s="3">
        <v>8.0000000000000004E-4</v>
      </c>
      <c r="I5199" s="3">
        <v>1E-4</v>
      </c>
      <c r="J5199" s="3">
        <v>0.77569999999999995</v>
      </c>
      <c r="K5199" s="3">
        <v>0.2208</v>
      </c>
      <c r="M5199" s="3">
        <v>1.9E-3</v>
      </c>
    </row>
    <row r="5200" spans="1:13">
      <c r="A5200" t="s">
        <v>199</v>
      </c>
      <c r="B5200" t="s">
        <v>196</v>
      </c>
      <c r="C5200">
        <v>524</v>
      </c>
      <c r="D5200" t="s">
        <v>194</v>
      </c>
      <c r="E5200">
        <v>2643</v>
      </c>
      <c r="F5200" s="3">
        <v>8.0000000000000004E-4</v>
      </c>
      <c r="G5200" s="3">
        <v>1.6999999999999999E-3</v>
      </c>
      <c r="I5200" s="3">
        <v>5.9999999999999995E-4</v>
      </c>
      <c r="J5200" s="3">
        <v>0.18840000000000001</v>
      </c>
      <c r="K5200" s="3">
        <v>0.78180000000000005</v>
      </c>
      <c r="L5200" s="3">
        <v>5.7000000000000002E-3</v>
      </c>
      <c r="M5200" s="3">
        <v>2.1000000000000001E-2</v>
      </c>
    </row>
    <row r="5201" spans="1:13">
      <c r="A5201" t="s">
        <v>199</v>
      </c>
      <c r="B5201" t="s">
        <v>198</v>
      </c>
      <c r="C5201">
        <v>942</v>
      </c>
      <c r="D5201" t="s">
        <v>194</v>
      </c>
      <c r="E5201">
        <v>2643</v>
      </c>
      <c r="G5201" s="3">
        <v>1.2999999999999999E-3</v>
      </c>
      <c r="J5201" s="3">
        <v>0.74080000000000001</v>
      </c>
      <c r="K5201" s="3">
        <v>0.25729999999999997</v>
      </c>
      <c r="M5201" s="3">
        <v>5.9999999999999995E-4</v>
      </c>
    </row>
    <row r="5202" spans="1:13">
      <c r="A5202" t="s">
        <v>200</v>
      </c>
      <c r="B5202" t="s">
        <v>200</v>
      </c>
      <c r="C5202">
        <v>2643</v>
      </c>
      <c r="D5202" t="s">
        <v>200</v>
      </c>
      <c r="E5202">
        <v>2643</v>
      </c>
      <c r="F5202" s="3">
        <v>1E-4</v>
      </c>
      <c r="G5202" s="3">
        <v>1E-3</v>
      </c>
      <c r="H5202" s="3">
        <v>2.0000000000000001E-4</v>
      </c>
      <c r="I5202" s="3">
        <v>1E-4</v>
      </c>
      <c r="J5202" s="3">
        <v>0.62519999999999998</v>
      </c>
      <c r="K5202" s="3">
        <v>0.36870000000000003</v>
      </c>
      <c r="L5202" s="3">
        <v>5.9999999999999995E-4</v>
      </c>
      <c r="M5202" s="3">
        <v>4.1000000000000003E-3</v>
      </c>
    </row>
    <row r="5204" spans="1:13" ht="45">
      <c r="A5204" s="22" t="s">
        <v>1231</v>
      </c>
    </row>
    <row r="5205" spans="1:13">
      <c r="A5205" t="s">
        <v>185</v>
      </c>
      <c r="B5205" t="s">
        <v>186</v>
      </c>
      <c r="C5205" t="s">
        <v>192</v>
      </c>
      <c r="D5205" t="s">
        <v>184</v>
      </c>
      <c r="E5205" t="s">
        <v>193</v>
      </c>
      <c r="F5205" t="s">
        <v>257</v>
      </c>
      <c r="G5205" t="s">
        <v>1226</v>
      </c>
      <c r="H5205" t="s">
        <v>274</v>
      </c>
      <c r="I5205" t="s">
        <v>247</v>
      </c>
      <c r="J5205" t="s">
        <v>1227</v>
      </c>
      <c r="K5205" t="s">
        <v>1228</v>
      </c>
      <c r="L5205" t="s">
        <v>1229</v>
      </c>
      <c r="M5205" t="s">
        <v>1230</v>
      </c>
    </row>
    <row r="5206" spans="1:13">
      <c r="A5206" t="s">
        <v>195</v>
      </c>
      <c r="B5206" t="s">
        <v>202</v>
      </c>
      <c r="C5206">
        <v>511</v>
      </c>
      <c r="D5206" t="s">
        <v>194</v>
      </c>
      <c r="E5206">
        <v>2643</v>
      </c>
      <c r="G5206" s="3">
        <v>8.0000000000000004E-4</v>
      </c>
      <c r="J5206" s="3">
        <v>0.59030000000000005</v>
      </c>
      <c r="K5206" s="3">
        <v>0.40379999999999999</v>
      </c>
      <c r="M5206" s="3">
        <v>5.0000000000000001E-3</v>
      </c>
    </row>
    <row r="5207" spans="1:13">
      <c r="A5207" t="s">
        <v>195</v>
      </c>
      <c r="B5207" t="s">
        <v>204</v>
      </c>
      <c r="C5207">
        <v>298</v>
      </c>
      <c r="D5207" t="s">
        <v>194</v>
      </c>
      <c r="E5207">
        <v>2643</v>
      </c>
      <c r="J5207" s="3">
        <v>0.62649999999999995</v>
      </c>
      <c r="K5207" s="3">
        <v>0.37240000000000001</v>
      </c>
      <c r="M5207" s="3">
        <v>1.1000000000000001E-3</v>
      </c>
    </row>
    <row r="5208" spans="1:13">
      <c r="A5208" t="s">
        <v>195</v>
      </c>
      <c r="B5208" t="s">
        <v>205</v>
      </c>
      <c r="C5208">
        <v>329</v>
      </c>
      <c r="D5208" t="s">
        <v>194</v>
      </c>
      <c r="E5208">
        <v>2643</v>
      </c>
      <c r="H5208" s="3">
        <v>4.1000000000000003E-3</v>
      </c>
      <c r="I5208" s="3">
        <v>5.0000000000000001E-4</v>
      </c>
      <c r="J5208" s="3">
        <v>0.66500000000000004</v>
      </c>
      <c r="K5208" s="3">
        <v>0.32819999999999999</v>
      </c>
      <c r="M5208" s="3">
        <v>2.2000000000000001E-3</v>
      </c>
    </row>
    <row r="5209" spans="1:13">
      <c r="A5209" t="s">
        <v>199</v>
      </c>
      <c r="B5209" t="s">
        <v>202</v>
      </c>
      <c r="C5209">
        <v>537</v>
      </c>
      <c r="D5209" t="s">
        <v>194</v>
      </c>
      <c r="E5209">
        <v>2643</v>
      </c>
      <c r="G5209" s="3">
        <v>1.6999999999999999E-3</v>
      </c>
      <c r="J5209" s="3">
        <v>0.65600000000000003</v>
      </c>
      <c r="K5209" s="3">
        <v>0.33689999999999998</v>
      </c>
      <c r="L5209" s="3">
        <v>1.6999999999999999E-3</v>
      </c>
      <c r="M5209" s="3">
        <v>3.7000000000000002E-3</v>
      </c>
    </row>
    <row r="5210" spans="1:13">
      <c r="A5210" t="s">
        <v>199</v>
      </c>
      <c r="B5210" t="s">
        <v>204</v>
      </c>
      <c r="C5210">
        <v>425</v>
      </c>
      <c r="D5210" t="s">
        <v>194</v>
      </c>
      <c r="E5210">
        <v>2643</v>
      </c>
      <c r="G5210" s="3">
        <v>1.6000000000000001E-3</v>
      </c>
      <c r="J5210" s="3">
        <v>0.52610000000000001</v>
      </c>
      <c r="K5210" s="3">
        <v>0.47210000000000002</v>
      </c>
      <c r="M5210" s="3">
        <v>2.0000000000000001E-4</v>
      </c>
    </row>
    <row r="5211" spans="1:13">
      <c r="A5211" t="s">
        <v>199</v>
      </c>
      <c r="B5211" t="s">
        <v>205</v>
      </c>
      <c r="C5211">
        <v>504</v>
      </c>
      <c r="D5211" t="s">
        <v>194</v>
      </c>
      <c r="E5211">
        <v>2643</v>
      </c>
      <c r="F5211" s="3">
        <v>8.0000000000000004E-4</v>
      </c>
      <c r="I5211" s="3">
        <v>5.9999999999999995E-4</v>
      </c>
      <c r="J5211" s="3">
        <v>0.70040000000000002</v>
      </c>
      <c r="K5211" s="3">
        <v>0.28639999999999999</v>
      </c>
      <c r="M5211" s="3">
        <v>1.17E-2</v>
      </c>
    </row>
    <row r="5212" spans="1:13">
      <c r="A5212" t="s">
        <v>200</v>
      </c>
      <c r="B5212" t="s">
        <v>200</v>
      </c>
      <c r="C5212">
        <v>2643</v>
      </c>
      <c r="D5212" t="s">
        <v>200</v>
      </c>
      <c r="E5212">
        <v>2643</v>
      </c>
      <c r="F5212" s="3">
        <v>1E-4</v>
      </c>
      <c r="G5212" s="3">
        <v>1E-3</v>
      </c>
      <c r="H5212" s="3">
        <v>2.0000000000000001E-4</v>
      </c>
      <c r="I5212" s="3">
        <v>1E-4</v>
      </c>
      <c r="J5212" s="3">
        <v>0.62519999999999998</v>
      </c>
      <c r="K5212" s="3">
        <v>0.36870000000000003</v>
      </c>
      <c r="L5212" s="3">
        <v>5.9999999999999995E-4</v>
      </c>
      <c r="M5212" s="3">
        <v>4.1000000000000003E-3</v>
      </c>
    </row>
    <row r="5214" spans="1:13" ht="45">
      <c r="A5214" s="22" t="s">
        <v>1232</v>
      </c>
    </row>
    <row r="5215" spans="1:13">
      <c r="A5215" t="s">
        <v>185</v>
      </c>
      <c r="B5215" t="s">
        <v>186</v>
      </c>
      <c r="C5215" t="s">
        <v>192</v>
      </c>
      <c r="D5215" t="s">
        <v>184</v>
      </c>
      <c r="E5215" t="s">
        <v>193</v>
      </c>
      <c r="F5215" t="s">
        <v>257</v>
      </c>
      <c r="G5215" t="s">
        <v>1226</v>
      </c>
      <c r="H5215" t="s">
        <v>274</v>
      </c>
      <c r="I5215" t="s">
        <v>247</v>
      </c>
      <c r="J5215" t="s">
        <v>1227</v>
      </c>
      <c r="K5215" t="s">
        <v>1228</v>
      </c>
      <c r="L5215" t="s">
        <v>1229</v>
      </c>
      <c r="M5215" t="s">
        <v>1230</v>
      </c>
    </row>
    <row r="5216" spans="1:13">
      <c r="A5216" t="s">
        <v>195</v>
      </c>
      <c r="B5216" t="s">
        <v>207</v>
      </c>
      <c r="C5216">
        <v>312</v>
      </c>
      <c r="D5216" t="s">
        <v>194</v>
      </c>
      <c r="E5216">
        <v>2643</v>
      </c>
      <c r="G5216" s="3">
        <v>2.0999999999999999E-3</v>
      </c>
      <c r="J5216" s="3">
        <v>0.55049999999999999</v>
      </c>
      <c r="K5216" s="3">
        <v>0.43780000000000002</v>
      </c>
      <c r="M5216" s="3">
        <v>9.4999999999999998E-3</v>
      </c>
    </row>
    <row r="5217" spans="1:13">
      <c r="A5217" t="s">
        <v>195</v>
      </c>
      <c r="B5217" t="s">
        <v>209</v>
      </c>
      <c r="C5217">
        <v>847</v>
      </c>
      <c r="D5217" t="s">
        <v>194</v>
      </c>
      <c r="E5217">
        <v>2643</v>
      </c>
      <c r="H5217" s="3">
        <v>8.0000000000000004E-4</v>
      </c>
      <c r="I5217" s="3">
        <v>1E-4</v>
      </c>
      <c r="J5217" s="3">
        <v>0.62849999999999995</v>
      </c>
      <c r="K5217" s="3">
        <v>0.36890000000000001</v>
      </c>
      <c r="M5217" s="3">
        <v>1.8E-3</v>
      </c>
    </row>
    <row r="5218" spans="1:13">
      <c r="A5218" t="s">
        <v>199</v>
      </c>
      <c r="B5218" t="s">
        <v>207</v>
      </c>
      <c r="C5218">
        <v>283</v>
      </c>
      <c r="D5218" t="s">
        <v>194</v>
      </c>
      <c r="E5218">
        <v>2643</v>
      </c>
      <c r="G5218" s="3">
        <v>1E-3</v>
      </c>
      <c r="J5218" s="3">
        <v>0.61029999999999995</v>
      </c>
      <c r="K5218" s="3">
        <v>0.3639</v>
      </c>
      <c r="L5218" s="3">
        <v>8.6999999999999994E-3</v>
      </c>
      <c r="M5218" s="3">
        <v>1.61E-2</v>
      </c>
    </row>
    <row r="5219" spans="1:13">
      <c r="A5219" t="s">
        <v>199</v>
      </c>
      <c r="B5219" t="s">
        <v>209</v>
      </c>
      <c r="C5219">
        <v>1201</v>
      </c>
      <c r="D5219" t="s">
        <v>194</v>
      </c>
      <c r="E5219">
        <v>2643</v>
      </c>
      <c r="F5219" s="3">
        <v>2.0000000000000001E-4</v>
      </c>
      <c r="G5219" s="3">
        <v>1.4E-3</v>
      </c>
      <c r="I5219" s="3">
        <v>1E-4</v>
      </c>
      <c r="J5219" s="3">
        <v>0.64180000000000004</v>
      </c>
      <c r="K5219" s="3">
        <v>0.3538</v>
      </c>
      <c r="M5219" s="3">
        <v>2.7000000000000001E-3</v>
      </c>
    </row>
    <row r="5220" spans="1:13">
      <c r="A5220" t="s">
        <v>200</v>
      </c>
      <c r="B5220" t="s">
        <v>200</v>
      </c>
      <c r="C5220">
        <v>2643</v>
      </c>
      <c r="D5220" t="s">
        <v>200</v>
      </c>
      <c r="E5220">
        <v>2643</v>
      </c>
      <c r="F5220" s="3">
        <v>1E-4</v>
      </c>
      <c r="G5220" s="3">
        <v>1E-3</v>
      </c>
      <c r="H5220" s="3">
        <v>2.0000000000000001E-4</v>
      </c>
      <c r="I5220" s="3">
        <v>1E-4</v>
      </c>
      <c r="J5220" s="3">
        <v>0.62519999999999998</v>
      </c>
      <c r="K5220" s="3">
        <v>0.36870000000000003</v>
      </c>
      <c r="L5220" s="3">
        <v>5.9999999999999995E-4</v>
      </c>
      <c r="M5220" s="3">
        <v>4.1000000000000003E-3</v>
      </c>
    </row>
    <row r="5222" spans="1:13" ht="45">
      <c r="A5222" s="22" t="s">
        <v>1233</v>
      </c>
    </row>
    <row r="5223" spans="1:13">
      <c r="A5223" t="s">
        <v>185</v>
      </c>
      <c r="B5223" t="s">
        <v>192</v>
      </c>
      <c r="C5223" t="s">
        <v>184</v>
      </c>
      <c r="D5223" t="s">
        <v>193</v>
      </c>
      <c r="E5223" t="s">
        <v>257</v>
      </c>
      <c r="F5223" t="s">
        <v>1226</v>
      </c>
      <c r="G5223" t="s">
        <v>274</v>
      </c>
      <c r="H5223" t="s">
        <v>247</v>
      </c>
      <c r="I5223" t="s">
        <v>1227</v>
      </c>
      <c r="J5223" t="s">
        <v>1228</v>
      </c>
      <c r="K5223" t="s">
        <v>1229</v>
      </c>
      <c r="L5223" t="s">
        <v>1230</v>
      </c>
    </row>
    <row r="5224" spans="1:13">
      <c r="A5224" t="s">
        <v>195</v>
      </c>
      <c r="B5224">
        <v>1159</v>
      </c>
      <c r="C5224" t="s">
        <v>194</v>
      </c>
      <c r="D5224">
        <v>2643</v>
      </c>
      <c r="F5224" s="3">
        <v>5.0000000000000001E-4</v>
      </c>
      <c r="G5224" s="3">
        <v>5.9999999999999995E-4</v>
      </c>
      <c r="H5224" s="3">
        <v>1E-4</v>
      </c>
      <c r="I5224" s="3">
        <v>0.60870000000000002</v>
      </c>
      <c r="J5224" s="3">
        <v>0.38640000000000002</v>
      </c>
      <c r="L5224" s="3">
        <v>3.7000000000000002E-3</v>
      </c>
    </row>
    <row r="5225" spans="1:13">
      <c r="A5225" t="s">
        <v>199</v>
      </c>
      <c r="B5225">
        <v>1484</v>
      </c>
      <c r="C5225" t="s">
        <v>194</v>
      </c>
      <c r="D5225">
        <v>2643</v>
      </c>
      <c r="E5225" s="3">
        <v>1E-4</v>
      </c>
      <c r="F5225" s="3">
        <v>1.4E-3</v>
      </c>
      <c r="H5225" s="3">
        <v>1E-4</v>
      </c>
      <c r="I5225" s="3">
        <v>0.63790000000000002</v>
      </c>
      <c r="J5225" s="3">
        <v>0.35499999999999998</v>
      </c>
      <c r="K5225" s="3">
        <v>1.1000000000000001E-3</v>
      </c>
      <c r="L5225" s="3">
        <v>4.4000000000000003E-3</v>
      </c>
    </row>
    <row r="5226" spans="1:13">
      <c r="A5226" t="s">
        <v>200</v>
      </c>
      <c r="B5226">
        <v>2643</v>
      </c>
      <c r="C5226" t="s">
        <v>200</v>
      </c>
      <c r="D5226">
        <v>2643</v>
      </c>
      <c r="E5226" s="3">
        <v>1E-4</v>
      </c>
      <c r="F5226" s="3">
        <v>1E-3</v>
      </c>
      <c r="G5226" s="3">
        <v>2.0000000000000001E-4</v>
      </c>
      <c r="H5226" s="3">
        <v>1E-4</v>
      </c>
      <c r="I5226" s="3">
        <v>0.62519999999999998</v>
      </c>
      <c r="J5226" s="3">
        <v>0.36870000000000003</v>
      </c>
      <c r="K5226" s="3">
        <v>5.9999999999999995E-4</v>
      </c>
      <c r="L5226" s="3">
        <v>4.1000000000000003E-3</v>
      </c>
    </row>
    <row r="5228" spans="1:13" ht="30">
      <c r="A5228" s="22" t="s">
        <v>1234</v>
      </c>
    </row>
    <row r="5229" spans="1:13">
      <c r="A5229" t="s">
        <v>185</v>
      </c>
      <c r="B5229" t="s">
        <v>186</v>
      </c>
      <c r="C5229" t="s">
        <v>192</v>
      </c>
      <c r="D5229" t="s">
        <v>184</v>
      </c>
      <c r="E5229" t="s">
        <v>193</v>
      </c>
      <c r="F5229" t="s">
        <v>257</v>
      </c>
      <c r="G5229" t="s">
        <v>1226</v>
      </c>
      <c r="H5229" t="s">
        <v>274</v>
      </c>
      <c r="I5229" t="s">
        <v>247</v>
      </c>
      <c r="J5229" t="s">
        <v>1227</v>
      </c>
      <c r="K5229" t="s">
        <v>1228</v>
      </c>
      <c r="L5229" t="s">
        <v>1229</v>
      </c>
      <c r="M5229" t="s">
        <v>1230</v>
      </c>
    </row>
    <row r="5230" spans="1:13">
      <c r="A5230" t="s">
        <v>195</v>
      </c>
      <c r="B5230" t="s">
        <v>212</v>
      </c>
      <c r="C5230">
        <v>855</v>
      </c>
      <c r="D5230" t="s">
        <v>194</v>
      </c>
      <c r="E5230">
        <v>2643</v>
      </c>
      <c r="H5230" s="3">
        <v>6.9999999999999999E-4</v>
      </c>
      <c r="I5230" s="3">
        <v>1E-4</v>
      </c>
      <c r="J5230" s="3">
        <v>0.626</v>
      </c>
      <c r="K5230" s="3">
        <v>0.37230000000000002</v>
      </c>
      <c r="M5230" s="3">
        <v>8.0000000000000004E-4</v>
      </c>
    </row>
    <row r="5231" spans="1:13">
      <c r="A5231" t="s">
        <v>195</v>
      </c>
      <c r="B5231" t="s">
        <v>214</v>
      </c>
      <c r="C5231">
        <v>171</v>
      </c>
      <c r="D5231" t="s">
        <v>194</v>
      </c>
      <c r="E5231">
        <v>2643</v>
      </c>
      <c r="G5231" s="3">
        <v>3.5000000000000001E-3</v>
      </c>
      <c r="J5231" s="3">
        <v>0.61709999999999998</v>
      </c>
      <c r="K5231" s="3">
        <v>0.3725</v>
      </c>
      <c r="M5231" s="3">
        <v>7.0000000000000001E-3</v>
      </c>
    </row>
    <row r="5232" spans="1:13">
      <c r="A5232" t="s">
        <v>195</v>
      </c>
      <c r="B5232" t="s">
        <v>215</v>
      </c>
      <c r="C5232">
        <v>133</v>
      </c>
      <c r="D5232" t="s">
        <v>194</v>
      </c>
      <c r="E5232">
        <v>2643</v>
      </c>
      <c r="J5232" s="3">
        <v>0.43719999999999998</v>
      </c>
      <c r="K5232" s="3">
        <v>0.53900000000000003</v>
      </c>
      <c r="M5232" s="3">
        <v>2.3800000000000002E-2</v>
      </c>
    </row>
    <row r="5233" spans="1:13">
      <c r="A5233" t="s">
        <v>199</v>
      </c>
      <c r="B5233" t="s">
        <v>212</v>
      </c>
      <c r="C5233">
        <v>1115</v>
      </c>
      <c r="D5233" t="s">
        <v>194</v>
      </c>
      <c r="E5233">
        <v>2643</v>
      </c>
      <c r="G5233" s="3">
        <v>2.9999999999999997E-4</v>
      </c>
      <c r="I5233" s="3">
        <v>1E-4</v>
      </c>
      <c r="J5233" s="3">
        <v>0.63800000000000001</v>
      </c>
      <c r="K5233" s="3">
        <v>0.35899999999999999</v>
      </c>
      <c r="M5233" s="3">
        <v>2.5999999999999999E-3</v>
      </c>
    </row>
    <row r="5234" spans="1:13">
      <c r="A5234" t="s">
        <v>199</v>
      </c>
      <c r="B5234" t="s">
        <v>214</v>
      </c>
      <c r="C5234">
        <v>196</v>
      </c>
      <c r="D5234" t="s">
        <v>194</v>
      </c>
      <c r="E5234">
        <v>2643</v>
      </c>
      <c r="F5234" s="3">
        <v>8.9999999999999998E-4</v>
      </c>
      <c r="G5234" s="3">
        <v>7.7999999999999996E-3</v>
      </c>
      <c r="J5234" s="3">
        <v>0.82479999999999998</v>
      </c>
      <c r="K5234" s="3">
        <v>0.16639999999999999</v>
      </c>
    </row>
    <row r="5235" spans="1:13">
      <c r="A5235" t="s">
        <v>199</v>
      </c>
      <c r="B5235" t="s">
        <v>215</v>
      </c>
      <c r="C5235">
        <v>173</v>
      </c>
      <c r="D5235" t="s">
        <v>194</v>
      </c>
      <c r="E5235">
        <v>2643</v>
      </c>
      <c r="J5235" s="3">
        <v>0.30259999999999998</v>
      </c>
      <c r="K5235" s="3">
        <v>0.65669999999999995</v>
      </c>
      <c r="L5235" s="3">
        <v>1.26E-2</v>
      </c>
      <c r="M5235" s="3">
        <v>2.81E-2</v>
      </c>
    </row>
    <row r="5236" spans="1:13">
      <c r="A5236" t="s">
        <v>200</v>
      </c>
      <c r="B5236" t="s">
        <v>200</v>
      </c>
      <c r="C5236">
        <v>2643</v>
      </c>
      <c r="D5236" t="s">
        <v>200</v>
      </c>
      <c r="E5236">
        <v>2643</v>
      </c>
      <c r="F5236" s="3">
        <v>1E-4</v>
      </c>
      <c r="G5236" s="3">
        <v>1E-3</v>
      </c>
      <c r="H5236" s="3">
        <v>2.0000000000000001E-4</v>
      </c>
      <c r="I5236" s="3">
        <v>1E-4</v>
      </c>
      <c r="J5236" s="3">
        <v>0.62519999999999998</v>
      </c>
      <c r="K5236" s="3">
        <v>0.36870000000000003</v>
      </c>
      <c r="L5236" s="3">
        <v>5.9999999999999995E-4</v>
      </c>
      <c r="M5236" s="3">
        <v>4.1000000000000003E-3</v>
      </c>
    </row>
    <row r="5238" spans="1:13" ht="30">
      <c r="A5238" s="22" t="s">
        <v>1235</v>
      </c>
    </row>
    <row r="5239" spans="1:13">
      <c r="A5239" t="s">
        <v>185</v>
      </c>
      <c r="B5239" t="s">
        <v>186</v>
      </c>
      <c r="C5239" t="s">
        <v>192</v>
      </c>
      <c r="D5239" t="s">
        <v>184</v>
      </c>
      <c r="E5239" t="s">
        <v>193</v>
      </c>
      <c r="F5239" t="s">
        <v>257</v>
      </c>
      <c r="G5239" t="s">
        <v>1226</v>
      </c>
      <c r="H5239" t="s">
        <v>274</v>
      </c>
      <c r="I5239" t="s">
        <v>247</v>
      </c>
      <c r="J5239" t="s">
        <v>1227</v>
      </c>
      <c r="K5239" t="s">
        <v>1228</v>
      </c>
      <c r="L5239" t="s">
        <v>1229</v>
      </c>
      <c r="M5239" t="s">
        <v>1230</v>
      </c>
    </row>
    <row r="5240" spans="1:13">
      <c r="A5240" t="s">
        <v>195</v>
      </c>
      <c r="B5240" t="s">
        <v>217</v>
      </c>
      <c r="C5240">
        <v>491</v>
      </c>
      <c r="D5240" t="s">
        <v>194</v>
      </c>
      <c r="E5240">
        <v>2643</v>
      </c>
      <c r="I5240" s="3">
        <v>2.0000000000000001E-4</v>
      </c>
      <c r="J5240" s="3">
        <v>0.61950000000000005</v>
      </c>
      <c r="K5240" s="3">
        <v>0.37480000000000002</v>
      </c>
      <c r="M5240" s="3">
        <v>5.4999999999999997E-3</v>
      </c>
    </row>
    <row r="5241" spans="1:13">
      <c r="A5241" t="s">
        <v>195</v>
      </c>
      <c r="B5241" t="s">
        <v>219</v>
      </c>
      <c r="C5241">
        <v>490</v>
      </c>
      <c r="D5241" t="s">
        <v>194</v>
      </c>
      <c r="E5241">
        <v>2643</v>
      </c>
      <c r="G5241" s="3">
        <v>1.4E-3</v>
      </c>
      <c r="H5241" s="3">
        <v>1.5E-3</v>
      </c>
      <c r="J5241" s="3">
        <v>0.62270000000000003</v>
      </c>
      <c r="K5241" s="3">
        <v>0.37359999999999999</v>
      </c>
      <c r="M5241" s="3">
        <v>8.0000000000000004E-4</v>
      </c>
    </row>
    <row r="5242" spans="1:13">
      <c r="A5242" t="s">
        <v>195</v>
      </c>
      <c r="B5242" t="s">
        <v>220</v>
      </c>
      <c r="C5242">
        <v>177</v>
      </c>
      <c r="D5242" t="s">
        <v>194</v>
      </c>
      <c r="E5242">
        <v>2643</v>
      </c>
      <c r="J5242" s="3">
        <v>0.55500000000000005</v>
      </c>
      <c r="K5242" s="3">
        <v>0.43909999999999999</v>
      </c>
      <c r="M5242" s="3">
        <v>5.8999999999999999E-3</v>
      </c>
    </row>
    <row r="5243" spans="1:13">
      <c r="A5243" t="s">
        <v>199</v>
      </c>
      <c r="B5243" t="s">
        <v>217</v>
      </c>
      <c r="C5243">
        <v>812</v>
      </c>
      <c r="D5243" t="s">
        <v>194</v>
      </c>
      <c r="E5243">
        <v>2643</v>
      </c>
      <c r="G5243" s="3">
        <v>2.9999999999999997E-4</v>
      </c>
      <c r="J5243" s="3">
        <v>0.60819999999999996</v>
      </c>
      <c r="K5243" s="3">
        <v>0.38240000000000002</v>
      </c>
      <c r="L5243" s="3">
        <v>1.8E-3</v>
      </c>
      <c r="M5243" s="3">
        <v>7.3000000000000001E-3</v>
      </c>
    </row>
    <row r="5244" spans="1:13">
      <c r="A5244" t="s">
        <v>199</v>
      </c>
      <c r="B5244" t="s">
        <v>219</v>
      </c>
      <c r="C5244">
        <v>450</v>
      </c>
      <c r="D5244" t="s">
        <v>194</v>
      </c>
      <c r="E5244">
        <v>2643</v>
      </c>
      <c r="F5244" s="3">
        <v>5.9999999999999995E-4</v>
      </c>
      <c r="G5244" s="3">
        <v>4.7999999999999996E-3</v>
      </c>
      <c r="I5244" s="3">
        <v>4.0000000000000002E-4</v>
      </c>
      <c r="J5244" s="3">
        <v>0.69030000000000002</v>
      </c>
      <c r="K5244" s="3">
        <v>0.3039</v>
      </c>
    </row>
    <row r="5245" spans="1:13">
      <c r="A5245" t="s">
        <v>199</v>
      </c>
      <c r="B5245" t="s">
        <v>220</v>
      </c>
      <c r="C5245">
        <v>222</v>
      </c>
      <c r="D5245" t="s">
        <v>194</v>
      </c>
      <c r="E5245">
        <v>2643</v>
      </c>
      <c r="J5245" s="3">
        <v>0.66879999999999995</v>
      </c>
      <c r="K5245" s="3">
        <v>0.33100000000000002</v>
      </c>
      <c r="M5245" s="3">
        <v>2.9999999999999997E-4</v>
      </c>
    </row>
    <row r="5246" spans="1:13">
      <c r="A5246" t="s">
        <v>200</v>
      </c>
      <c r="B5246" t="s">
        <v>200</v>
      </c>
      <c r="C5246">
        <v>2643</v>
      </c>
      <c r="D5246" t="s">
        <v>200</v>
      </c>
      <c r="E5246">
        <v>2643</v>
      </c>
      <c r="F5246" s="3">
        <v>1E-4</v>
      </c>
      <c r="G5246" s="3">
        <v>1E-3</v>
      </c>
      <c r="H5246" s="3">
        <v>2.0000000000000001E-4</v>
      </c>
      <c r="I5246" s="3">
        <v>1E-4</v>
      </c>
      <c r="J5246" s="3">
        <v>0.62519999999999998</v>
      </c>
      <c r="K5246" s="3">
        <v>0.36870000000000003</v>
      </c>
      <c r="L5246" s="3">
        <v>5.9999999999999995E-4</v>
      </c>
      <c r="M5246" s="3">
        <v>4.1000000000000003E-3</v>
      </c>
    </row>
    <row r="5248" spans="1:13" ht="45">
      <c r="A5248" s="22" t="s">
        <v>1236</v>
      </c>
    </row>
    <row r="5249" spans="1:10">
      <c r="A5249" t="s">
        <v>184</v>
      </c>
      <c r="B5249" t="s">
        <v>185</v>
      </c>
      <c r="C5249" t="s">
        <v>186</v>
      </c>
      <c r="D5249" t="s">
        <v>187</v>
      </c>
      <c r="E5249" t="s">
        <v>188</v>
      </c>
      <c r="F5249" t="s">
        <v>189</v>
      </c>
      <c r="G5249" t="s">
        <v>190</v>
      </c>
      <c r="H5249" t="s">
        <v>191</v>
      </c>
      <c r="I5249" t="s">
        <v>192</v>
      </c>
      <c r="J5249" t="s">
        <v>193</v>
      </c>
    </row>
    <row r="5250" spans="1:10">
      <c r="A5250" t="s">
        <v>194</v>
      </c>
      <c r="B5250" t="s">
        <v>195</v>
      </c>
      <c r="C5250" t="s">
        <v>196</v>
      </c>
      <c r="D5250" t="s">
        <v>197</v>
      </c>
      <c r="E5250">
        <v>56.913505888465451</v>
      </c>
      <c r="F5250">
        <v>53</v>
      </c>
      <c r="G5250">
        <v>13</v>
      </c>
      <c r="H5250">
        <v>156</v>
      </c>
      <c r="I5250">
        <v>272</v>
      </c>
      <c r="J5250">
        <v>2084</v>
      </c>
    </row>
    <row r="5251" spans="1:10">
      <c r="A5251" t="s">
        <v>194</v>
      </c>
      <c r="B5251" t="s">
        <v>195</v>
      </c>
      <c r="C5251" t="s">
        <v>198</v>
      </c>
      <c r="D5251" t="s">
        <v>197</v>
      </c>
      <c r="E5251">
        <v>48.3350961652419</v>
      </c>
      <c r="F5251">
        <v>46</v>
      </c>
      <c r="G5251">
        <v>12</v>
      </c>
      <c r="H5251">
        <v>200</v>
      </c>
      <c r="I5251">
        <v>532</v>
      </c>
      <c r="J5251">
        <v>2084</v>
      </c>
    </row>
    <row r="5252" spans="1:10">
      <c r="A5252" t="s">
        <v>194</v>
      </c>
      <c r="B5252" t="s">
        <v>199</v>
      </c>
      <c r="C5252" t="s">
        <v>196</v>
      </c>
      <c r="D5252" t="s">
        <v>197</v>
      </c>
      <c r="E5252">
        <v>90.429860496184247</v>
      </c>
      <c r="F5252">
        <v>80</v>
      </c>
      <c r="G5252">
        <v>15</v>
      </c>
      <c r="H5252">
        <v>600</v>
      </c>
      <c r="I5252">
        <v>427</v>
      </c>
      <c r="J5252">
        <v>2084</v>
      </c>
    </row>
    <row r="5253" spans="1:10">
      <c r="A5253" t="s">
        <v>194</v>
      </c>
      <c r="B5253" t="s">
        <v>199</v>
      </c>
      <c r="C5253" t="s">
        <v>198</v>
      </c>
      <c r="D5253" t="s">
        <v>197</v>
      </c>
      <c r="E5253">
        <v>65.791672356417763</v>
      </c>
      <c r="F5253">
        <v>56</v>
      </c>
      <c r="G5253">
        <v>15</v>
      </c>
      <c r="H5253">
        <v>300</v>
      </c>
      <c r="I5253">
        <v>824</v>
      </c>
      <c r="J5253">
        <v>2084</v>
      </c>
    </row>
    <row r="5254" spans="1:10">
      <c r="A5254" t="s">
        <v>200</v>
      </c>
      <c r="B5254" t="s">
        <v>200</v>
      </c>
      <c r="C5254" t="s">
        <v>200</v>
      </c>
      <c r="D5254" t="s">
        <v>200</v>
      </c>
      <c r="E5254">
        <v>62.522352947599792</v>
      </c>
      <c r="F5254">
        <v>54</v>
      </c>
      <c r="G5254">
        <v>12</v>
      </c>
      <c r="H5254">
        <v>600</v>
      </c>
      <c r="I5254">
        <v>2084</v>
      </c>
      <c r="J5254">
        <v>2084</v>
      </c>
    </row>
    <row r="5256" spans="1:10" ht="45">
      <c r="A5256" s="22" t="s">
        <v>1237</v>
      </c>
    </row>
    <row r="5257" spans="1:10">
      <c r="A5257" t="s">
        <v>184</v>
      </c>
      <c r="B5257" t="s">
        <v>185</v>
      </c>
      <c r="C5257" t="s">
        <v>186</v>
      </c>
      <c r="D5257" t="s">
        <v>187</v>
      </c>
      <c r="E5257" t="s">
        <v>188</v>
      </c>
      <c r="F5257" t="s">
        <v>189</v>
      </c>
      <c r="G5257" t="s">
        <v>190</v>
      </c>
      <c r="H5257" t="s">
        <v>191</v>
      </c>
      <c r="I5257" t="s">
        <v>192</v>
      </c>
      <c r="J5257" t="s">
        <v>193</v>
      </c>
    </row>
    <row r="5258" spans="1:10">
      <c r="A5258" t="s">
        <v>194</v>
      </c>
      <c r="B5258" t="s">
        <v>195</v>
      </c>
      <c r="C5258" t="s">
        <v>202</v>
      </c>
      <c r="D5258" t="s">
        <v>203</v>
      </c>
      <c r="E5258">
        <v>51.586175000855803</v>
      </c>
      <c r="F5258">
        <v>48</v>
      </c>
      <c r="G5258">
        <v>12</v>
      </c>
      <c r="H5258">
        <v>156</v>
      </c>
      <c r="I5258">
        <v>368</v>
      </c>
      <c r="J5258">
        <v>2084</v>
      </c>
    </row>
    <row r="5259" spans="1:10">
      <c r="A5259" t="s">
        <v>194</v>
      </c>
      <c r="B5259" t="s">
        <v>195</v>
      </c>
      <c r="C5259" t="s">
        <v>204</v>
      </c>
      <c r="D5259" t="s">
        <v>203</v>
      </c>
      <c r="E5259">
        <v>51.169450297490201</v>
      </c>
      <c r="F5259">
        <v>48</v>
      </c>
      <c r="G5259">
        <v>12</v>
      </c>
      <c r="H5259">
        <v>200</v>
      </c>
      <c r="I5259">
        <v>207</v>
      </c>
      <c r="J5259">
        <v>2084</v>
      </c>
    </row>
    <row r="5260" spans="1:10">
      <c r="A5260" t="s">
        <v>194</v>
      </c>
      <c r="B5260" t="s">
        <v>195</v>
      </c>
      <c r="C5260" t="s">
        <v>205</v>
      </c>
      <c r="D5260" t="s">
        <v>203</v>
      </c>
      <c r="E5260">
        <v>45.617334974263407</v>
      </c>
      <c r="F5260">
        <v>47</v>
      </c>
      <c r="G5260">
        <v>15</v>
      </c>
      <c r="H5260">
        <v>125</v>
      </c>
      <c r="I5260">
        <v>229</v>
      </c>
      <c r="J5260">
        <v>2084</v>
      </c>
    </row>
    <row r="5261" spans="1:10">
      <c r="A5261" t="s">
        <v>194</v>
      </c>
      <c r="B5261" t="s">
        <v>199</v>
      </c>
      <c r="C5261" t="s">
        <v>202</v>
      </c>
      <c r="D5261" t="s">
        <v>203</v>
      </c>
      <c r="E5261">
        <v>75.183224029823748</v>
      </c>
      <c r="F5261">
        <v>60</v>
      </c>
      <c r="G5261">
        <v>15</v>
      </c>
      <c r="H5261">
        <v>600</v>
      </c>
      <c r="I5261">
        <v>455</v>
      </c>
      <c r="J5261">
        <v>2084</v>
      </c>
    </row>
    <row r="5262" spans="1:10">
      <c r="A5262" t="s">
        <v>194</v>
      </c>
      <c r="B5262" t="s">
        <v>199</v>
      </c>
      <c r="C5262" t="s">
        <v>204</v>
      </c>
      <c r="D5262" t="s">
        <v>203</v>
      </c>
      <c r="E5262">
        <v>66.005052740027168</v>
      </c>
      <c r="F5262">
        <v>60</v>
      </c>
      <c r="G5262">
        <v>15</v>
      </c>
      <c r="H5262">
        <v>240</v>
      </c>
      <c r="I5262">
        <v>370</v>
      </c>
      <c r="J5262">
        <v>2084</v>
      </c>
    </row>
    <row r="5263" spans="1:10">
      <c r="A5263" t="s">
        <v>194</v>
      </c>
      <c r="B5263" t="s">
        <v>199</v>
      </c>
      <c r="C5263" t="s">
        <v>205</v>
      </c>
      <c r="D5263" t="s">
        <v>203</v>
      </c>
      <c r="E5263">
        <v>57.710977512047961</v>
      </c>
      <c r="F5263">
        <v>55</v>
      </c>
      <c r="G5263">
        <v>18</v>
      </c>
      <c r="H5263">
        <v>180</v>
      </c>
      <c r="I5263">
        <v>426</v>
      </c>
      <c r="J5263">
        <v>2084</v>
      </c>
    </row>
    <row r="5264" spans="1:10">
      <c r="A5264" t="s">
        <v>200</v>
      </c>
      <c r="B5264" t="s">
        <v>200</v>
      </c>
      <c r="C5264" t="s">
        <v>200</v>
      </c>
      <c r="D5264" t="s">
        <v>200</v>
      </c>
      <c r="E5264">
        <v>62.522352947599792</v>
      </c>
      <c r="F5264">
        <v>54</v>
      </c>
      <c r="G5264">
        <v>12</v>
      </c>
      <c r="H5264">
        <v>600</v>
      </c>
      <c r="I5264">
        <v>2084</v>
      </c>
      <c r="J5264">
        <v>2084</v>
      </c>
    </row>
    <row r="5266" spans="1:10" ht="45">
      <c r="A5266" s="22" t="s">
        <v>1238</v>
      </c>
    </row>
    <row r="5267" spans="1:10">
      <c r="A5267" t="s">
        <v>184</v>
      </c>
      <c r="B5267" t="s">
        <v>185</v>
      </c>
      <c r="C5267" t="s">
        <v>186</v>
      </c>
      <c r="D5267" t="s">
        <v>187</v>
      </c>
      <c r="E5267" t="s">
        <v>188</v>
      </c>
      <c r="F5267" t="s">
        <v>189</v>
      </c>
      <c r="G5267" t="s">
        <v>190</v>
      </c>
      <c r="H5267" t="s">
        <v>191</v>
      </c>
      <c r="I5267" t="s">
        <v>192</v>
      </c>
      <c r="J5267" t="s">
        <v>193</v>
      </c>
    </row>
    <row r="5268" spans="1:10">
      <c r="A5268" t="s">
        <v>194</v>
      </c>
      <c r="B5268" t="s">
        <v>195</v>
      </c>
      <c r="C5268" t="s">
        <v>207</v>
      </c>
      <c r="D5268" t="s">
        <v>208</v>
      </c>
      <c r="E5268">
        <v>51.987526684818548</v>
      </c>
      <c r="F5268">
        <v>49</v>
      </c>
      <c r="G5268">
        <v>12</v>
      </c>
      <c r="H5268">
        <v>150</v>
      </c>
      <c r="I5268">
        <v>217</v>
      </c>
      <c r="J5268">
        <v>2084</v>
      </c>
    </row>
    <row r="5269" spans="1:10">
      <c r="A5269" t="s">
        <v>194</v>
      </c>
      <c r="B5269" t="s">
        <v>195</v>
      </c>
      <c r="C5269" t="s">
        <v>209</v>
      </c>
      <c r="D5269" t="s">
        <v>208</v>
      </c>
      <c r="E5269">
        <v>50.114889777016018</v>
      </c>
      <c r="F5269">
        <v>47</v>
      </c>
      <c r="G5269">
        <v>12</v>
      </c>
      <c r="H5269">
        <v>200</v>
      </c>
      <c r="I5269">
        <v>599</v>
      </c>
      <c r="J5269">
        <v>2084</v>
      </c>
    </row>
    <row r="5270" spans="1:10">
      <c r="A5270" t="s">
        <v>194</v>
      </c>
      <c r="B5270" t="s">
        <v>199</v>
      </c>
      <c r="C5270" t="s">
        <v>207</v>
      </c>
      <c r="D5270" t="s">
        <v>208</v>
      </c>
      <c r="E5270">
        <v>68.310274367422679</v>
      </c>
      <c r="F5270">
        <v>60</v>
      </c>
      <c r="G5270">
        <v>15</v>
      </c>
      <c r="H5270">
        <v>170</v>
      </c>
      <c r="I5270">
        <v>249</v>
      </c>
      <c r="J5270">
        <v>2084</v>
      </c>
    </row>
    <row r="5271" spans="1:10">
      <c r="A5271" t="s">
        <v>194</v>
      </c>
      <c r="B5271" t="s">
        <v>199</v>
      </c>
      <c r="C5271" t="s">
        <v>209</v>
      </c>
      <c r="D5271" t="s">
        <v>208</v>
      </c>
      <c r="E5271">
        <v>70.763636148155157</v>
      </c>
      <c r="F5271">
        <v>60</v>
      </c>
      <c r="G5271">
        <v>15</v>
      </c>
      <c r="H5271">
        <v>600</v>
      </c>
      <c r="I5271">
        <v>1019</v>
      </c>
      <c r="J5271">
        <v>2084</v>
      </c>
    </row>
    <row r="5272" spans="1:10">
      <c r="A5272" t="s">
        <v>200</v>
      </c>
      <c r="B5272" t="s">
        <v>200</v>
      </c>
      <c r="C5272" t="s">
        <v>200</v>
      </c>
      <c r="D5272" t="s">
        <v>200</v>
      </c>
      <c r="E5272">
        <v>62.522352947599792</v>
      </c>
      <c r="F5272">
        <v>54</v>
      </c>
      <c r="G5272">
        <v>12</v>
      </c>
      <c r="H5272">
        <v>600</v>
      </c>
      <c r="I5272">
        <v>2084</v>
      </c>
      <c r="J5272">
        <v>2084</v>
      </c>
    </row>
    <row r="5274" spans="1:10" ht="45">
      <c r="A5274" s="22" t="s">
        <v>1239</v>
      </c>
    </row>
    <row r="5275" spans="1:10">
      <c r="A5275" t="s">
        <v>184</v>
      </c>
      <c r="B5275" t="s">
        <v>185</v>
      </c>
      <c r="C5275" t="s">
        <v>188</v>
      </c>
      <c r="D5275" t="s">
        <v>189</v>
      </c>
      <c r="E5275" t="s">
        <v>190</v>
      </c>
      <c r="F5275" t="s">
        <v>191</v>
      </c>
      <c r="G5275" t="s">
        <v>192</v>
      </c>
      <c r="H5275" t="s">
        <v>193</v>
      </c>
    </row>
    <row r="5276" spans="1:10">
      <c r="A5276" t="s">
        <v>194</v>
      </c>
      <c r="B5276" t="s">
        <v>195</v>
      </c>
      <c r="C5276">
        <v>50.591251790272011</v>
      </c>
      <c r="D5276">
        <v>48</v>
      </c>
      <c r="E5276">
        <v>12</v>
      </c>
      <c r="F5276">
        <v>200</v>
      </c>
      <c r="G5276">
        <v>816</v>
      </c>
      <c r="H5276">
        <v>2084</v>
      </c>
    </row>
    <row r="5277" spans="1:10">
      <c r="A5277" t="s">
        <v>194</v>
      </c>
      <c r="B5277" t="s">
        <v>199</v>
      </c>
      <c r="C5277">
        <v>70.438972113452039</v>
      </c>
      <c r="D5277">
        <v>60</v>
      </c>
      <c r="E5277">
        <v>15</v>
      </c>
      <c r="F5277">
        <v>600</v>
      </c>
      <c r="G5277">
        <v>1268</v>
      </c>
      <c r="H5277">
        <v>2084</v>
      </c>
    </row>
    <row r="5278" spans="1:10">
      <c r="A5278" t="s">
        <v>200</v>
      </c>
      <c r="B5278" t="s">
        <v>200</v>
      </c>
      <c r="C5278">
        <v>62.522352947599792</v>
      </c>
      <c r="D5278">
        <v>54</v>
      </c>
      <c r="E5278">
        <v>12</v>
      </c>
      <c r="F5278">
        <v>600</v>
      </c>
      <c r="G5278">
        <v>2084</v>
      </c>
      <c r="H5278">
        <v>2084</v>
      </c>
    </row>
    <row r="5280" spans="1:10" ht="45">
      <c r="A5280" s="22" t="s">
        <v>1240</v>
      </c>
    </row>
    <row r="5281" spans="1:10">
      <c r="A5281" t="s">
        <v>184</v>
      </c>
      <c r="B5281" t="s">
        <v>185</v>
      </c>
      <c r="C5281" t="s">
        <v>186</v>
      </c>
      <c r="D5281" t="s">
        <v>187</v>
      </c>
      <c r="E5281" t="s">
        <v>188</v>
      </c>
      <c r="F5281" t="s">
        <v>189</v>
      </c>
      <c r="G5281" t="s">
        <v>190</v>
      </c>
      <c r="H5281" t="s">
        <v>191</v>
      </c>
      <c r="I5281" t="s">
        <v>192</v>
      </c>
      <c r="J5281" t="s">
        <v>193</v>
      </c>
    </row>
    <row r="5282" spans="1:10">
      <c r="A5282" t="s">
        <v>194</v>
      </c>
      <c r="B5282" t="s">
        <v>195</v>
      </c>
      <c r="C5282" t="s">
        <v>212</v>
      </c>
      <c r="D5282" t="s">
        <v>213</v>
      </c>
      <c r="E5282">
        <v>49.391720044396287</v>
      </c>
      <c r="F5282">
        <v>47</v>
      </c>
      <c r="G5282">
        <v>12</v>
      </c>
      <c r="H5282">
        <v>150</v>
      </c>
      <c r="I5282">
        <v>612</v>
      </c>
      <c r="J5282">
        <v>2084</v>
      </c>
    </row>
    <row r="5283" spans="1:10">
      <c r="A5283" t="s">
        <v>194</v>
      </c>
      <c r="B5283" t="s">
        <v>195</v>
      </c>
      <c r="C5283" t="s">
        <v>214</v>
      </c>
      <c r="D5283" t="s">
        <v>213</v>
      </c>
      <c r="E5283">
        <v>45.450629022114853</v>
      </c>
      <c r="F5283">
        <v>40</v>
      </c>
      <c r="G5283">
        <v>12</v>
      </c>
      <c r="H5283">
        <v>156</v>
      </c>
      <c r="I5283">
        <v>110</v>
      </c>
      <c r="J5283">
        <v>2084</v>
      </c>
    </row>
    <row r="5284" spans="1:10">
      <c r="A5284" t="s">
        <v>194</v>
      </c>
      <c r="B5284" t="s">
        <v>195</v>
      </c>
      <c r="C5284" t="s">
        <v>215</v>
      </c>
      <c r="D5284" t="s">
        <v>213</v>
      </c>
      <c r="E5284">
        <v>70.226118250317057</v>
      </c>
      <c r="F5284">
        <v>68</v>
      </c>
      <c r="G5284">
        <v>15</v>
      </c>
      <c r="H5284">
        <v>200</v>
      </c>
      <c r="I5284">
        <v>94</v>
      </c>
      <c r="J5284">
        <v>2084</v>
      </c>
    </row>
    <row r="5285" spans="1:10">
      <c r="A5285" t="s">
        <v>194</v>
      </c>
      <c r="B5285" t="s">
        <v>199</v>
      </c>
      <c r="C5285" t="s">
        <v>212</v>
      </c>
      <c r="D5285" t="s">
        <v>213</v>
      </c>
      <c r="E5285">
        <v>72.208027283270468</v>
      </c>
      <c r="F5285">
        <v>60</v>
      </c>
      <c r="G5285">
        <v>15</v>
      </c>
      <c r="H5285">
        <v>320</v>
      </c>
      <c r="I5285">
        <v>955</v>
      </c>
      <c r="J5285">
        <v>2084</v>
      </c>
    </row>
    <row r="5286" spans="1:10">
      <c r="A5286" t="s">
        <v>194</v>
      </c>
      <c r="B5286" t="s">
        <v>199</v>
      </c>
      <c r="C5286" t="s">
        <v>214</v>
      </c>
      <c r="D5286" t="s">
        <v>213</v>
      </c>
      <c r="E5286">
        <v>54.084832296117767</v>
      </c>
      <c r="F5286">
        <v>46</v>
      </c>
      <c r="G5286">
        <v>15</v>
      </c>
      <c r="H5286">
        <v>600</v>
      </c>
      <c r="I5286">
        <v>169</v>
      </c>
      <c r="J5286">
        <v>2084</v>
      </c>
    </row>
    <row r="5287" spans="1:10">
      <c r="A5287" t="s">
        <v>194</v>
      </c>
      <c r="B5287" t="s">
        <v>199</v>
      </c>
      <c r="C5287" t="s">
        <v>215</v>
      </c>
      <c r="D5287" t="s">
        <v>213</v>
      </c>
      <c r="E5287">
        <v>82.489997331790804</v>
      </c>
      <c r="F5287">
        <v>78</v>
      </c>
      <c r="G5287">
        <v>18</v>
      </c>
      <c r="H5287">
        <v>180</v>
      </c>
      <c r="I5287">
        <v>144</v>
      </c>
      <c r="J5287">
        <v>2084</v>
      </c>
    </row>
    <row r="5288" spans="1:10">
      <c r="A5288" t="s">
        <v>200</v>
      </c>
      <c r="B5288" t="s">
        <v>200</v>
      </c>
      <c r="C5288" t="s">
        <v>200</v>
      </c>
      <c r="D5288" t="s">
        <v>200</v>
      </c>
      <c r="E5288">
        <v>62.522352947599792</v>
      </c>
      <c r="F5288">
        <v>54</v>
      </c>
      <c r="G5288">
        <v>12</v>
      </c>
      <c r="H5288">
        <v>600</v>
      </c>
      <c r="I5288">
        <v>2084</v>
      </c>
      <c r="J5288">
        <v>2084</v>
      </c>
    </row>
    <row r="5290" spans="1:10" ht="45">
      <c r="A5290" s="22" t="s">
        <v>1241</v>
      </c>
    </row>
    <row r="5291" spans="1:10">
      <c r="A5291" t="s">
        <v>184</v>
      </c>
      <c r="B5291" t="s">
        <v>185</v>
      </c>
      <c r="C5291" t="s">
        <v>186</v>
      </c>
      <c r="D5291" t="s">
        <v>187</v>
      </c>
      <c r="E5291" t="s">
        <v>188</v>
      </c>
      <c r="F5291" t="s">
        <v>189</v>
      </c>
      <c r="G5291" t="s">
        <v>190</v>
      </c>
      <c r="H5291" t="s">
        <v>191</v>
      </c>
      <c r="I5291" t="s">
        <v>192</v>
      </c>
      <c r="J5291" t="s">
        <v>193</v>
      </c>
    </row>
    <row r="5292" spans="1:10">
      <c r="A5292" t="s">
        <v>194</v>
      </c>
      <c r="B5292" t="s">
        <v>195</v>
      </c>
      <c r="C5292" t="s">
        <v>217</v>
      </c>
      <c r="D5292" t="s">
        <v>218</v>
      </c>
      <c r="E5292">
        <v>52.031829560841842</v>
      </c>
      <c r="F5292">
        <v>47</v>
      </c>
      <c r="G5292">
        <v>12</v>
      </c>
      <c r="H5292">
        <v>200</v>
      </c>
      <c r="I5292">
        <v>340</v>
      </c>
      <c r="J5292">
        <v>2084</v>
      </c>
    </row>
    <row r="5293" spans="1:10">
      <c r="A5293" t="s">
        <v>194</v>
      </c>
      <c r="B5293" t="s">
        <v>195</v>
      </c>
      <c r="C5293" t="s">
        <v>219</v>
      </c>
      <c r="D5293" t="s">
        <v>218</v>
      </c>
      <c r="E5293">
        <v>48.475180720517088</v>
      </c>
      <c r="F5293">
        <v>45</v>
      </c>
      <c r="G5293">
        <v>12</v>
      </c>
      <c r="H5293">
        <v>156</v>
      </c>
      <c r="I5293">
        <v>340</v>
      </c>
      <c r="J5293">
        <v>2084</v>
      </c>
    </row>
    <row r="5294" spans="1:10">
      <c r="A5294" t="s">
        <v>194</v>
      </c>
      <c r="B5294" t="s">
        <v>195</v>
      </c>
      <c r="C5294" t="s">
        <v>220</v>
      </c>
      <c r="D5294" t="s">
        <v>218</v>
      </c>
      <c r="E5294">
        <v>51.475395798122818</v>
      </c>
      <c r="F5294">
        <v>50</v>
      </c>
      <c r="G5294">
        <v>15</v>
      </c>
      <c r="H5294">
        <v>125</v>
      </c>
      <c r="I5294">
        <v>135</v>
      </c>
      <c r="J5294">
        <v>2084</v>
      </c>
    </row>
    <row r="5295" spans="1:10">
      <c r="A5295" t="s">
        <v>194</v>
      </c>
      <c r="B5295" t="s">
        <v>199</v>
      </c>
      <c r="C5295" t="s">
        <v>217</v>
      </c>
      <c r="D5295" t="s">
        <v>218</v>
      </c>
      <c r="E5295">
        <v>73.501161884870825</v>
      </c>
      <c r="F5295">
        <v>62</v>
      </c>
      <c r="G5295">
        <v>15</v>
      </c>
      <c r="H5295">
        <v>320</v>
      </c>
      <c r="I5295">
        <v>693</v>
      </c>
      <c r="J5295">
        <v>2084</v>
      </c>
    </row>
    <row r="5296" spans="1:10">
      <c r="A5296" t="s">
        <v>194</v>
      </c>
      <c r="B5296" t="s">
        <v>199</v>
      </c>
      <c r="C5296" t="s">
        <v>219</v>
      </c>
      <c r="D5296" t="s">
        <v>218</v>
      </c>
      <c r="E5296">
        <v>58.895705670093413</v>
      </c>
      <c r="F5296">
        <v>50</v>
      </c>
      <c r="G5296">
        <v>15</v>
      </c>
      <c r="H5296">
        <v>190</v>
      </c>
      <c r="I5296">
        <v>383</v>
      </c>
      <c r="J5296">
        <v>2084</v>
      </c>
    </row>
    <row r="5297" spans="1:10">
      <c r="A5297" t="s">
        <v>194</v>
      </c>
      <c r="B5297" t="s">
        <v>199</v>
      </c>
      <c r="C5297" t="s">
        <v>220</v>
      </c>
      <c r="D5297" t="s">
        <v>218</v>
      </c>
      <c r="E5297">
        <v>76.541034729625082</v>
      </c>
      <c r="F5297">
        <v>65</v>
      </c>
      <c r="G5297">
        <v>15</v>
      </c>
      <c r="H5297">
        <v>600</v>
      </c>
      <c r="I5297">
        <v>192</v>
      </c>
      <c r="J5297">
        <v>2084</v>
      </c>
    </row>
    <row r="5298" spans="1:10">
      <c r="A5298" t="s">
        <v>200</v>
      </c>
      <c r="B5298" t="s">
        <v>200</v>
      </c>
      <c r="C5298" t="s">
        <v>200</v>
      </c>
      <c r="D5298" t="s">
        <v>200</v>
      </c>
      <c r="E5298">
        <v>62.522352947599792</v>
      </c>
      <c r="F5298">
        <v>54</v>
      </c>
      <c r="G5298">
        <v>12</v>
      </c>
      <c r="H5298">
        <v>600</v>
      </c>
      <c r="I5298">
        <v>2084</v>
      </c>
      <c r="J5298">
        <v>2084</v>
      </c>
    </row>
    <row r="5300" spans="1:10" ht="45">
      <c r="A5300" s="22" t="s">
        <v>1242</v>
      </c>
    </row>
    <row r="5301" spans="1:10">
      <c r="A5301" t="s">
        <v>184</v>
      </c>
      <c r="B5301" t="s">
        <v>185</v>
      </c>
      <c r="C5301" t="s">
        <v>186</v>
      </c>
      <c r="D5301" t="s">
        <v>187</v>
      </c>
      <c r="E5301" t="s">
        <v>188</v>
      </c>
      <c r="F5301" t="s">
        <v>189</v>
      </c>
      <c r="G5301" t="s">
        <v>190</v>
      </c>
      <c r="H5301" t="s">
        <v>191</v>
      </c>
      <c r="I5301" t="s">
        <v>192</v>
      </c>
      <c r="J5301" t="s">
        <v>193</v>
      </c>
    </row>
    <row r="5302" spans="1:10">
      <c r="A5302" t="s">
        <v>194</v>
      </c>
      <c r="B5302" t="s">
        <v>195</v>
      </c>
      <c r="C5302" t="s">
        <v>196</v>
      </c>
      <c r="D5302" t="s">
        <v>197</v>
      </c>
      <c r="E5302">
        <v>3.023965514770139</v>
      </c>
      <c r="F5302">
        <v>3</v>
      </c>
      <c r="G5302">
        <v>1</v>
      </c>
      <c r="H5302">
        <v>10</v>
      </c>
      <c r="I5302">
        <v>400</v>
      </c>
      <c r="J5302">
        <v>2636</v>
      </c>
    </row>
    <row r="5303" spans="1:10">
      <c r="A5303" t="s">
        <v>194</v>
      </c>
      <c r="B5303" t="s">
        <v>195</v>
      </c>
      <c r="C5303" t="s">
        <v>198</v>
      </c>
      <c r="D5303" t="s">
        <v>197</v>
      </c>
      <c r="E5303">
        <v>2.7701575799059279</v>
      </c>
      <c r="F5303">
        <v>3</v>
      </c>
      <c r="G5303">
        <v>1</v>
      </c>
      <c r="H5303">
        <v>10</v>
      </c>
      <c r="I5303">
        <v>734</v>
      </c>
      <c r="J5303">
        <v>2636</v>
      </c>
    </row>
    <row r="5304" spans="1:10">
      <c r="A5304" t="s">
        <v>194</v>
      </c>
      <c r="B5304" t="s">
        <v>199</v>
      </c>
      <c r="C5304" t="s">
        <v>196</v>
      </c>
      <c r="D5304" t="s">
        <v>197</v>
      </c>
      <c r="E5304">
        <v>3.0615734036715669</v>
      </c>
      <c r="F5304">
        <v>3</v>
      </c>
      <c r="G5304">
        <v>1</v>
      </c>
      <c r="H5304">
        <v>9</v>
      </c>
      <c r="I5304">
        <v>524</v>
      </c>
      <c r="J5304">
        <v>2636</v>
      </c>
    </row>
    <row r="5305" spans="1:10">
      <c r="A5305" t="s">
        <v>194</v>
      </c>
      <c r="B5305" t="s">
        <v>199</v>
      </c>
      <c r="C5305" t="s">
        <v>198</v>
      </c>
      <c r="D5305" t="s">
        <v>197</v>
      </c>
      <c r="E5305">
        <v>2.8390614280540092</v>
      </c>
      <c r="F5305">
        <v>3</v>
      </c>
      <c r="G5305">
        <v>1</v>
      </c>
      <c r="H5305">
        <v>12</v>
      </c>
      <c r="I5305">
        <v>940</v>
      </c>
      <c r="J5305">
        <v>2636</v>
      </c>
    </row>
    <row r="5306" spans="1:10">
      <c r="A5306" t="s">
        <v>200</v>
      </c>
      <c r="B5306" t="s">
        <v>200</v>
      </c>
      <c r="C5306" t="s">
        <v>200</v>
      </c>
      <c r="D5306" t="s">
        <v>200</v>
      </c>
      <c r="E5306">
        <v>2.8617173477070241</v>
      </c>
      <c r="F5306">
        <v>3</v>
      </c>
      <c r="G5306">
        <v>1</v>
      </c>
      <c r="H5306">
        <v>12</v>
      </c>
      <c r="I5306">
        <v>2636</v>
      </c>
      <c r="J5306">
        <v>2636</v>
      </c>
    </row>
    <row r="5308" spans="1:10" ht="45">
      <c r="A5308" s="22" t="s">
        <v>1243</v>
      </c>
    </row>
    <row r="5309" spans="1:10">
      <c r="A5309" t="s">
        <v>184</v>
      </c>
      <c r="B5309" t="s">
        <v>185</v>
      </c>
      <c r="C5309" t="s">
        <v>186</v>
      </c>
      <c r="D5309" t="s">
        <v>187</v>
      </c>
      <c r="E5309" t="s">
        <v>188</v>
      </c>
      <c r="F5309" t="s">
        <v>189</v>
      </c>
      <c r="G5309" t="s">
        <v>190</v>
      </c>
      <c r="H5309" t="s">
        <v>191</v>
      </c>
      <c r="I5309" t="s">
        <v>192</v>
      </c>
      <c r="J5309" t="s">
        <v>193</v>
      </c>
    </row>
    <row r="5310" spans="1:10">
      <c r="A5310" t="s">
        <v>194</v>
      </c>
      <c r="B5310" t="s">
        <v>195</v>
      </c>
      <c r="C5310" t="s">
        <v>202</v>
      </c>
      <c r="D5310" t="s">
        <v>203</v>
      </c>
      <c r="E5310">
        <v>2.8393592067026452</v>
      </c>
      <c r="F5310">
        <v>3</v>
      </c>
      <c r="G5310">
        <v>1</v>
      </c>
      <c r="H5310">
        <v>10</v>
      </c>
      <c r="I5310">
        <v>508</v>
      </c>
      <c r="J5310">
        <v>2636</v>
      </c>
    </row>
    <row r="5311" spans="1:10">
      <c r="A5311" t="s">
        <v>194</v>
      </c>
      <c r="B5311" t="s">
        <v>195</v>
      </c>
      <c r="C5311" t="s">
        <v>204</v>
      </c>
      <c r="D5311" t="s">
        <v>203</v>
      </c>
      <c r="E5311">
        <v>2.7975371010803101</v>
      </c>
      <c r="F5311">
        <v>3</v>
      </c>
      <c r="G5311">
        <v>1</v>
      </c>
      <c r="H5311">
        <v>9</v>
      </c>
      <c r="I5311">
        <v>297</v>
      </c>
      <c r="J5311">
        <v>2636</v>
      </c>
    </row>
    <row r="5312" spans="1:10">
      <c r="A5312" t="s">
        <v>194</v>
      </c>
      <c r="B5312" t="s">
        <v>195</v>
      </c>
      <c r="C5312" t="s">
        <v>205</v>
      </c>
      <c r="D5312" t="s">
        <v>203</v>
      </c>
      <c r="E5312">
        <v>2.889299753580433</v>
      </c>
      <c r="F5312">
        <v>3</v>
      </c>
      <c r="G5312">
        <v>1</v>
      </c>
      <c r="H5312">
        <v>9</v>
      </c>
      <c r="I5312">
        <v>329</v>
      </c>
      <c r="J5312">
        <v>2636</v>
      </c>
    </row>
    <row r="5313" spans="1:10">
      <c r="A5313" t="s">
        <v>194</v>
      </c>
      <c r="B5313" t="s">
        <v>199</v>
      </c>
      <c r="C5313" t="s">
        <v>202</v>
      </c>
      <c r="D5313" t="s">
        <v>203</v>
      </c>
      <c r="E5313">
        <v>2.912779638537323</v>
      </c>
      <c r="F5313">
        <v>3</v>
      </c>
      <c r="G5313">
        <v>1</v>
      </c>
      <c r="H5313">
        <v>11</v>
      </c>
      <c r="I5313">
        <v>537</v>
      </c>
      <c r="J5313">
        <v>2636</v>
      </c>
    </row>
    <row r="5314" spans="1:10">
      <c r="A5314" t="s">
        <v>194</v>
      </c>
      <c r="B5314" t="s">
        <v>199</v>
      </c>
      <c r="C5314" t="s">
        <v>204</v>
      </c>
      <c r="D5314" t="s">
        <v>203</v>
      </c>
      <c r="E5314">
        <v>2.8735810111142688</v>
      </c>
      <c r="F5314">
        <v>3</v>
      </c>
      <c r="G5314">
        <v>1</v>
      </c>
      <c r="H5314">
        <v>9</v>
      </c>
      <c r="I5314">
        <v>425</v>
      </c>
      <c r="J5314">
        <v>2636</v>
      </c>
    </row>
    <row r="5315" spans="1:10">
      <c r="A5315" t="s">
        <v>194</v>
      </c>
      <c r="B5315" t="s">
        <v>199</v>
      </c>
      <c r="C5315" t="s">
        <v>205</v>
      </c>
      <c r="D5315" t="s">
        <v>203</v>
      </c>
      <c r="E5315">
        <v>2.7661527646899549</v>
      </c>
      <c r="F5315">
        <v>3</v>
      </c>
      <c r="G5315">
        <v>1</v>
      </c>
      <c r="H5315">
        <v>12</v>
      </c>
      <c r="I5315">
        <v>502</v>
      </c>
      <c r="J5315">
        <v>2636</v>
      </c>
    </row>
    <row r="5316" spans="1:10">
      <c r="A5316" t="s">
        <v>200</v>
      </c>
      <c r="B5316" t="s">
        <v>200</v>
      </c>
      <c r="C5316" t="s">
        <v>200</v>
      </c>
      <c r="D5316" t="s">
        <v>200</v>
      </c>
      <c r="E5316">
        <v>2.8617173477070241</v>
      </c>
      <c r="F5316">
        <v>3</v>
      </c>
      <c r="G5316">
        <v>1</v>
      </c>
      <c r="H5316">
        <v>12</v>
      </c>
      <c r="I5316">
        <v>2636</v>
      </c>
      <c r="J5316">
        <v>2636</v>
      </c>
    </row>
    <row r="5318" spans="1:10" ht="45">
      <c r="A5318" s="22" t="s">
        <v>1244</v>
      </c>
    </row>
    <row r="5319" spans="1:10">
      <c r="A5319" t="s">
        <v>184</v>
      </c>
      <c r="B5319" t="s">
        <v>185</v>
      </c>
      <c r="C5319" t="s">
        <v>186</v>
      </c>
      <c r="D5319" t="s">
        <v>187</v>
      </c>
      <c r="E5319" t="s">
        <v>188</v>
      </c>
      <c r="F5319" t="s">
        <v>189</v>
      </c>
      <c r="G5319" t="s">
        <v>190</v>
      </c>
      <c r="H5319" t="s">
        <v>191</v>
      </c>
      <c r="I5319" t="s">
        <v>192</v>
      </c>
      <c r="J5319" t="s">
        <v>193</v>
      </c>
    </row>
    <row r="5320" spans="1:10">
      <c r="A5320" t="s">
        <v>194</v>
      </c>
      <c r="B5320" t="s">
        <v>195</v>
      </c>
      <c r="C5320" t="s">
        <v>207</v>
      </c>
      <c r="D5320" t="s">
        <v>208</v>
      </c>
      <c r="E5320">
        <v>2.9103281717062548</v>
      </c>
      <c r="F5320">
        <v>3</v>
      </c>
      <c r="G5320">
        <v>1</v>
      </c>
      <c r="H5320">
        <v>10</v>
      </c>
      <c r="I5320">
        <v>310</v>
      </c>
      <c r="J5320">
        <v>2636</v>
      </c>
    </row>
    <row r="5321" spans="1:10">
      <c r="A5321" t="s">
        <v>194</v>
      </c>
      <c r="B5321" t="s">
        <v>195</v>
      </c>
      <c r="C5321" t="s">
        <v>209</v>
      </c>
      <c r="D5321" t="s">
        <v>208</v>
      </c>
      <c r="E5321">
        <v>2.8118543636761011</v>
      </c>
      <c r="F5321">
        <v>3</v>
      </c>
      <c r="G5321">
        <v>1</v>
      </c>
      <c r="H5321">
        <v>10</v>
      </c>
      <c r="I5321">
        <v>844</v>
      </c>
      <c r="J5321">
        <v>2636</v>
      </c>
    </row>
    <row r="5322" spans="1:10">
      <c r="A5322" t="s">
        <v>194</v>
      </c>
      <c r="B5322" t="s">
        <v>199</v>
      </c>
      <c r="C5322" t="s">
        <v>207</v>
      </c>
      <c r="D5322" t="s">
        <v>208</v>
      </c>
      <c r="E5322">
        <v>3.053343620196673</v>
      </c>
      <c r="F5322">
        <v>3</v>
      </c>
      <c r="G5322">
        <v>1</v>
      </c>
      <c r="H5322">
        <v>10</v>
      </c>
      <c r="I5322">
        <v>282</v>
      </c>
      <c r="J5322">
        <v>2636</v>
      </c>
    </row>
    <row r="5323" spans="1:10">
      <c r="A5323" t="s">
        <v>194</v>
      </c>
      <c r="B5323" t="s">
        <v>199</v>
      </c>
      <c r="C5323" t="s">
        <v>209</v>
      </c>
      <c r="D5323" t="s">
        <v>208</v>
      </c>
      <c r="E5323">
        <v>2.8569311726424589</v>
      </c>
      <c r="F5323">
        <v>3</v>
      </c>
      <c r="G5323">
        <v>1</v>
      </c>
      <c r="H5323">
        <v>12</v>
      </c>
      <c r="I5323">
        <v>1200</v>
      </c>
      <c r="J5323">
        <v>2636</v>
      </c>
    </row>
    <row r="5324" spans="1:10">
      <c r="A5324" t="s">
        <v>200</v>
      </c>
      <c r="B5324" t="s">
        <v>200</v>
      </c>
      <c r="C5324" t="s">
        <v>200</v>
      </c>
      <c r="D5324" t="s">
        <v>200</v>
      </c>
      <c r="E5324">
        <v>2.8617173477070241</v>
      </c>
      <c r="F5324">
        <v>3</v>
      </c>
      <c r="G5324">
        <v>1</v>
      </c>
      <c r="H5324">
        <v>12</v>
      </c>
      <c r="I5324">
        <v>2636</v>
      </c>
      <c r="J5324">
        <v>2636</v>
      </c>
    </row>
    <row r="5326" spans="1:10" ht="45">
      <c r="A5326" s="22" t="s">
        <v>1245</v>
      </c>
    </row>
    <row r="5327" spans="1:10">
      <c r="A5327" t="s">
        <v>184</v>
      </c>
      <c r="B5327" t="s">
        <v>185</v>
      </c>
      <c r="C5327" t="s">
        <v>188</v>
      </c>
      <c r="D5327" t="s">
        <v>189</v>
      </c>
      <c r="E5327" t="s">
        <v>190</v>
      </c>
      <c r="F5327" t="s">
        <v>191</v>
      </c>
      <c r="G5327" t="s">
        <v>192</v>
      </c>
      <c r="H5327" t="s">
        <v>193</v>
      </c>
    </row>
    <row r="5328" spans="1:10">
      <c r="A5328" t="s">
        <v>194</v>
      </c>
      <c r="B5328" t="s">
        <v>195</v>
      </c>
      <c r="C5328">
        <v>2.8369141152011181</v>
      </c>
      <c r="D5328">
        <v>3</v>
      </c>
      <c r="E5328">
        <v>1</v>
      </c>
      <c r="F5328">
        <v>10</v>
      </c>
      <c r="G5328">
        <v>1154</v>
      </c>
      <c r="H5328">
        <v>2636</v>
      </c>
    </row>
    <row r="5329" spans="1:10">
      <c r="A5329" t="s">
        <v>194</v>
      </c>
      <c r="B5329" t="s">
        <v>199</v>
      </c>
      <c r="C5329">
        <v>2.88087310481419</v>
      </c>
      <c r="D5329">
        <v>3</v>
      </c>
      <c r="E5329">
        <v>1</v>
      </c>
      <c r="F5329">
        <v>12</v>
      </c>
      <c r="G5329">
        <v>1482</v>
      </c>
      <c r="H5329">
        <v>2636</v>
      </c>
    </row>
    <row r="5330" spans="1:10">
      <c r="A5330" t="s">
        <v>200</v>
      </c>
      <c r="B5330" t="s">
        <v>200</v>
      </c>
      <c r="C5330">
        <v>2.8617173477070241</v>
      </c>
      <c r="D5330">
        <v>3</v>
      </c>
      <c r="E5330">
        <v>1</v>
      </c>
      <c r="F5330">
        <v>12</v>
      </c>
      <c r="G5330">
        <v>2636</v>
      </c>
      <c r="H5330">
        <v>2636</v>
      </c>
    </row>
    <row r="5332" spans="1:10" ht="45">
      <c r="A5332" s="22" t="s">
        <v>1246</v>
      </c>
    </row>
    <row r="5333" spans="1:10">
      <c r="A5333" t="s">
        <v>184</v>
      </c>
      <c r="B5333" t="s">
        <v>185</v>
      </c>
      <c r="C5333" t="s">
        <v>186</v>
      </c>
      <c r="D5333" t="s">
        <v>187</v>
      </c>
      <c r="E5333" t="s">
        <v>188</v>
      </c>
      <c r="F5333" t="s">
        <v>189</v>
      </c>
      <c r="G5333" t="s">
        <v>190</v>
      </c>
      <c r="H5333" t="s">
        <v>191</v>
      </c>
      <c r="I5333" t="s">
        <v>192</v>
      </c>
      <c r="J5333" t="s">
        <v>193</v>
      </c>
    </row>
    <row r="5334" spans="1:10">
      <c r="A5334" t="s">
        <v>194</v>
      </c>
      <c r="B5334" t="s">
        <v>195</v>
      </c>
      <c r="C5334" t="s">
        <v>212</v>
      </c>
      <c r="D5334" t="s">
        <v>213</v>
      </c>
      <c r="E5334">
        <v>2.8550574292321031</v>
      </c>
      <c r="F5334">
        <v>3</v>
      </c>
      <c r="G5334">
        <v>1</v>
      </c>
      <c r="H5334">
        <v>8</v>
      </c>
      <c r="I5334">
        <v>851</v>
      </c>
      <c r="J5334">
        <v>2636</v>
      </c>
    </row>
    <row r="5335" spans="1:10">
      <c r="A5335" t="s">
        <v>194</v>
      </c>
      <c r="B5335" t="s">
        <v>195</v>
      </c>
      <c r="C5335" t="s">
        <v>214</v>
      </c>
      <c r="D5335" t="s">
        <v>213</v>
      </c>
      <c r="E5335">
        <v>1.320689393722982</v>
      </c>
      <c r="F5335">
        <v>1</v>
      </c>
      <c r="G5335">
        <v>1</v>
      </c>
      <c r="H5335">
        <v>10</v>
      </c>
      <c r="I5335">
        <v>170</v>
      </c>
      <c r="J5335">
        <v>2636</v>
      </c>
    </row>
    <row r="5336" spans="1:10">
      <c r="A5336" t="s">
        <v>194</v>
      </c>
      <c r="B5336" t="s">
        <v>195</v>
      </c>
      <c r="C5336" t="s">
        <v>215</v>
      </c>
      <c r="D5336" t="s">
        <v>213</v>
      </c>
      <c r="E5336">
        <v>5.494897885144268</v>
      </c>
      <c r="F5336">
        <v>5</v>
      </c>
      <c r="G5336">
        <v>2</v>
      </c>
      <c r="H5336">
        <v>10</v>
      </c>
      <c r="I5336">
        <v>133</v>
      </c>
      <c r="J5336">
        <v>2636</v>
      </c>
    </row>
    <row r="5337" spans="1:10">
      <c r="A5337" t="s">
        <v>194</v>
      </c>
      <c r="B5337" t="s">
        <v>199</v>
      </c>
      <c r="C5337" t="s">
        <v>212</v>
      </c>
      <c r="D5337" t="s">
        <v>213</v>
      </c>
      <c r="E5337">
        <v>2.845759132201382</v>
      </c>
      <c r="F5337">
        <v>3</v>
      </c>
      <c r="G5337">
        <v>1</v>
      </c>
      <c r="H5337">
        <v>8</v>
      </c>
      <c r="I5337">
        <v>1115</v>
      </c>
      <c r="J5337">
        <v>2636</v>
      </c>
    </row>
    <row r="5338" spans="1:10">
      <c r="A5338" t="s">
        <v>194</v>
      </c>
      <c r="B5338" t="s">
        <v>199</v>
      </c>
      <c r="C5338" t="s">
        <v>214</v>
      </c>
      <c r="D5338" t="s">
        <v>213</v>
      </c>
      <c r="E5338">
        <v>1.6850433012625761</v>
      </c>
      <c r="F5338">
        <v>1</v>
      </c>
      <c r="G5338">
        <v>1</v>
      </c>
      <c r="H5338">
        <v>11</v>
      </c>
      <c r="I5338">
        <v>195</v>
      </c>
      <c r="J5338">
        <v>2636</v>
      </c>
    </row>
    <row r="5339" spans="1:10">
      <c r="A5339" t="s">
        <v>194</v>
      </c>
      <c r="B5339" t="s">
        <v>199</v>
      </c>
      <c r="C5339" t="s">
        <v>215</v>
      </c>
      <c r="D5339" t="s">
        <v>213</v>
      </c>
      <c r="E5339">
        <v>5.341243836869296</v>
      </c>
      <c r="F5339">
        <v>5</v>
      </c>
      <c r="G5339">
        <v>1</v>
      </c>
      <c r="H5339">
        <v>12</v>
      </c>
      <c r="I5339">
        <v>172</v>
      </c>
      <c r="J5339">
        <v>2636</v>
      </c>
    </row>
    <row r="5340" spans="1:10">
      <c r="A5340" t="s">
        <v>200</v>
      </c>
      <c r="B5340" t="s">
        <v>200</v>
      </c>
      <c r="C5340" t="s">
        <v>200</v>
      </c>
      <c r="D5340" t="s">
        <v>200</v>
      </c>
      <c r="E5340">
        <v>2.8617173477070241</v>
      </c>
      <c r="F5340">
        <v>3</v>
      </c>
      <c r="G5340">
        <v>1</v>
      </c>
      <c r="H5340">
        <v>12</v>
      </c>
      <c r="I5340">
        <v>2636</v>
      </c>
      <c r="J5340">
        <v>2636</v>
      </c>
    </row>
    <row r="5342" spans="1:10" ht="45">
      <c r="A5342" s="22" t="s">
        <v>1247</v>
      </c>
    </row>
    <row r="5343" spans="1:10">
      <c r="A5343" t="s">
        <v>184</v>
      </c>
      <c r="B5343" t="s">
        <v>185</v>
      </c>
      <c r="C5343" t="s">
        <v>186</v>
      </c>
      <c r="D5343" t="s">
        <v>187</v>
      </c>
      <c r="E5343" t="s">
        <v>188</v>
      </c>
      <c r="F5343" t="s">
        <v>189</v>
      </c>
      <c r="G5343" t="s">
        <v>190</v>
      </c>
      <c r="H5343" t="s">
        <v>191</v>
      </c>
      <c r="I5343" t="s">
        <v>192</v>
      </c>
      <c r="J5343" t="s">
        <v>193</v>
      </c>
    </row>
    <row r="5344" spans="1:10">
      <c r="A5344" t="s">
        <v>194</v>
      </c>
      <c r="B5344" t="s">
        <v>195</v>
      </c>
      <c r="C5344" t="s">
        <v>217</v>
      </c>
      <c r="D5344" t="s">
        <v>218</v>
      </c>
      <c r="E5344">
        <v>3.2555197691875368</v>
      </c>
      <c r="F5344">
        <v>3</v>
      </c>
      <c r="G5344">
        <v>1</v>
      </c>
      <c r="H5344">
        <v>10</v>
      </c>
      <c r="I5344">
        <v>489</v>
      </c>
      <c r="J5344">
        <v>2636</v>
      </c>
    </row>
    <row r="5345" spans="1:10">
      <c r="A5345" t="s">
        <v>194</v>
      </c>
      <c r="B5345" t="s">
        <v>195</v>
      </c>
      <c r="C5345" t="s">
        <v>219</v>
      </c>
      <c r="D5345" t="s">
        <v>218</v>
      </c>
      <c r="E5345">
        <v>2.4759231513901589</v>
      </c>
      <c r="F5345">
        <v>2</v>
      </c>
      <c r="G5345">
        <v>1</v>
      </c>
      <c r="H5345">
        <v>10</v>
      </c>
      <c r="I5345">
        <v>488</v>
      </c>
      <c r="J5345">
        <v>2636</v>
      </c>
    </row>
    <row r="5346" spans="1:10">
      <c r="A5346" t="s">
        <v>194</v>
      </c>
      <c r="B5346" t="s">
        <v>195</v>
      </c>
      <c r="C5346" t="s">
        <v>220</v>
      </c>
      <c r="D5346" t="s">
        <v>218</v>
      </c>
      <c r="E5346">
        <v>2.6215270608722299</v>
      </c>
      <c r="F5346">
        <v>2</v>
      </c>
      <c r="G5346">
        <v>1</v>
      </c>
      <c r="H5346">
        <v>8</v>
      </c>
      <c r="I5346">
        <v>176</v>
      </c>
      <c r="J5346">
        <v>2636</v>
      </c>
    </row>
    <row r="5347" spans="1:10">
      <c r="A5347" t="s">
        <v>194</v>
      </c>
      <c r="B5347" t="s">
        <v>199</v>
      </c>
      <c r="C5347" t="s">
        <v>217</v>
      </c>
      <c r="D5347" t="s">
        <v>218</v>
      </c>
      <c r="E5347">
        <v>3.1353033814382889</v>
      </c>
      <c r="F5347">
        <v>3</v>
      </c>
      <c r="G5347">
        <v>1</v>
      </c>
      <c r="H5347">
        <v>12</v>
      </c>
      <c r="I5347">
        <v>812</v>
      </c>
      <c r="J5347">
        <v>2636</v>
      </c>
    </row>
    <row r="5348" spans="1:10">
      <c r="A5348" t="s">
        <v>194</v>
      </c>
      <c r="B5348" t="s">
        <v>199</v>
      </c>
      <c r="C5348" t="s">
        <v>219</v>
      </c>
      <c r="D5348" t="s">
        <v>218</v>
      </c>
      <c r="E5348">
        <v>2.3186188556600822</v>
      </c>
      <c r="F5348">
        <v>2</v>
      </c>
      <c r="G5348">
        <v>1</v>
      </c>
      <c r="H5348">
        <v>11</v>
      </c>
      <c r="I5348">
        <v>449</v>
      </c>
      <c r="J5348">
        <v>2636</v>
      </c>
    </row>
    <row r="5349" spans="1:10">
      <c r="A5349" t="s">
        <v>194</v>
      </c>
      <c r="B5349" t="s">
        <v>199</v>
      </c>
      <c r="C5349" t="s">
        <v>220</v>
      </c>
      <c r="D5349" t="s">
        <v>218</v>
      </c>
      <c r="E5349">
        <v>2.793152848638893</v>
      </c>
      <c r="F5349">
        <v>3</v>
      </c>
      <c r="G5349">
        <v>1</v>
      </c>
      <c r="H5349">
        <v>8</v>
      </c>
      <c r="I5349">
        <v>221</v>
      </c>
      <c r="J5349">
        <v>2636</v>
      </c>
    </row>
    <row r="5350" spans="1:10">
      <c r="A5350" t="s">
        <v>200</v>
      </c>
      <c r="B5350" t="s">
        <v>200</v>
      </c>
      <c r="C5350" t="s">
        <v>200</v>
      </c>
      <c r="D5350" t="s">
        <v>200</v>
      </c>
      <c r="E5350">
        <v>2.8617173477070241</v>
      </c>
      <c r="F5350">
        <v>3</v>
      </c>
      <c r="G5350">
        <v>1</v>
      </c>
      <c r="H5350">
        <v>12</v>
      </c>
      <c r="I5350">
        <v>2636</v>
      </c>
      <c r="J5350">
        <v>2636</v>
      </c>
    </row>
    <row r="5352" spans="1:10" ht="30">
      <c r="A5352" s="22" t="s">
        <v>1248</v>
      </c>
    </row>
    <row r="5353" spans="1:10">
      <c r="A5353" t="s">
        <v>184</v>
      </c>
      <c r="B5353" t="s">
        <v>185</v>
      </c>
      <c r="C5353" t="s">
        <v>186</v>
      </c>
      <c r="D5353" t="s">
        <v>187</v>
      </c>
      <c r="E5353" t="s">
        <v>188</v>
      </c>
      <c r="F5353" t="s">
        <v>189</v>
      </c>
      <c r="G5353" t="s">
        <v>190</v>
      </c>
      <c r="H5353" t="s">
        <v>191</v>
      </c>
      <c r="I5353" t="s">
        <v>192</v>
      </c>
      <c r="J5353" t="s">
        <v>193</v>
      </c>
    </row>
    <row r="5354" spans="1:10">
      <c r="A5354" t="s">
        <v>194</v>
      </c>
      <c r="B5354" t="s">
        <v>195</v>
      </c>
      <c r="C5354" t="s">
        <v>196</v>
      </c>
      <c r="D5354" t="s">
        <v>197</v>
      </c>
      <c r="E5354">
        <v>26.088580119087801</v>
      </c>
      <c r="F5354">
        <v>20</v>
      </c>
      <c r="G5354">
        <v>3.5</v>
      </c>
      <c r="H5354">
        <v>156</v>
      </c>
      <c r="I5354">
        <v>271</v>
      </c>
      <c r="J5354">
        <v>2081</v>
      </c>
    </row>
    <row r="5355" spans="1:10">
      <c r="A5355" t="s">
        <v>194</v>
      </c>
      <c r="B5355" t="s">
        <v>195</v>
      </c>
      <c r="C5355" t="s">
        <v>198</v>
      </c>
      <c r="D5355" t="s">
        <v>197</v>
      </c>
      <c r="E5355">
        <v>19.668566710665861</v>
      </c>
      <c r="F5355">
        <v>16.6666666666667</v>
      </c>
      <c r="G5355">
        <v>1.71428571428571</v>
      </c>
      <c r="H5355">
        <v>73</v>
      </c>
      <c r="I5355">
        <v>532</v>
      </c>
      <c r="J5355">
        <v>2081</v>
      </c>
    </row>
    <row r="5356" spans="1:10">
      <c r="A5356" t="s">
        <v>194</v>
      </c>
      <c r="B5356" t="s">
        <v>199</v>
      </c>
      <c r="C5356" t="s">
        <v>196</v>
      </c>
      <c r="D5356" t="s">
        <v>197</v>
      </c>
      <c r="E5356">
        <v>37.866077908241458</v>
      </c>
      <c r="F5356">
        <v>27</v>
      </c>
      <c r="G5356">
        <v>3.75</v>
      </c>
      <c r="H5356">
        <v>600</v>
      </c>
      <c r="I5356">
        <v>426</v>
      </c>
      <c r="J5356">
        <v>2081</v>
      </c>
    </row>
    <row r="5357" spans="1:10">
      <c r="A5357" t="s">
        <v>194</v>
      </c>
      <c r="B5357" t="s">
        <v>199</v>
      </c>
      <c r="C5357" t="s">
        <v>198</v>
      </c>
      <c r="D5357" t="s">
        <v>197</v>
      </c>
      <c r="E5357">
        <v>27.622211357108998</v>
      </c>
      <c r="F5357">
        <v>21.6666666666667</v>
      </c>
      <c r="G5357">
        <v>3</v>
      </c>
      <c r="H5357">
        <v>150</v>
      </c>
      <c r="I5357">
        <v>824</v>
      </c>
      <c r="J5357">
        <v>2081</v>
      </c>
    </row>
    <row r="5358" spans="1:10">
      <c r="A5358" t="s">
        <v>200</v>
      </c>
      <c r="B5358" t="s">
        <v>200</v>
      </c>
      <c r="C5358" t="s">
        <v>200</v>
      </c>
      <c r="D5358" t="s">
        <v>200</v>
      </c>
      <c r="E5358">
        <v>26.29217231047738</v>
      </c>
      <c r="F5358">
        <v>20</v>
      </c>
      <c r="G5358">
        <v>1.71428571428571</v>
      </c>
      <c r="H5358">
        <v>600</v>
      </c>
      <c r="I5358">
        <v>2081</v>
      </c>
      <c r="J5358">
        <v>2081</v>
      </c>
    </row>
    <row r="5360" spans="1:10" ht="30">
      <c r="A5360" s="22" t="s">
        <v>1249</v>
      </c>
    </row>
    <row r="5361" spans="1:10">
      <c r="A5361" t="s">
        <v>184</v>
      </c>
      <c r="B5361" t="s">
        <v>185</v>
      </c>
      <c r="C5361" t="s">
        <v>186</v>
      </c>
      <c r="D5361" t="s">
        <v>187</v>
      </c>
      <c r="E5361" t="s">
        <v>188</v>
      </c>
      <c r="F5361" t="s">
        <v>189</v>
      </c>
      <c r="G5361" t="s">
        <v>190</v>
      </c>
      <c r="H5361" t="s">
        <v>191</v>
      </c>
      <c r="I5361" t="s">
        <v>192</v>
      </c>
      <c r="J5361" t="s">
        <v>193</v>
      </c>
    </row>
    <row r="5362" spans="1:10">
      <c r="A5362" t="s">
        <v>194</v>
      </c>
      <c r="B5362" t="s">
        <v>195</v>
      </c>
      <c r="C5362" t="s">
        <v>202</v>
      </c>
      <c r="D5362" t="s">
        <v>203</v>
      </c>
      <c r="E5362">
        <v>21.605163864237358</v>
      </c>
      <c r="F5362">
        <v>17.5</v>
      </c>
      <c r="G5362">
        <v>1.71428571428571</v>
      </c>
      <c r="H5362">
        <v>156</v>
      </c>
      <c r="I5362">
        <v>367</v>
      </c>
      <c r="J5362">
        <v>2081</v>
      </c>
    </row>
    <row r="5363" spans="1:10">
      <c r="A5363" t="s">
        <v>194</v>
      </c>
      <c r="B5363" t="s">
        <v>195</v>
      </c>
      <c r="C5363" t="s">
        <v>204</v>
      </c>
      <c r="D5363" t="s">
        <v>203</v>
      </c>
      <c r="E5363">
        <v>22.105696081014951</v>
      </c>
      <c r="F5363">
        <v>16</v>
      </c>
      <c r="G5363">
        <v>3.3333333333333299</v>
      </c>
      <c r="H5363">
        <v>80</v>
      </c>
      <c r="I5363">
        <v>207</v>
      </c>
      <c r="J5363">
        <v>2081</v>
      </c>
    </row>
    <row r="5364" spans="1:10">
      <c r="A5364" t="s">
        <v>194</v>
      </c>
      <c r="B5364" t="s">
        <v>195</v>
      </c>
      <c r="C5364" t="s">
        <v>205</v>
      </c>
      <c r="D5364" t="s">
        <v>203</v>
      </c>
      <c r="E5364">
        <v>19.411918138945548</v>
      </c>
      <c r="F5364">
        <v>16.6666666666667</v>
      </c>
      <c r="G5364">
        <v>2.1428571428571401</v>
      </c>
      <c r="H5364">
        <v>73</v>
      </c>
      <c r="I5364">
        <v>229</v>
      </c>
      <c r="J5364">
        <v>2081</v>
      </c>
    </row>
    <row r="5365" spans="1:10">
      <c r="A5365" t="s">
        <v>194</v>
      </c>
      <c r="B5365" t="s">
        <v>199</v>
      </c>
      <c r="C5365" t="s">
        <v>202</v>
      </c>
      <c r="D5365" t="s">
        <v>203</v>
      </c>
      <c r="E5365">
        <v>31.68520274112792</v>
      </c>
      <c r="F5365">
        <v>23.5</v>
      </c>
      <c r="G5365">
        <v>3</v>
      </c>
      <c r="H5365">
        <v>600</v>
      </c>
      <c r="I5365">
        <v>455</v>
      </c>
      <c r="J5365">
        <v>2081</v>
      </c>
    </row>
    <row r="5366" spans="1:10">
      <c r="A5366" t="s">
        <v>194</v>
      </c>
      <c r="B5366" t="s">
        <v>199</v>
      </c>
      <c r="C5366" t="s">
        <v>204</v>
      </c>
      <c r="D5366" t="s">
        <v>203</v>
      </c>
      <c r="E5366">
        <v>26.688254830081739</v>
      </c>
      <c r="F5366">
        <v>22.5</v>
      </c>
      <c r="G5366">
        <v>3.75</v>
      </c>
      <c r="H5366">
        <v>140</v>
      </c>
      <c r="I5366">
        <v>370</v>
      </c>
      <c r="J5366">
        <v>2081</v>
      </c>
    </row>
    <row r="5367" spans="1:10">
      <c r="A5367" t="s">
        <v>194</v>
      </c>
      <c r="B5367" t="s">
        <v>199</v>
      </c>
      <c r="C5367" t="s">
        <v>205</v>
      </c>
      <c r="D5367" t="s">
        <v>203</v>
      </c>
      <c r="E5367">
        <v>24.787974017807031</v>
      </c>
      <c r="F5367">
        <v>21</v>
      </c>
      <c r="G5367">
        <v>3</v>
      </c>
      <c r="H5367">
        <v>150</v>
      </c>
      <c r="I5367">
        <v>425</v>
      </c>
      <c r="J5367">
        <v>2081</v>
      </c>
    </row>
    <row r="5368" spans="1:10">
      <c r="A5368" t="s">
        <v>200</v>
      </c>
      <c r="B5368" t="s">
        <v>200</v>
      </c>
      <c r="C5368" t="s">
        <v>200</v>
      </c>
      <c r="D5368" t="s">
        <v>200</v>
      </c>
      <c r="E5368">
        <v>26.29217231047738</v>
      </c>
      <c r="F5368">
        <v>20</v>
      </c>
      <c r="G5368">
        <v>1.71428571428571</v>
      </c>
      <c r="H5368">
        <v>600</v>
      </c>
      <c r="I5368">
        <v>2081</v>
      </c>
      <c r="J5368">
        <v>2081</v>
      </c>
    </row>
    <row r="5370" spans="1:10" ht="30">
      <c r="A5370" s="22" t="s">
        <v>1250</v>
      </c>
    </row>
    <row r="5371" spans="1:10">
      <c r="A5371" t="s">
        <v>184</v>
      </c>
      <c r="B5371" t="s">
        <v>185</v>
      </c>
      <c r="C5371" t="s">
        <v>186</v>
      </c>
      <c r="D5371" t="s">
        <v>187</v>
      </c>
      <c r="E5371" t="s">
        <v>188</v>
      </c>
      <c r="F5371" t="s">
        <v>189</v>
      </c>
      <c r="G5371" t="s">
        <v>190</v>
      </c>
      <c r="H5371" t="s">
        <v>191</v>
      </c>
      <c r="I5371" t="s">
        <v>192</v>
      </c>
      <c r="J5371" t="s">
        <v>193</v>
      </c>
    </row>
    <row r="5372" spans="1:10">
      <c r="A5372" t="s">
        <v>194</v>
      </c>
      <c r="B5372" t="s">
        <v>195</v>
      </c>
      <c r="C5372" t="s">
        <v>207</v>
      </c>
      <c r="D5372" t="s">
        <v>208</v>
      </c>
      <c r="E5372">
        <v>21.690051128276291</v>
      </c>
      <c r="F5372">
        <v>16</v>
      </c>
      <c r="G5372">
        <v>3.3333333333333299</v>
      </c>
      <c r="H5372">
        <v>80</v>
      </c>
      <c r="I5372">
        <v>216</v>
      </c>
      <c r="J5372">
        <v>2081</v>
      </c>
    </row>
    <row r="5373" spans="1:10">
      <c r="A5373" t="s">
        <v>194</v>
      </c>
      <c r="B5373" t="s">
        <v>195</v>
      </c>
      <c r="C5373" t="s">
        <v>209</v>
      </c>
      <c r="D5373" t="s">
        <v>208</v>
      </c>
      <c r="E5373">
        <v>21.264100596809069</v>
      </c>
      <c r="F5373">
        <v>17.5</v>
      </c>
      <c r="G5373">
        <v>1.71428571428571</v>
      </c>
      <c r="H5373">
        <v>156</v>
      </c>
      <c r="I5373">
        <v>598</v>
      </c>
      <c r="J5373">
        <v>2081</v>
      </c>
    </row>
    <row r="5374" spans="1:10">
      <c r="A5374" t="s">
        <v>194</v>
      </c>
      <c r="B5374" t="s">
        <v>199</v>
      </c>
      <c r="C5374" t="s">
        <v>207</v>
      </c>
      <c r="D5374" t="s">
        <v>208</v>
      </c>
      <c r="E5374">
        <v>25.816457866305161</v>
      </c>
      <c r="F5374">
        <v>21</v>
      </c>
      <c r="G5374">
        <v>3.75</v>
      </c>
      <c r="H5374">
        <v>110</v>
      </c>
      <c r="I5374">
        <v>249</v>
      </c>
      <c r="J5374">
        <v>2081</v>
      </c>
    </row>
    <row r="5375" spans="1:10">
      <c r="A5375" t="s">
        <v>194</v>
      </c>
      <c r="B5375" t="s">
        <v>199</v>
      </c>
      <c r="C5375" t="s">
        <v>209</v>
      </c>
      <c r="D5375" t="s">
        <v>208</v>
      </c>
      <c r="E5375">
        <v>30.1213916758335</v>
      </c>
      <c r="F5375">
        <v>22.6666666666667</v>
      </c>
      <c r="G5375">
        <v>3</v>
      </c>
      <c r="H5375">
        <v>600</v>
      </c>
      <c r="I5375">
        <v>1018</v>
      </c>
      <c r="J5375">
        <v>2081</v>
      </c>
    </row>
    <row r="5376" spans="1:10">
      <c r="A5376" t="s">
        <v>200</v>
      </c>
      <c r="B5376" t="s">
        <v>200</v>
      </c>
      <c r="C5376" t="s">
        <v>200</v>
      </c>
      <c r="D5376" t="s">
        <v>200</v>
      </c>
      <c r="E5376">
        <v>26.29217231047738</v>
      </c>
      <c r="F5376">
        <v>20</v>
      </c>
      <c r="G5376">
        <v>1.71428571428571</v>
      </c>
      <c r="H5376">
        <v>600</v>
      </c>
      <c r="I5376">
        <v>2081</v>
      </c>
      <c r="J5376">
        <v>2081</v>
      </c>
    </row>
    <row r="5378" spans="1:10" ht="30">
      <c r="A5378" s="22" t="s">
        <v>1251</v>
      </c>
    </row>
    <row r="5379" spans="1:10">
      <c r="A5379" t="s">
        <v>184</v>
      </c>
      <c r="B5379" t="s">
        <v>185</v>
      </c>
      <c r="C5379" t="s">
        <v>188</v>
      </c>
      <c r="D5379" t="s">
        <v>189</v>
      </c>
      <c r="E5379" t="s">
        <v>190</v>
      </c>
      <c r="F5379" t="s">
        <v>191</v>
      </c>
      <c r="G5379" t="s">
        <v>192</v>
      </c>
      <c r="H5379" t="s">
        <v>193</v>
      </c>
    </row>
    <row r="5380" spans="1:10">
      <c r="A5380" t="s">
        <v>194</v>
      </c>
      <c r="B5380" t="s">
        <v>195</v>
      </c>
      <c r="C5380">
        <v>21.372545658018971</v>
      </c>
      <c r="D5380">
        <v>16.6666666666667</v>
      </c>
      <c r="E5380">
        <v>1.71428571428571</v>
      </c>
      <c r="F5380">
        <v>156</v>
      </c>
      <c r="G5380">
        <v>814</v>
      </c>
      <c r="H5380">
        <v>2081</v>
      </c>
    </row>
    <row r="5381" spans="1:10">
      <c r="A5381" t="s">
        <v>194</v>
      </c>
      <c r="B5381" t="s">
        <v>199</v>
      </c>
      <c r="C5381">
        <v>29.551686772324761</v>
      </c>
      <c r="D5381">
        <v>22.5</v>
      </c>
      <c r="E5381">
        <v>3</v>
      </c>
      <c r="F5381">
        <v>600</v>
      </c>
      <c r="G5381">
        <v>1267</v>
      </c>
      <c r="H5381">
        <v>2081</v>
      </c>
    </row>
    <row r="5382" spans="1:10">
      <c r="A5382" t="s">
        <v>200</v>
      </c>
      <c r="B5382" t="s">
        <v>200</v>
      </c>
      <c r="C5382">
        <v>26.29217231047738</v>
      </c>
      <c r="D5382">
        <v>20</v>
      </c>
      <c r="E5382">
        <v>1.71428571428571</v>
      </c>
      <c r="F5382">
        <v>600</v>
      </c>
      <c r="G5382">
        <v>2081</v>
      </c>
      <c r="H5382">
        <v>2081</v>
      </c>
    </row>
    <row r="5384" spans="1:10" ht="30">
      <c r="A5384" s="22" t="s">
        <v>1252</v>
      </c>
    </row>
    <row r="5385" spans="1:10">
      <c r="A5385" t="s">
        <v>184</v>
      </c>
      <c r="B5385" t="s">
        <v>185</v>
      </c>
      <c r="C5385" t="s">
        <v>186</v>
      </c>
      <c r="D5385" t="s">
        <v>187</v>
      </c>
      <c r="E5385" t="s">
        <v>188</v>
      </c>
      <c r="F5385" t="s">
        <v>189</v>
      </c>
      <c r="G5385" t="s">
        <v>190</v>
      </c>
      <c r="H5385" t="s">
        <v>191</v>
      </c>
      <c r="I5385" t="s">
        <v>192</v>
      </c>
      <c r="J5385" t="s">
        <v>193</v>
      </c>
    </row>
    <row r="5386" spans="1:10">
      <c r="A5386" t="s">
        <v>194</v>
      </c>
      <c r="B5386" t="s">
        <v>195</v>
      </c>
      <c r="C5386" t="s">
        <v>212</v>
      </c>
      <c r="D5386" t="s">
        <v>213</v>
      </c>
      <c r="E5386">
        <v>18.735776696493868</v>
      </c>
      <c r="F5386">
        <v>16.6666666666667</v>
      </c>
      <c r="G5386">
        <v>1.71428571428571</v>
      </c>
      <c r="H5386">
        <v>80</v>
      </c>
      <c r="I5386">
        <v>610</v>
      </c>
      <c r="J5386">
        <v>2081</v>
      </c>
    </row>
    <row r="5387" spans="1:10">
      <c r="A5387" t="s">
        <v>194</v>
      </c>
      <c r="B5387" t="s">
        <v>195</v>
      </c>
      <c r="C5387" t="s">
        <v>214</v>
      </c>
      <c r="D5387" t="s">
        <v>213</v>
      </c>
      <c r="E5387">
        <v>43.211994800284202</v>
      </c>
      <c r="F5387">
        <v>40</v>
      </c>
      <c r="G5387">
        <v>6</v>
      </c>
      <c r="H5387">
        <v>156</v>
      </c>
      <c r="I5387">
        <v>110</v>
      </c>
      <c r="J5387">
        <v>2081</v>
      </c>
    </row>
    <row r="5388" spans="1:10">
      <c r="A5388" t="s">
        <v>194</v>
      </c>
      <c r="B5388" t="s">
        <v>195</v>
      </c>
      <c r="C5388" t="s">
        <v>215</v>
      </c>
      <c r="D5388" t="s">
        <v>213</v>
      </c>
      <c r="E5388">
        <v>13.24462706978969</v>
      </c>
      <c r="F5388">
        <v>12</v>
      </c>
      <c r="G5388">
        <v>2.1428571428571401</v>
      </c>
      <c r="H5388">
        <v>33.3333333333333</v>
      </c>
      <c r="I5388">
        <v>94</v>
      </c>
      <c r="J5388">
        <v>2081</v>
      </c>
    </row>
    <row r="5389" spans="1:10">
      <c r="A5389" t="s">
        <v>194</v>
      </c>
      <c r="B5389" t="s">
        <v>199</v>
      </c>
      <c r="C5389" t="s">
        <v>212</v>
      </c>
      <c r="D5389" t="s">
        <v>213</v>
      </c>
      <c r="E5389">
        <v>27.04585453294882</v>
      </c>
      <c r="F5389">
        <v>21.75</v>
      </c>
      <c r="G5389">
        <v>3.75</v>
      </c>
      <c r="H5389">
        <v>160</v>
      </c>
      <c r="I5389">
        <v>955</v>
      </c>
      <c r="J5389">
        <v>2081</v>
      </c>
    </row>
    <row r="5390" spans="1:10">
      <c r="A5390" t="s">
        <v>194</v>
      </c>
      <c r="B5390" t="s">
        <v>199</v>
      </c>
      <c r="C5390" t="s">
        <v>214</v>
      </c>
      <c r="D5390" t="s">
        <v>213</v>
      </c>
      <c r="E5390">
        <v>50.374672789207708</v>
      </c>
      <c r="F5390">
        <v>44</v>
      </c>
      <c r="G5390">
        <v>3</v>
      </c>
      <c r="H5390">
        <v>600</v>
      </c>
      <c r="I5390">
        <v>169</v>
      </c>
      <c r="J5390">
        <v>2081</v>
      </c>
    </row>
    <row r="5391" spans="1:10">
      <c r="A5391" t="s">
        <v>194</v>
      </c>
      <c r="B5391" t="s">
        <v>199</v>
      </c>
      <c r="C5391" t="s">
        <v>215</v>
      </c>
      <c r="D5391" t="s">
        <v>213</v>
      </c>
      <c r="E5391">
        <v>16.31926369246063</v>
      </c>
      <c r="F5391">
        <v>14.4</v>
      </c>
      <c r="G5391">
        <v>3</v>
      </c>
      <c r="H5391">
        <v>93</v>
      </c>
      <c r="I5391">
        <v>143</v>
      </c>
      <c r="J5391">
        <v>2081</v>
      </c>
    </row>
    <row r="5392" spans="1:10">
      <c r="A5392" t="s">
        <v>200</v>
      </c>
      <c r="B5392" t="s">
        <v>200</v>
      </c>
      <c r="C5392" t="s">
        <v>200</v>
      </c>
      <c r="D5392" t="s">
        <v>200</v>
      </c>
      <c r="E5392">
        <v>26.29217231047738</v>
      </c>
      <c r="F5392">
        <v>20</v>
      </c>
      <c r="G5392">
        <v>1.71428571428571</v>
      </c>
      <c r="H5392">
        <v>600</v>
      </c>
      <c r="I5392">
        <v>2081</v>
      </c>
      <c r="J5392">
        <v>2081</v>
      </c>
    </row>
    <row r="5394" spans="1:11" ht="30">
      <c r="A5394" s="22" t="s">
        <v>1253</v>
      </c>
    </row>
    <row r="5395" spans="1:11">
      <c r="A5395" t="s">
        <v>184</v>
      </c>
      <c r="B5395" t="s">
        <v>185</v>
      </c>
      <c r="C5395" t="s">
        <v>186</v>
      </c>
      <c r="D5395" t="s">
        <v>187</v>
      </c>
      <c r="E5395" t="s">
        <v>188</v>
      </c>
      <c r="F5395" t="s">
        <v>189</v>
      </c>
      <c r="G5395" t="s">
        <v>190</v>
      </c>
      <c r="H5395" t="s">
        <v>191</v>
      </c>
      <c r="I5395" t="s">
        <v>192</v>
      </c>
      <c r="J5395" t="s">
        <v>193</v>
      </c>
    </row>
    <row r="5396" spans="1:11">
      <c r="A5396" t="s">
        <v>194</v>
      </c>
      <c r="B5396" t="s">
        <v>195</v>
      </c>
      <c r="C5396" t="s">
        <v>217</v>
      </c>
      <c r="D5396" t="s">
        <v>218</v>
      </c>
      <c r="E5396">
        <v>17.88674347885982</v>
      </c>
      <c r="F5396">
        <v>16</v>
      </c>
      <c r="G5396">
        <v>1.71428571428571</v>
      </c>
      <c r="H5396">
        <v>80</v>
      </c>
      <c r="I5396">
        <v>339</v>
      </c>
      <c r="J5396">
        <v>2081</v>
      </c>
    </row>
    <row r="5397" spans="1:11">
      <c r="A5397" t="s">
        <v>194</v>
      </c>
      <c r="B5397" t="s">
        <v>195</v>
      </c>
      <c r="C5397" t="s">
        <v>219</v>
      </c>
      <c r="D5397" t="s">
        <v>218</v>
      </c>
      <c r="E5397">
        <v>24.49933500824698</v>
      </c>
      <c r="F5397">
        <v>18</v>
      </c>
      <c r="G5397">
        <v>2.1428571428571401</v>
      </c>
      <c r="H5397">
        <v>156</v>
      </c>
      <c r="I5397">
        <v>339</v>
      </c>
      <c r="J5397">
        <v>2081</v>
      </c>
    </row>
    <row r="5398" spans="1:11">
      <c r="A5398" t="s">
        <v>194</v>
      </c>
      <c r="B5398" t="s">
        <v>195</v>
      </c>
      <c r="C5398" t="s">
        <v>220</v>
      </c>
      <c r="D5398" t="s">
        <v>218</v>
      </c>
      <c r="E5398">
        <v>23.273592175802001</v>
      </c>
      <c r="F5398">
        <v>18</v>
      </c>
      <c r="G5398">
        <v>3.3333333333333299</v>
      </c>
      <c r="H5398">
        <v>72</v>
      </c>
      <c r="I5398">
        <v>135</v>
      </c>
      <c r="J5398">
        <v>2081</v>
      </c>
    </row>
    <row r="5399" spans="1:11">
      <c r="A5399" t="s">
        <v>194</v>
      </c>
      <c r="B5399" t="s">
        <v>199</v>
      </c>
      <c r="C5399" t="s">
        <v>217</v>
      </c>
      <c r="D5399" t="s">
        <v>218</v>
      </c>
      <c r="E5399">
        <v>25.72506413947238</v>
      </c>
      <c r="F5399">
        <v>20</v>
      </c>
      <c r="G5399">
        <v>3.75</v>
      </c>
      <c r="H5399">
        <v>160</v>
      </c>
      <c r="I5399">
        <v>692</v>
      </c>
      <c r="J5399">
        <v>2081</v>
      </c>
    </row>
    <row r="5400" spans="1:11">
      <c r="A5400" t="s">
        <v>194</v>
      </c>
      <c r="B5400" t="s">
        <v>199</v>
      </c>
      <c r="C5400" t="s">
        <v>219</v>
      </c>
      <c r="D5400" t="s">
        <v>218</v>
      </c>
      <c r="E5400">
        <v>35.220991233353907</v>
      </c>
      <c r="F5400">
        <v>33</v>
      </c>
      <c r="G5400">
        <v>3</v>
      </c>
      <c r="H5400">
        <v>150</v>
      </c>
      <c r="I5400">
        <v>383</v>
      </c>
      <c r="J5400">
        <v>2081</v>
      </c>
    </row>
    <row r="5401" spans="1:11">
      <c r="A5401" t="s">
        <v>194</v>
      </c>
      <c r="B5401" t="s">
        <v>199</v>
      </c>
      <c r="C5401" t="s">
        <v>220</v>
      </c>
      <c r="D5401" t="s">
        <v>218</v>
      </c>
      <c r="E5401">
        <v>34.817824815532752</v>
      </c>
      <c r="F5401">
        <v>25.3333333333333</v>
      </c>
      <c r="G5401">
        <v>3.75</v>
      </c>
      <c r="H5401">
        <v>600</v>
      </c>
      <c r="I5401">
        <v>192</v>
      </c>
      <c r="J5401">
        <v>2081</v>
      </c>
    </row>
    <row r="5402" spans="1:11">
      <c r="A5402" t="s">
        <v>200</v>
      </c>
      <c r="B5402" t="s">
        <v>200</v>
      </c>
      <c r="C5402" t="s">
        <v>200</v>
      </c>
      <c r="D5402" t="s">
        <v>200</v>
      </c>
      <c r="E5402">
        <v>26.29217231047738</v>
      </c>
      <c r="F5402">
        <v>20</v>
      </c>
      <c r="G5402">
        <v>1.71428571428571</v>
      </c>
      <c r="H5402">
        <v>600</v>
      </c>
      <c r="I5402">
        <v>2081</v>
      </c>
      <c r="J5402">
        <v>2081</v>
      </c>
    </row>
    <row r="5404" spans="1:11" ht="45">
      <c r="A5404" s="22" t="s">
        <v>1254</v>
      </c>
    </row>
    <row r="5405" spans="1:11">
      <c r="A5405" t="s">
        <v>185</v>
      </c>
      <c r="B5405" t="s">
        <v>186</v>
      </c>
      <c r="C5405" t="s">
        <v>192</v>
      </c>
      <c r="D5405" t="s">
        <v>184</v>
      </c>
      <c r="E5405" t="s">
        <v>193</v>
      </c>
      <c r="F5405" t="s">
        <v>257</v>
      </c>
      <c r="G5405" t="s">
        <v>1255</v>
      </c>
      <c r="H5405" t="s">
        <v>1256</v>
      </c>
      <c r="I5405" t="s">
        <v>1257</v>
      </c>
      <c r="J5405" t="s">
        <v>247</v>
      </c>
      <c r="K5405" t="s">
        <v>1258</v>
      </c>
    </row>
    <row r="5406" spans="1:11">
      <c r="A5406" t="s">
        <v>195</v>
      </c>
      <c r="B5406" t="s">
        <v>196</v>
      </c>
      <c r="C5406">
        <v>402</v>
      </c>
      <c r="D5406" t="s">
        <v>194</v>
      </c>
      <c r="E5406">
        <v>2644</v>
      </c>
      <c r="G5406" s="3">
        <v>0.35310000000000002</v>
      </c>
      <c r="H5406" s="3">
        <v>1.0500000000000001E-2</v>
      </c>
      <c r="I5406" s="3">
        <v>0.27889999999999998</v>
      </c>
      <c r="K5406" s="3">
        <v>0.35749999999999998</v>
      </c>
    </row>
    <row r="5407" spans="1:11">
      <c r="A5407" t="s">
        <v>195</v>
      </c>
      <c r="B5407" t="s">
        <v>198</v>
      </c>
      <c r="C5407">
        <v>736</v>
      </c>
      <c r="D5407" t="s">
        <v>194</v>
      </c>
      <c r="E5407">
        <v>2644</v>
      </c>
      <c r="F5407" s="3">
        <v>8.0000000000000004E-4</v>
      </c>
      <c r="G5407" s="3">
        <v>0.12920000000000001</v>
      </c>
      <c r="H5407" s="3">
        <v>1.8E-3</v>
      </c>
      <c r="I5407" s="3">
        <v>6.9500000000000006E-2</v>
      </c>
      <c r="J5407" s="3">
        <v>4.0000000000000002E-4</v>
      </c>
      <c r="K5407" s="3">
        <v>0.79830000000000001</v>
      </c>
    </row>
    <row r="5408" spans="1:11">
      <c r="A5408" t="s">
        <v>199</v>
      </c>
      <c r="B5408" t="s">
        <v>196</v>
      </c>
      <c r="C5408">
        <v>525</v>
      </c>
      <c r="D5408" t="s">
        <v>194</v>
      </c>
      <c r="E5408">
        <v>2644</v>
      </c>
      <c r="F5408" s="3">
        <v>1.1000000000000001E-3</v>
      </c>
      <c r="G5408" s="3">
        <v>3.3300000000000003E-2</v>
      </c>
      <c r="H5408" s="3">
        <v>1.2999999999999999E-3</v>
      </c>
      <c r="I5408" s="3">
        <v>0.92179999999999995</v>
      </c>
      <c r="K5408" s="3">
        <v>4.24E-2</v>
      </c>
    </row>
    <row r="5409" spans="1:11">
      <c r="A5409" t="s">
        <v>199</v>
      </c>
      <c r="B5409" t="s">
        <v>198</v>
      </c>
      <c r="C5409">
        <v>942</v>
      </c>
      <c r="D5409" t="s">
        <v>194</v>
      </c>
      <c r="E5409">
        <v>2644</v>
      </c>
      <c r="F5409" s="3">
        <v>5.0000000000000001E-4</v>
      </c>
      <c r="G5409" s="3">
        <v>2.1899999999999999E-2</v>
      </c>
      <c r="I5409" s="3">
        <v>0.8105</v>
      </c>
      <c r="J5409" s="3">
        <v>2.0000000000000001E-4</v>
      </c>
      <c r="K5409" s="3">
        <v>0.16689999999999999</v>
      </c>
    </row>
    <row r="5410" spans="1:11">
      <c r="A5410" t="s">
        <v>200</v>
      </c>
      <c r="B5410" t="s">
        <v>200</v>
      </c>
      <c r="C5410">
        <v>2644</v>
      </c>
      <c r="D5410" t="s">
        <v>200</v>
      </c>
      <c r="E5410">
        <v>2644</v>
      </c>
      <c r="F5410" s="3">
        <v>5.9999999999999995E-4</v>
      </c>
      <c r="G5410" s="3">
        <v>9.5600000000000004E-2</v>
      </c>
      <c r="H5410" s="3">
        <v>1.9E-3</v>
      </c>
      <c r="I5410" s="3">
        <v>0.52370000000000005</v>
      </c>
      <c r="J5410" s="3">
        <v>2.0000000000000001E-4</v>
      </c>
      <c r="K5410" s="3">
        <v>0.37790000000000001</v>
      </c>
    </row>
    <row r="5412" spans="1:11" ht="45">
      <c r="A5412" s="22" t="s">
        <v>1259</v>
      </c>
    </row>
    <row r="5413" spans="1:11">
      <c r="A5413" t="s">
        <v>185</v>
      </c>
      <c r="B5413" t="s">
        <v>186</v>
      </c>
      <c r="C5413" t="s">
        <v>192</v>
      </c>
      <c r="D5413" t="s">
        <v>184</v>
      </c>
      <c r="E5413" t="s">
        <v>193</v>
      </c>
      <c r="F5413" t="s">
        <v>257</v>
      </c>
      <c r="G5413" t="s">
        <v>1255</v>
      </c>
      <c r="H5413" t="s">
        <v>1256</v>
      </c>
      <c r="I5413" t="s">
        <v>1257</v>
      </c>
      <c r="J5413" t="s">
        <v>247</v>
      </c>
      <c r="K5413" t="s">
        <v>1258</v>
      </c>
    </row>
    <row r="5414" spans="1:11">
      <c r="A5414" t="s">
        <v>195</v>
      </c>
      <c r="B5414" t="s">
        <v>202</v>
      </c>
      <c r="C5414">
        <v>511</v>
      </c>
      <c r="D5414" t="s">
        <v>194</v>
      </c>
      <c r="E5414">
        <v>2644</v>
      </c>
      <c r="F5414" s="3">
        <v>1E-3</v>
      </c>
      <c r="G5414" s="3">
        <v>0.20569999999999999</v>
      </c>
      <c r="H5414" s="3">
        <v>5.7999999999999996E-3</v>
      </c>
      <c r="I5414" s="3">
        <v>0.12909999999999999</v>
      </c>
      <c r="K5414" s="3">
        <v>0.65849999999999997</v>
      </c>
    </row>
    <row r="5415" spans="1:11">
      <c r="A5415" t="s">
        <v>195</v>
      </c>
      <c r="B5415" t="s">
        <v>204</v>
      </c>
      <c r="C5415">
        <v>298</v>
      </c>
      <c r="D5415" t="s">
        <v>194</v>
      </c>
      <c r="E5415">
        <v>2644</v>
      </c>
      <c r="G5415" s="3">
        <v>0.15459999999999999</v>
      </c>
      <c r="H5415" s="3">
        <v>6.9999999999999999E-4</v>
      </c>
      <c r="I5415" s="3">
        <v>0.128</v>
      </c>
      <c r="K5415" s="3">
        <v>0.7167</v>
      </c>
    </row>
    <row r="5416" spans="1:11">
      <c r="A5416" t="s">
        <v>195</v>
      </c>
      <c r="B5416" t="s">
        <v>205</v>
      </c>
      <c r="C5416">
        <v>329</v>
      </c>
      <c r="D5416" t="s">
        <v>194</v>
      </c>
      <c r="E5416">
        <v>2644</v>
      </c>
      <c r="G5416" s="3">
        <v>0.1613</v>
      </c>
      <c r="H5416" s="3">
        <v>1.4E-3</v>
      </c>
      <c r="I5416" s="3">
        <v>0.1003</v>
      </c>
      <c r="J5416" s="3">
        <v>2.3999999999999998E-3</v>
      </c>
      <c r="K5416" s="3">
        <v>0.73460000000000003</v>
      </c>
    </row>
    <row r="5417" spans="1:11">
      <c r="A5417" t="s">
        <v>199</v>
      </c>
      <c r="B5417" t="s">
        <v>202</v>
      </c>
      <c r="C5417">
        <v>537</v>
      </c>
      <c r="D5417" t="s">
        <v>194</v>
      </c>
      <c r="E5417">
        <v>2644</v>
      </c>
      <c r="F5417" s="3">
        <v>6.9999999999999999E-4</v>
      </c>
      <c r="G5417" s="3">
        <v>1.9400000000000001E-2</v>
      </c>
      <c r="I5417" s="3">
        <v>0.80920000000000003</v>
      </c>
      <c r="K5417" s="3">
        <v>0.17080000000000001</v>
      </c>
    </row>
    <row r="5418" spans="1:11">
      <c r="A5418" t="s">
        <v>199</v>
      </c>
      <c r="B5418" t="s">
        <v>204</v>
      </c>
      <c r="C5418">
        <v>426</v>
      </c>
      <c r="D5418" t="s">
        <v>194</v>
      </c>
      <c r="E5418">
        <v>2644</v>
      </c>
      <c r="F5418" s="3">
        <v>1.1000000000000001E-3</v>
      </c>
      <c r="G5418" s="3">
        <v>2.0400000000000001E-2</v>
      </c>
      <c r="I5418" s="3">
        <v>0.89559999999999995</v>
      </c>
      <c r="K5418" s="3">
        <v>8.3000000000000004E-2</v>
      </c>
    </row>
    <row r="5419" spans="1:11">
      <c r="A5419" t="s">
        <v>199</v>
      </c>
      <c r="B5419" t="s">
        <v>205</v>
      </c>
      <c r="C5419">
        <v>504</v>
      </c>
      <c r="D5419" t="s">
        <v>194</v>
      </c>
      <c r="E5419">
        <v>2644</v>
      </c>
      <c r="G5419" s="3">
        <v>4.5900000000000003E-2</v>
      </c>
      <c r="H5419" s="3">
        <v>1.5E-3</v>
      </c>
      <c r="I5419" s="3">
        <v>0.8397</v>
      </c>
      <c r="J5419" s="3">
        <v>8.0000000000000004E-4</v>
      </c>
      <c r="K5419" s="3">
        <v>0.11210000000000001</v>
      </c>
    </row>
    <row r="5420" spans="1:11">
      <c r="A5420" t="s">
        <v>200</v>
      </c>
      <c r="B5420" t="s">
        <v>200</v>
      </c>
      <c r="C5420">
        <v>2644</v>
      </c>
      <c r="D5420" t="s">
        <v>200</v>
      </c>
      <c r="E5420">
        <v>2644</v>
      </c>
      <c r="F5420" s="3">
        <v>5.9999999999999995E-4</v>
      </c>
      <c r="G5420" s="3">
        <v>9.5600000000000004E-2</v>
      </c>
      <c r="H5420" s="3">
        <v>1.9E-3</v>
      </c>
      <c r="I5420" s="3">
        <v>0.52370000000000005</v>
      </c>
      <c r="J5420" s="3">
        <v>2.0000000000000001E-4</v>
      </c>
      <c r="K5420" s="3">
        <v>0.37790000000000001</v>
      </c>
    </row>
    <row r="5422" spans="1:11" ht="45">
      <c r="A5422" s="22" t="s">
        <v>1260</v>
      </c>
    </row>
    <row r="5423" spans="1:11">
      <c r="A5423" t="s">
        <v>185</v>
      </c>
      <c r="B5423" t="s">
        <v>186</v>
      </c>
      <c r="C5423" t="s">
        <v>192</v>
      </c>
      <c r="D5423" t="s">
        <v>184</v>
      </c>
      <c r="E5423" t="s">
        <v>193</v>
      </c>
      <c r="F5423" t="s">
        <v>257</v>
      </c>
      <c r="G5423" t="s">
        <v>1255</v>
      </c>
      <c r="H5423" t="s">
        <v>1256</v>
      </c>
      <c r="I5423" t="s">
        <v>1257</v>
      </c>
      <c r="J5423" t="s">
        <v>247</v>
      </c>
      <c r="K5423" t="s">
        <v>1258</v>
      </c>
    </row>
    <row r="5424" spans="1:11">
      <c r="A5424" t="s">
        <v>195</v>
      </c>
      <c r="B5424" t="s">
        <v>207</v>
      </c>
      <c r="C5424">
        <v>312</v>
      </c>
      <c r="D5424" t="s">
        <v>194</v>
      </c>
      <c r="E5424">
        <v>2644</v>
      </c>
      <c r="F5424" s="3">
        <v>5.9999999999999995E-4</v>
      </c>
      <c r="G5424" s="3">
        <v>0.22420000000000001</v>
      </c>
      <c r="H5424" s="3">
        <v>5.4999999999999997E-3</v>
      </c>
      <c r="I5424" s="3">
        <v>0.17899999999999999</v>
      </c>
      <c r="K5424" s="3">
        <v>0.5907</v>
      </c>
    </row>
    <row r="5425" spans="1:11">
      <c r="A5425" t="s">
        <v>195</v>
      </c>
      <c r="B5425" t="s">
        <v>209</v>
      </c>
      <c r="C5425">
        <v>847</v>
      </c>
      <c r="D5425" t="s">
        <v>194</v>
      </c>
      <c r="E5425">
        <v>2644</v>
      </c>
      <c r="F5425" s="3">
        <v>6.9999999999999999E-4</v>
      </c>
      <c r="G5425" s="3">
        <v>0.1759</v>
      </c>
      <c r="H5425" s="3">
        <v>3.5999999999999999E-3</v>
      </c>
      <c r="I5425" s="3">
        <v>0.10829999999999999</v>
      </c>
      <c r="J5425" s="3">
        <v>4.0000000000000002E-4</v>
      </c>
      <c r="K5425" s="3">
        <v>0.71099999999999997</v>
      </c>
    </row>
    <row r="5426" spans="1:11">
      <c r="A5426" t="s">
        <v>199</v>
      </c>
      <c r="B5426" t="s">
        <v>207</v>
      </c>
      <c r="C5426">
        <v>283</v>
      </c>
      <c r="D5426" t="s">
        <v>194</v>
      </c>
      <c r="E5426">
        <v>2644</v>
      </c>
      <c r="G5426" s="3">
        <v>2.8199999999999999E-2</v>
      </c>
      <c r="H5426" s="3">
        <v>2E-3</v>
      </c>
      <c r="I5426" s="3">
        <v>0.86809999999999998</v>
      </c>
      <c r="J5426" s="3">
        <v>1.1999999999999999E-3</v>
      </c>
      <c r="K5426" s="3">
        <v>0.10059999999999999</v>
      </c>
    </row>
    <row r="5427" spans="1:11">
      <c r="A5427" t="s">
        <v>199</v>
      </c>
      <c r="B5427" t="s">
        <v>209</v>
      </c>
      <c r="C5427">
        <v>1202</v>
      </c>
      <c r="D5427" t="s">
        <v>194</v>
      </c>
      <c r="E5427">
        <v>2644</v>
      </c>
      <c r="F5427" s="3">
        <v>6.9999999999999999E-4</v>
      </c>
      <c r="G5427" s="3">
        <v>2.3400000000000001E-2</v>
      </c>
      <c r="I5427" s="3">
        <v>0.82630000000000003</v>
      </c>
      <c r="K5427" s="3">
        <v>0.14960000000000001</v>
      </c>
    </row>
    <row r="5428" spans="1:11">
      <c r="A5428" t="s">
        <v>200</v>
      </c>
      <c r="B5428" t="s">
        <v>200</v>
      </c>
      <c r="C5428">
        <v>2644</v>
      </c>
      <c r="D5428" t="s">
        <v>200</v>
      </c>
      <c r="E5428">
        <v>2644</v>
      </c>
      <c r="F5428" s="3">
        <v>5.9999999999999995E-4</v>
      </c>
      <c r="G5428" s="3">
        <v>9.5600000000000004E-2</v>
      </c>
      <c r="H5428" s="3">
        <v>1.9E-3</v>
      </c>
      <c r="I5428" s="3">
        <v>0.52370000000000005</v>
      </c>
      <c r="J5428" s="3">
        <v>2.0000000000000001E-4</v>
      </c>
      <c r="K5428" s="3">
        <v>0.37790000000000001</v>
      </c>
    </row>
    <row r="5430" spans="1:11" ht="45">
      <c r="A5430" s="22" t="s">
        <v>1261</v>
      </c>
    </row>
    <row r="5431" spans="1:11">
      <c r="A5431" t="s">
        <v>185</v>
      </c>
      <c r="B5431" t="s">
        <v>192</v>
      </c>
      <c r="C5431" t="s">
        <v>184</v>
      </c>
      <c r="D5431" t="s">
        <v>193</v>
      </c>
      <c r="E5431" t="s">
        <v>257</v>
      </c>
      <c r="F5431" t="s">
        <v>1255</v>
      </c>
      <c r="G5431" t="s">
        <v>1256</v>
      </c>
      <c r="H5431" t="s">
        <v>1257</v>
      </c>
      <c r="I5431" t="s">
        <v>247</v>
      </c>
      <c r="J5431" t="s">
        <v>1258</v>
      </c>
    </row>
    <row r="5432" spans="1:11">
      <c r="A5432" t="s">
        <v>195</v>
      </c>
      <c r="B5432">
        <v>1159</v>
      </c>
      <c r="C5432" t="s">
        <v>194</v>
      </c>
      <c r="D5432">
        <v>2644</v>
      </c>
      <c r="E5432" s="3">
        <v>6.9999999999999999E-4</v>
      </c>
      <c r="F5432" s="3">
        <v>0.18820000000000001</v>
      </c>
      <c r="G5432" s="3">
        <v>4.1000000000000003E-3</v>
      </c>
      <c r="H5432" s="3">
        <v>0.1263</v>
      </c>
      <c r="I5432" s="3">
        <v>2.9999999999999997E-4</v>
      </c>
      <c r="J5432" s="3">
        <v>0.68049999999999999</v>
      </c>
    </row>
    <row r="5433" spans="1:11">
      <c r="A5433" t="s">
        <v>199</v>
      </c>
      <c r="B5433">
        <v>1485</v>
      </c>
      <c r="C5433" t="s">
        <v>194</v>
      </c>
      <c r="D5433">
        <v>2644</v>
      </c>
      <c r="E5433" s="3">
        <v>5.9999999999999995E-4</v>
      </c>
      <c r="F5433" s="3">
        <v>2.4E-2</v>
      </c>
      <c r="G5433" s="3">
        <v>2.0000000000000001E-4</v>
      </c>
      <c r="H5433" s="3">
        <v>0.83140000000000003</v>
      </c>
      <c r="I5433" s="3">
        <v>1E-4</v>
      </c>
      <c r="J5433" s="3">
        <v>0.14360000000000001</v>
      </c>
    </row>
    <row r="5434" spans="1:11">
      <c r="A5434" t="s">
        <v>200</v>
      </c>
      <c r="B5434">
        <v>2644</v>
      </c>
      <c r="C5434" t="s">
        <v>200</v>
      </c>
      <c r="D5434">
        <v>2644</v>
      </c>
      <c r="E5434" s="3">
        <v>5.9999999999999995E-4</v>
      </c>
      <c r="F5434" s="3">
        <v>9.5600000000000004E-2</v>
      </c>
      <c r="G5434" s="3">
        <v>1.9E-3</v>
      </c>
      <c r="H5434" s="3">
        <v>0.52370000000000005</v>
      </c>
      <c r="I5434" s="3">
        <v>2.0000000000000001E-4</v>
      </c>
      <c r="J5434" s="3">
        <v>0.37790000000000001</v>
      </c>
    </row>
    <row r="5436" spans="1:11" ht="45">
      <c r="A5436" s="22" t="s">
        <v>1262</v>
      </c>
    </row>
    <row r="5437" spans="1:11">
      <c r="A5437" t="s">
        <v>185</v>
      </c>
      <c r="B5437" t="s">
        <v>186</v>
      </c>
      <c r="C5437" t="s">
        <v>192</v>
      </c>
      <c r="D5437" t="s">
        <v>184</v>
      </c>
      <c r="E5437" t="s">
        <v>193</v>
      </c>
      <c r="F5437" t="s">
        <v>257</v>
      </c>
      <c r="G5437" t="s">
        <v>1255</v>
      </c>
      <c r="H5437" t="s">
        <v>1256</v>
      </c>
      <c r="I5437" t="s">
        <v>1257</v>
      </c>
      <c r="J5437" t="s">
        <v>247</v>
      </c>
      <c r="K5437" t="s">
        <v>1258</v>
      </c>
    </row>
    <row r="5438" spans="1:11">
      <c r="A5438" t="s">
        <v>195</v>
      </c>
      <c r="B5438" t="s">
        <v>212</v>
      </c>
      <c r="C5438">
        <v>855</v>
      </c>
      <c r="D5438" t="s">
        <v>194</v>
      </c>
      <c r="E5438">
        <v>2644</v>
      </c>
      <c r="F5438" s="3">
        <v>8.9999999999999998E-4</v>
      </c>
      <c r="G5438" s="3">
        <v>0.1777</v>
      </c>
      <c r="H5438" s="3">
        <v>2.3E-3</v>
      </c>
      <c r="I5438" s="3">
        <v>0.1134</v>
      </c>
      <c r="J5438" s="3">
        <v>4.0000000000000002E-4</v>
      </c>
      <c r="K5438" s="3">
        <v>0.70530000000000004</v>
      </c>
    </row>
    <row r="5439" spans="1:11">
      <c r="A5439" t="s">
        <v>195</v>
      </c>
      <c r="B5439" t="s">
        <v>214</v>
      </c>
      <c r="C5439">
        <v>171</v>
      </c>
      <c r="D5439" t="s">
        <v>194</v>
      </c>
      <c r="E5439">
        <v>2644</v>
      </c>
      <c r="G5439" s="3">
        <v>0.24299999999999999</v>
      </c>
      <c r="H5439" s="3">
        <v>9.4999999999999998E-3</v>
      </c>
      <c r="I5439" s="3">
        <v>0.18099999999999999</v>
      </c>
      <c r="K5439" s="3">
        <v>0.56640000000000001</v>
      </c>
    </row>
    <row r="5440" spans="1:11">
      <c r="A5440" t="s">
        <v>195</v>
      </c>
      <c r="B5440" t="s">
        <v>215</v>
      </c>
      <c r="C5440">
        <v>133</v>
      </c>
      <c r="D5440" t="s">
        <v>194</v>
      </c>
      <c r="E5440">
        <v>2644</v>
      </c>
      <c r="G5440" s="3">
        <v>0.1799</v>
      </c>
      <c r="H5440" s="3">
        <v>9.5999999999999992E-3</v>
      </c>
      <c r="I5440" s="3">
        <v>0.1401</v>
      </c>
      <c r="K5440" s="3">
        <v>0.67030000000000001</v>
      </c>
    </row>
    <row r="5441" spans="1:11">
      <c r="A5441" t="s">
        <v>199</v>
      </c>
      <c r="B5441" t="s">
        <v>212</v>
      </c>
      <c r="C5441">
        <v>1116</v>
      </c>
      <c r="D5441" t="s">
        <v>194</v>
      </c>
      <c r="E5441">
        <v>2644</v>
      </c>
      <c r="F5441" s="3">
        <v>2.9999999999999997E-4</v>
      </c>
      <c r="G5441" s="3">
        <v>1.4800000000000001E-2</v>
      </c>
      <c r="H5441" s="3">
        <v>2.9999999999999997E-4</v>
      </c>
      <c r="I5441" s="3">
        <v>0.84360000000000002</v>
      </c>
      <c r="K5441" s="3">
        <v>0.14099999999999999</v>
      </c>
    </row>
    <row r="5442" spans="1:11">
      <c r="A5442" t="s">
        <v>199</v>
      </c>
      <c r="B5442" t="s">
        <v>214</v>
      </c>
      <c r="C5442">
        <v>196</v>
      </c>
      <c r="D5442" t="s">
        <v>194</v>
      </c>
      <c r="E5442">
        <v>2644</v>
      </c>
      <c r="G5442" s="3">
        <v>5.9200000000000003E-2</v>
      </c>
      <c r="I5442" s="3">
        <v>0.70730000000000004</v>
      </c>
      <c r="J5442" s="3">
        <v>8.9999999999999998E-4</v>
      </c>
      <c r="K5442" s="3">
        <v>0.23250000000000001</v>
      </c>
    </row>
    <row r="5443" spans="1:11">
      <c r="A5443" t="s">
        <v>199</v>
      </c>
      <c r="B5443" t="s">
        <v>215</v>
      </c>
      <c r="C5443">
        <v>173</v>
      </c>
      <c r="D5443" t="s">
        <v>194</v>
      </c>
      <c r="E5443">
        <v>2644</v>
      </c>
      <c r="F5443" s="3">
        <v>5.1999999999999998E-3</v>
      </c>
      <c r="G5443" s="3">
        <v>4.4699999999999997E-2</v>
      </c>
      <c r="I5443" s="3">
        <v>0.94189999999999996</v>
      </c>
      <c r="K5443" s="3">
        <v>8.2000000000000007E-3</v>
      </c>
    </row>
    <row r="5444" spans="1:11">
      <c r="A5444" t="s">
        <v>200</v>
      </c>
      <c r="B5444" t="s">
        <v>200</v>
      </c>
      <c r="C5444">
        <v>2644</v>
      </c>
      <c r="D5444" t="s">
        <v>200</v>
      </c>
      <c r="E5444">
        <v>2644</v>
      </c>
      <c r="F5444" s="3">
        <v>5.9999999999999995E-4</v>
      </c>
      <c r="G5444" s="3">
        <v>9.5600000000000004E-2</v>
      </c>
      <c r="H5444" s="3">
        <v>1.9E-3</v>
      </c>
      <c r="I5444" s="3">
        <v>0.52370000000000005</v>
      </c>
      <c r="J5444" s="3">
        <v>2.0000000000000001E-4</v>
      </c>
      <c r="K5444" s="3">
        <v>0.37790000000000001</v>
      </c>
    </row>
    <row r="5446" spans="1:11" ht="45">
      <c r="A5446" s="22" t="s">
        <v>1263</v>
      </c>
    </row>
    <row r="5447" spans="1:11">
      <c r="A5447" t="s">
        <v>185</v>
      </c>
      <c r="B5447" t="s">
        <v>186</v>
      </c>
      <c r="C5447" t="s">
        <v>192</v>
      </c>
      <c r="D5447" t="s">
        <v>184</v>
      </c>
      <c r="E5447" t="s">
        <v>193</v>
      </c>
      <c r="F5447" t="s">
        <v>257</v>
      </c>
      <c r="G5447" t="s">
        <v>1255</v>
      </c>
      <c r="H5447" t="s">
        <v>1256</v>
      </c>
      <c r="I5447" t="s">
        <v>1257</v>
      </c>
      <c r="J5447" t="s">
        <v>247</v>
      </c>
      <c r="K5447" t="s">
        <v>1258</v>
      </c>
    </row>
    <row r="5448" spans="1:11">
      <c r="A5448" t="s">
        <v>195</v>
      </c>
      <c r="B5448" t="s">
        <v>217</v>
      </c>
      <c r="C5448">
        <v>491</v>
      </c>
      <c r="D5448" t="s">
        <v>194</v>
      </c>
      <c r="E5448">
        <v>2644</v>
      </c>
      <c r="G5448" s="3">
        <v>0.1694</v>
      </c>
      <c r="H5448" s="3">
        <v>3.8999999999999998E-3</v>
      </c>
      <c r="I5448" s="3">
        <v>0.13780000000000001</v>
      </c>
      <c r="J5448" s="3">
        <v>8.0000000000000004E-4</v>
      </c>
      <c r="K5448" s="3">
        <v>0.68820000000000003</v>
      </c>
    </row>
    <row r="5449" spans="1:11">
      <c r="A5449" t="s">
        <v>195</v>
      </c>
      <c r="B5449" t="s">
        <v>219</v>
      </c>
      <c r="C5449">
        <v>490</v>
      </c>
      <c r="D5449" t="s">
        <v>194</v>
      </c>
      <c r="E5449">
        <v>2644</v>
      </c>
      <c r="F5449" s="3">
        <v>1.6000000000000001E-3</v>
      </c>
      <c r="G5449" s="3">
        <v>0.22020000000000001</v>
      </c>
      <c r="H5449" s="3">
        <v>6.9999999999999999E-4</v>
      </c>
      <c r="I5449" s="3">
        <v>8.6499999999999994E-2</v>
      </c>
      <c r="K5449" s="3">
        <v>0.69099999999999995</v>
      </c>
    </row>
    <row r="5450" spans="1:11">
      <c r="A5450" t="s">
        <v>195</v>
      </c>
      <c r="B5450" t="s">
        <v>220</v>
      </c>
      <c r="C5450">
        <v>177</v>
      </c>
      <c r="D5450" t="s">
        <v>194</v>
      </c>
      <c r="E5450">
        <v>2644</v>
      </c>
      <c r="F5450" s="3">
        <v>2.0000000000000001E-4</v>
      </c>
      <c r="G5450" s="3">
        <v>0.1656</v>
      </c>
      <c r="H5450" s="3">
        <v>1.1299999999999999E-2</v>
      </c>
      <c r="I5450" s="3">
        <v>0.1817</v>
      </c>
      <c r="K5450" s="3">
        <v>0.64119999999999999</v>
      </c>
    </row>
    <row r="5451" spans="1:11">
      <c r="A5451" t="s">
        <v>199</v>
      </c>
      <c r="B5451" t="s">
        <v>217</v>
      </c>
      <c r="C5451">
        <v>813</v>
      </c>
      <c r="D5451" t="s">
        <v>194</v>
      </c>
      <c r="E5451">
        <v>2644</v>
      </c>
      <c r="F5451" s="3">
        <v>1.1000000000000001E-3</v>
      </c>
      <c r="G5451" s="3">
        <v>1.47E-2</v>
      </c>
      <c r="H5451" s="3">
        <v>4.0000000000000002E-4</v>
      </c>
      <c r="I5451" s="3">
        <v>0.88219999999999998</v>
      </c>
      <c r="K5451" s="3">
        <v>0.1016</v>
      </c>
    </row>
    <row r="5452" spans="1:11">
      <c r="A5452" t="s">
        <v>199</v>
      </c>
      <c r="B5452" t="s">
        <v>219</v>
      </c>
      <c r="C5452">
        <v>450</v>
      </c>
      <c r="D5452" t="s">
        <v>194</v>
      </c>
      <c r="E5452">
        <v>2644</v>
      </c>
      <c r="G5452" s="3">
        <v>5.8400000000000001E-2</v>
      </c>
      <c r="I5452" s="3">
        <v>0.74109999999999998</v>
      </c>
      <c r="J5452" s="3">
        <v>5.9999999999999995E-4</v>
      </c>
      <c r="K5452" s="3">
        <v>0.2</v>
      </c>
    </row>
    <row r="5453" spans="1:11">
      <c r="A5453" t="s">
        <v>199</v>
      </c>
      <c r="B5453" t="s">
        <v>220</v>
      </c>
      <c r="C5453">
        <v>222</v>
      </c>
      <c r="D5453" t="s">
        <v>194</v>
      </c>
      <c r="E5453">
        <v>2644</v>
      </c>
      <c r="G5453" s="3">
        <v>5.1000000000000004E-3</v>
      </c>
      <c r="I5453" s="3">
        <v>0.77949999999999997</v>
      </c>
      <c r="K5453" s="3">
        <v>0.21540000000000001</v>
      </c>
    </row>
    <row r="5454" spans="1:11">
      <c r="A5454" t="s">
        <v>200</v>
      </c>
      <c r="B5454" t="s">
        <v>200</v>
      </c>
      <c r="C5454">
        <v>2644</v>
      </c>
      <c r="D5454" t="s">
        <v>200</v>
      </c>
      <c r="E5454">
        <v>2644</v>
      </c>
      <c r="F5454" s="3">
        <v>5.9999999999999995E-4</v>
      </c>
      <c r="G5454" s="3">
        <v>9.5600000000000004E-2</v>
      </c>
      <c r="H5454" s="3">
        <v>1.9E-3</v>
      </c>
      <c r="I5454" s="3">
        <v>0.52370000000000005</v>
      </c>
      <c r="J5454" s="3">
        <v>2.0000000000000001E-4</v>
      </c>
      <c r="K5454" s="3">
        <v>0.37790000000000001</v>
      </c>
    </row>
    <row r="5456" spans="1:11" ht="45">
      <c r="A5456" s="22" t="s">
        <v>1264</v>
      </c>
    </row>
    <row r="5457" spans="1:9">
      <c r="A5457" t="s">
        <v>185</v>
      </c>
      <c r="B5457" t="s">
        <v>186</v>
      </c>
      <c r="C5457" t="s">
        <v>192</v>
      </c>
      <c r="D5457" t="s">
        <v>184</v>
      </c>
      <c r="E5457" t="s">
        <v>193</v>
      </c>
      <c r="F5457" t="s">
        <v>257</v>
      </c>
      <c r="G5457" t="s">
        <v>226</v>
      </c>
      <c r="H5457" t="s">
        <v>247</v>
      </c>
      <c r="I5457" t="s">
        <v>227</v>
      </c>
    </row>
    <row r="5458" spans="1:9">
      <c r="A5458" t="s">
        <v>195</v>
      </c>
      <c r="B5458" t="s">
        <v>196</v>
      </c>
      <c r="C5458">
        <v>413</v>
      </c>
      <c r="D5458" t="s">
        <v>194</v>
      </c>
      <c r="E5458">
        <v>2675</v>
      </c>
      <c r="F5458" s="3">
        <v>0.27389999999999998</v>
      </c>
      <c r="G5458" s="3">
        <v>0.60619999999999996</v>
      </c>
      <c r="I5458" s="3">
        <v>0.11990000000000001</v>
      </c>
    </row>
    <row r="5459" spans="1:9">
      <c r="A5459" t="s">
        <v>195</v>
      </c>
      <c r="B5459" t="s">
        <v>198</v>
      </c>
      <c r="C5459">
        <v>755</v>
      </c>
      <c r="D5459" t="s">
        <v>194</v>
      </c>
      <c r="E5459">
        <v>2675</v>
      </c>
      <c r="F5459" s="3">
        <v>0.32669999999999999</v>
      </c>
      <c r="G5459" s="3">
        <v>0.55730000000000002</v>
      </c>
      <c r="H5459" s="3">
        <v>2.3999999999999998E-3</v>
      </c>
      <c r="I5459" s="3">
        <v>0.1137</v>
      </c>
    </row>
    <row r="5460" spans="1:9">
      <c r="A5460" t="s">
        <v>199</v>
      </c>
      <c r="B5460" t="s">
        <v>196</v>
      </c>
      <c r="C5460">
        <v>525</v>
      </c>
      <c r="D5460" t="s">
        <v>194</v>
      </c>
      <c r="E5460">
        <v>2675</v>
      </c>
      <c r="F5460" s="3">
        <v>6.8000000000000005E-2</v>
      </c>
      <c r="G5460" s="3">
        <v>0.90949999999999998</v>
      </c>
      <c r="H5460" s="3">
        <v>6.9999999999999999E-4</v>
      </c>
      <c r="I5460" s="3">
        <v>2.18E-2</v>
      </c>
    </row>
    <row r="5461" spans="1:9">
      <c r="A5461" t="s">
        <v>199</v>
      </c>
      <c r="B5461" t="s">
        <v>198</v>
      </c>
      <c r="C5461">
        <v>943</v>
      </c>
      <c r="D5461" t="s">
        <v>194</v>
      </c>
      <c r="E5461">
        <v>2675</v>
      </c>
      <c r="F5461" s="3">
        <v>9.1300000000000006E-2</v>
      </c>
      <c r="G5461" s="3">
        <v>0.84630000000000005</v>
      </c>
      <c r="H5461" s="3">
        <v>2.5000000000000001E-3</v>
      </c>
      <c r="I5461" s="3">
        <v>5.9900000000000002E-2</v>
      </c>
    </row>
    <row r="5462" spans="1:9">
      <c r="A5462" t="s">
        <v>200</v>
      </c>
      <c r="B5462" t="s">
        <v>200</v>
      </c>
      <c r="C5462">
        <v>2675</v>
      </c>
      <c r="D5462" t="s">
        <v>200</v>
      </c>
      <c r="E5462">
        <v>2675</v>
      </c>
      <c r="F5462" s="3">
        <v>0.1875</v>
      </c>
      <c r="G5462" s="3">
        <v>0.73</v>
      </c>
      <c r="H5462" s="3">
        <v>2E-3</v>
      </c>
      <c r="I5462" s="3">
        <v>8.0600000000000005E-2</v>
      </c>
    </row>
    <row r="5464" spans="1:9" ht="45">
      <c r="A5464" s="22" t="s">
        <v>1265</v>
      </c>
    </row>
    <row r="5465" spans="1:9">
      <c r="A5465" t="s">
        <v>185</v>
      </c>
      <c r="B5465" t="s">
        <v>186</v>
      </c>
      <c r="C5465" t="s">
        <v>192</v>
      </c>
      <c r="D5465" t="s">
        <v>184</v>
      </c>
      <c r="E5465" t="s">
        <v>193</v>
      </c>
      <c r="F5465" t="s">
        <v>257</v>
      </c>
      <c r="G5465" t="s">
        <v>226</v>
      </c>
      <c r="H5465" t="s">
        <v>247</v>
      </c>
      <c r="I5465" t="s">
        <v>227</v>
      </c>
    </row>
    <row r="5466" spans="1:9">
      <c r="A5466" t="s">
        <v>195</v>
      </c>
      <c r="B5466" t="s">
        <v>202</v>
      </c>
      <c r="C5466">
        <v>533</v>
      </c>
      <c r="D5466" t="s">
        <v>194</v>
      </c>
      <c r="E5466">
        <v>2675</v>
      </c>
      <c r="F5466" s="3">
        <v>0.29809999999999998</v>
      </c>
      <c r="G5466" s="3">
        <v>0.58360000000000001</v>
      </c>
      <c r="H5466" s="3">
        <v>2.7000000000000001E-3</v>
      </c>
      <c r="I5466" s="3">
        <v>0.11550000000000001</v>
      </c>
    </row>
    <row r="5467" spans="1:9">
      <c r="A5467" t="s">
        <v>195</v>
      </c>
      <c r="B5467" t="s">
        <v>204</v>
      </c>
      <c r="C5467">
        <v>301</v>
      </c>
      <c r="D5467" t="s">
        <v>194</v>
      </c>
      <c r="E5467">
        <v>2675</v>
      </c>
      <c r="F5467" s="3">
        <v>0.3357</v>
      </c>
      <c r="G5467" s="3">
        <v>0.55269999999999997</v>
      </c>
      <c r="I5467" s="3">
        <v>0.1115</v>
      </c>
    </row>
    <row r="5468" spans="1:9">
      <c r="A5468" t="s">
        <v>195</v>
      </c>
      <c r="B5468" t="s">
        <v>205</v>
      </c>
      <c r="C5468">
        <v>334</v>
      </c>
      <c r="D5468" t="s">
        <v>194</v>
      </c>
      <c r="E5468">
        <v>2675</v>
      </c>
      <c r="F5468" s="3">
        <v>0.3448</v>
      </c>
      <c r="G5468" s="3">
        <v>0.53459999999999996</v>
      </c>
      <c r="I5468" s="3">
        <v>0.1206</v>
      </c>
    </row>
    <row r="5469" spans="1:9">
      <c r="A5469" t="s">
        <v>199</v>
      </c>
      <c r="B5469" t="s">
        <v>202</v>
      </c>
      <c r="C5469">
        <v>537</v>
      </c>
      <c r="D5469" t="s">
        <v>194</v>
      </c>
      <c r="E5469">
        <v>2675</v>
      </c>
      <c r="F5469" s="3">
        <v>4.8500000000000001E-2</v>
      </c>
      <c r="G5469" s="3">
        <v>0.91990000000000005</v>
      </c>
      <c r="I5469" s="3">
        <v>3.1600000000000003E-2</v>
      </c>
    </row>
    <row r="5470" spans="1:9">
      <c r="A5470" t="s">
        <v>199</v>
      </c>
      <c r="B5470" t="s">
        <v>204</v>
      </c>
      <c r="C5470">
        <v>426</v>
      </c>
      <c r="D5470" t="s">
        <v>194</v>
      </c>
      <c r="E5470">
        <v>2675</v>
      </c>
      <c r="F5470" s="3">
        <v>0.1065</v>
      </c>
      <c r="G5470" s="3">
        <v>0.86970000000000003</v>
      </c>
      <c r="H5470" s="3">
        <v>0.01</v>
      </c>
      <c r="I5470" s="3">
        <v>1.38E-2</v>
      </c>
    </row>
    <row r="5471" spans="1:9">
      <c r="A5471" t="s">
        <v>199</v>
      </c>
      <c r="B5471" t="s">
        <v>205</v>
      </c>
      <c r="C5471">
        <v>505</v>
      </c>
      <c r="D5471" t="s">
        <v>194</v>
      </c>
      <c r="E5471">
        <v>2675</v>
      </c>
      <c r="F5471" s="3">
        <v>0.20899999999999999</v>
      </c>
      <c r="G5471" s="3">
        <v>0.61199999999999999</v>
      </c>
      <c r="H5471" s="3">
        <v>1.4E-3</v>
      </c>
      <c r="I5471" s="3">
        <v>0.17760000000000001</v>
      </c>
    </row>
    <row r="5472" spans="1:9">
      <c r="A5472" t="s">
        <v>200</v>
      </c>
      <c r="B5472" t="s">
        <v>200</v>
      </c>
      <c r="C5472">
        <v>2675</v>
      </c>
      <c r="D5472" t="s">
        <v>200</v>
      </c>
      <c r="E5472">
        <v>2675</v>
      </c>
      <c r="F5472" s="3">
        <v>0.1875</v>
      </c>
      <c r="G5472" s="3">
        <v>0.73</v>
      </c>
      <c r="H5472" s="3">
        <v>2E-3</v>
      </c>
      <c r="I5472" s="3">
        <v>8.0600000000000005E-2</v>
      </c>
    </row>
    <row r="5474" spans="1:9" ht="45">
      <c r="A5474" s="22" t="s">
        <v>1266</v>
      </c>
    </row>
    <row r="5475" spans="1:9">
      <c r="A5475" t="s">
        <v>185</v>
      </c>
      <c r="B5475" t="s">
        <v>186</v>
      </c>
      <c r="C5475" t="s">
        <v>192</v>
      </c>
      <c r="D5475" t="s">
        <v>184</v>
      </c>
      <c r="E5475" t="s">
        <v>193</v>
      </c>
      <c r="F5475" t="s">
        <v>257</v>
      </c>
      <c r="G5475" t="s">
        <v>226</v>
      </c>
      <c r="H5475" t="s">
        <v>247</v>
      </c>
      <c r="I5475" t="s">
        <v>227</v>
      </c>
    </row>
    <row r="5476" spans="1:9">
      <c r="A5476" t="s">
        <v>195</v>
      </c>
      <c r="B5476" t="s">
        <v>207</v>
      </c>
      <c r="C5476">
        <v>322</v>
      </c>
      <c r="D5476" t="s">
        <v>194</v>
      </c>
      <c r="E5476">
        <v>2675</v>
      </c>
      <c r="F5476" s="3">
        <v>0.37969999999999998</v>
      </c>
      <c r="G5476" s="3">
        <v>0.48420000000000002</v>
      </c>
      <c r="H5476" s="3">
        <v>4.8999999999999998E-3</v>
      </c>
      <c r="I5476" s="3">
        <v>0.13120000000000001</v>
      </c>
    </row>
    <row r="5477" spans="1:9">
      <c r="A5477" t="s">
        <v>195</v>
      </c>
      <c r="B5477" t="s">
        <v>209</v>
      </c>
      <c r="C5477">
        <v>867</v>
      </c>
      <c r="D5477" t="s">
        <v>194</v>
      </c>
      <c r="E5477">
        <v>2675</v>
      </c>
      <c r="F5477" s="3">
        <v>0.28970000000000001</v>
      </c>
      <c r="G5477" s="3">
        <v>0.6</v>
      </c>
      <c r="H5477" s="3">
        <v>5.9999999999999995E-4</v>
      </c>
      <c r="I5477" s="3">
        <v>0.1096</v>
      </c>
    </row>
    <row r="5478" spans="1:9">
      <c r="A5478" t="s">
        <v>199</v>
      </c>
      <c r="B5478" t="s">
        <v>207</v>
      </c>
      <c r="C5478">
        <v>283</v>
      </c>
      <c r="D5478" t="s">
        <v>194</v>
      </c>
      <c r="E5478">
        <v>2675</v>
      </c>
      <c r="F5478" s="3">
        <v>0.1275</v>
      </c>
      <c r="G5478" s="3">
        <v>0.81559999999999999</v>
      </c>
      <c r="I5478" s="3">
        <v>5.6899999999999999E-2</v>
      </c>
    </row>
    <row r="5479" spans="1:9">
      <c r="A5479" t="s">
        <v>199</v>
      </c>
      <c r="B5479" t="s">
        <v>209</v>
      </c>
      <c r="C5479">
        <v>1203</v>
      </c>
      <c r="D5479" t="s">
        <v>194</v>
      </c>
      <c r="E5479">
        <v>2675</v>
      </c>
      <c r="F5479" s="3">
        <v>8.1600000000000006E-2</v>
      </c>
      <c r="G5479" s="3">
        <v>0.86360000000000003</v>
      </c>
      <c r="H5479" s="3">
        <v>2.5000000000000001E-3</v>
      </c>
      <c r="I5479" s="3">
        <v>5.2400000000000002E-2</v>
      </c>
    </row>
    <row r="5480" spans="1:9">
      <c r="A5480" t="s">
        <v>200</v>
      </c>
      <c r="B5480" t="s">
        <v>200</v>
      </c>
      <c r="C5480">
        <v>2675</v>
      </c>
      <c r="D5480" t="s">
        <v>200</v>
      </c>
      <c r="E5480">
        <v>2675</v>
      </c>
      <c r="F5480" s="3">
        <v>0.1875</v>
      </c>
      <c r="G5480" s="3">
        <v>0.73</v>
      </c>
      <c r="H5480" s="3">
        <v>2E-3</v>
      </c>
      <c r="I5480" s="3">
        <v>8.0600000000000005E-2</v>
      </c>
    </row>
    <row r="5482" spans="1:9" ht="45">
      <c r="A5482" s="22" t="s">
        <v>1267</v>
      </c>
    </row>
    <row r="5483" spans="1:9">
      <c r="A5483" t="s">
        <v>185</v>
      </c>
      <c r="B5483" t="s">
        <v>192</v>
      </c>
      <c r="C5483" t="s">
        <v>184</v>
      </c>
      <c r="D5483" t="s">
        <v>193</v>
      </c>
      <c r="E5483" t="s">
        <v>257</v>
      </c>
      <c r="F5483" t="s">
        <v>226</v>
      </c>
      <c r="G5483" t="s">
        <v>247</v>
      </c>
      <c r="H5483" t="s">
        <v>227</v>
      </c>
    </row>
    <row r="5484" spans="1:9">
      <c r="A5484" t="s">
        <v>195</v>
      </c>
      <c r="B5484">
        <v>1189</v>
      </c>
      <c r="C5484" t="s">
        <v>194</v>
      </c>
      <c r="D5484">
        <v>2675</v>
      </c>
      <c r="E5484" s="3">
        <v>0.31280000000000002</v>
      </c>
      <c r="F5484" s="3">
        <v>0.57030000000000003</v>
      </c>
      <c r="G5484" s="3">
        <v>1.6999999999999999E-3</v>
      </c>
      <c r="H5484" s="3">
        <v>0.1152</v>
      </c>
    </row>
    <row r="5485" spans="1:9">
      <c r="A5485" t="s">
        <v>199</v>
      </c>
      <c r="B5485">
        <v>1486</v>
      </c>
      <c r="C5485" t="s">
        <v>194</v>
      </c>
      <c r="D5485">
        <v>2675</v>
      </c>
      <c r="E5485" s="3">
        <v>8.72E-2</v>
      </c>
      <c r="F5485" s="3">
        <v>0.85770000000000002</v>
      </c>
      <c r="G5485" s="3">
        <v>2.2000000000000001E-3</v>
      </c>
      <c r="H5485" s="3">
        <v>5.2900000000000003E-2</v>
      </c>
    </row>
    <row r="5486" spans="1:9">
      <c r="A5486" t="s">
        <v>200</v>
      </c>
      <c r="B5486">
        <v>2675</v>
      </c>
      <c r="C5486" t="s">
        <v>200</v>
      </c>
      <c r="D5486">
        <v>2675</v>
      </c>
      <c r="E5486" s="3">
        <v>0.1875</v>
      </c>
      <c r="F5486" s="3">
        <v>0.73</v>
      </c>
      <c r="G5486" s="3">
        <v>2E-3</v>
      </c>
      <c r="H5486" s="3">
        <v>8.0600000000000005E-2</v>
      </c>
    </row>
    <row r="5488" spans="1:9" ht="45">
      <c r="A5488" s="22" t="s">
        <v>1268</v>
      </c>
    </row>
    <row r="5489" spans="1:9">
      <c r="A5489" t="s">
        <v>185</v>
      </c>
      <c r="B5489" t="s">
        <v>186</v>
      </c>
      <c r="C5489" t="s">
        <v>192</v>
      </c>
      <c r="D5489" t="s">
        <v>184</v>
      </c>
      <c r="E5489" t="s">
        <v>193</v>
      </c>
      <c r="F5489" t="s">
        <v>257</v>
      </c>
      <c r="G5489" t="s">
        <v>226</v>
      </c>
      <c r="H5489" t="s">
        <v>247</v>
      </c>
      <c r="I5489" t="s">
        <v>227</v>
      </c>
    </row>
    <row r="5490" spans="1:9">
      <c r="A5490" t="s">
        <v>195</v>
      </c>
      <c r="B5490" t="s">
        <v>212</v>
      </c>
      <c r="C5490">
        <v>873</v>
      </c>
      <c r="D5490" t="s">
        <v>194</v>
      </c>
      <c r="E5490">
        <v>2675</v>
      </c>
      <c r="F5490" s="3">
        <v>0.31869999999999998</v>
      </c>
      <c r="G5490" s="3">
        <v>0.56100000000000005</v>
      </c>
      <c r="H5490" s="3">
        <v>1.6999999999999999E-3</v>
      </c>
      <c r="I5490" s="3">
        <v>0.1187</v>
      </c>
    </row>
    <row r="5491" spans="1:9">
      <c r="A5491" t="s">
        <v>195</v>
      </c>
      <c r="B5491" t="s">
        <v>214</v>
      </c>
      <c r="C5491">
        <v>181</v>
      </c>
      <c r="D5491" t="s">
        <v>194</v>
      </c>
      <c r="E5491">
        <v>2675</v>
      </c>
      <c r="F5491" s="3">
        <v>0.29559999999999997</v>
      </c>
      <c r="G5491" s="3">
        <v>0.61880000000000002</v>
      </c>
      <c r="I5491" s="3">
        <v>8.5599999999999996E-2</v>
      </c>
    </row>
    <row r="5492" spans="1:9">
      <c r="A5492" t="s">
        <v>195</v>
      </c>
      <c r="B5492" t="s">
        <v>215</v>
      </c>
      <c r="C5492">
        <v>135</v>
      </c>
      <c r="D5492" t="s">
        <v>194</v>
      </c>
      <c r="E5492">
        <v>2675</v>
      </c>
      <c r="F5492" s="3">
        <v>0.29459999999999997</v>
      </c>
      <c r="G5492" s="3">
        <v>0.55769999999999997</v>
      </c>
      <c r="H5492" s="3">
        <v>5.7000000000000002E-3</v>
      </c>
      <c r="I5492" s="3">
        <v>0.14199999999999999</v>
      </c>
    </row>
    <row r="5493" spans="1:9">
      <c r="A5493" t="s">
        <v>199</v>
      </c>
      <c r="B5493" t="s">
        <v>212</v>
      </c>
      <c r="C5493">
        <v>1117</v>
      </c>
      <c r="D5493" t="s">
        <v>194</v>
      </c>
      <c r="E5493">
        <v>2675</v>
      </c>
      <c r="F5493" s="3">
        <v>8.7999999999999995E-2</v>
      </c>
      <c r="G5493" s="3">
        <v>0.86209999999999998</v>
      </c>
      <c r="H5493" s="3">
        <v>2.9999999999999997E-4</v>
      </c>
      <c r="I5493" s="3">
        <v>4.9599999999999998E-2</v>
      </c>
    </row>
    <row r="5494" spans="1:9">
      <c r="A5494" t="s">
        <v>199</v>
      </c>
      <c r="B5494" t="s">
        <v>214</v>
      </c>
      <c r="C5494">
        <v>196</v>
      </c>
      <c r="D5494" t="s">
        <v>194</v>
      </c>
      <c r="E5494">
        <v>2675</v>
      </c>
      <c r="F5494" s="3">
        <v>7.5700000000000003E-2</v>
      </c>
      <c r="G5494" s="3">
        <v>0.8397</v>
      </c>
      <c r="I5494" s="3">
        <v>8.4599999999999995E-2</v>
      </c>
    </row>
    <row r="5495" spans="1:9">
      <c r="A5495" t="s">
        <v>199</v>
      </c>
      <c r="B5495" t="s">
        <v>215</v>
      </c>
      <c r="C5495">
        <v>173</v>
      </c>
      <c r="D5495" t="s">
        <v>194</v>
      </c>
      <c r="E5495">
        <v>2675</v>
      </c>
      <c r="F5495" s="3">
        <v>0.10059999999999999</v>
      </c>
      <c r="G5495" s="3">
        <v>0.85029999999999994</v>
      </c>
      <c r="H5495" s="3">
        <v>2.3E-2</v>
      </c>
      <c r="I5495" s="3">
        <v>2.6100000000000002E-2</v>
      </c>
    </row>
    <row r="5496" spans="1:9">
      <c r="A5496" t="s">
        <v>200</v>
      </c>
      <c r="B5496" t="s">
        <v>200</v>
      </c>
      <c r="C5496">
        <v>2675</v>
      </c>
      <c r="D5496" t="s">
        <v>200</v>
      </c>
      <c r="E5496">
        <v>2675</v>
      </c>
      <c r="F5496" s="3">
        <v>0.1875</v>
      </c>
      <c r="G5496" s="3">
        <v>0.73</v>
      </c>
      <c r="H5496" s="3">
        <v>2E-3</v>
      </c>
      <c r="I5496" s="3">
        <v>8.0600000000000005E-2</v>
      </c>
    </row>
    <row r="5498" spans="1:9" ht="45">
      <c r="A5498" s="22" t="s">
        <v>1269</v>
      </c>
    </row>
    <row r="5499" spans="1:9">
      <c r="A5499" t="s">
        <v>185</v>
      </c>
      <c r="B5499" t="s">
        <v>186</v>
      </c>
      <c r="C5499" t="s">
        <v>192</v>
      </c>
      <c r="D5499" t="s">
        <v>184</v>
      </c>
      <c r="E5499" t="s">
        <v>193</v>
      </c>
      <c r="F5499" t="s">
        <v>257</v>
      </c>
      <c r="G5499" t="s">
        <v>226</v>
      </c>
      <c r="H5499" t="s">
        <v>247</v>
      </c>
      <c r="I5499" t="s">
        <v>227</v>
      </c>
    </row>
    <row r="5500" spans="1:9">
      <c r="A5500" t="s">
        <v>195</v>
      </c>
      <c r="B5500" t="s">
        <v>217</v>
      </c>
      <c r="C5500">
        <v>499</v>
      </c>
      <c r="D5500" t="s">
        <v>194</v>
      </c>
      <c r="E5500">
        <v>2675</v>
      </c>
      <c r="F5500" s="3">
        <v>0.28179999999999999</v>
      </c>
      <c r="G5500" s="3">
        <v>0.55369999999999997</v>
      </c>
      <c r="H5500" s="3">
        <v>3.0000000000000001E-3</v>
      </c>
      <c r="I5500" s="3">
        <v>0.1615</v>
      </c>
    </row>
    <row r="5501" spans="1:9">
      <c r="A5501" t="s">
        <v>195</v>
      </c>
      <c r="B5501" t="s">
        <v>219</v>
      </c>
      <c r="C5501">
        <v>507</v>
      </c>
      <c r="D5501" t="s">
        <v>194</v>
      </c>
      <c r="E5501">
        <v>2675</v>
      </c>
      <c r="F5501" s="3">
        <v>0.3211</v>
      </c>
      <c r="G5501" s="3">
        <v>0.59299999999999997</v>
      </c>
      <c r="H5501" s="3">
        <v>1.1999999999999999E-3</v>
      </c>
      <c r="I5501" s="3">
        <v>8.4699999999999998E-2</v>
      </c>
    </row>
    <row r="5502" spans="1:9">
      <c r="A5502" t="s">
        <v>195</v>
      </c>
      <c r="B5502" t="s">
        <v>220</v>
      </c>
      <c r="C5502">
        <v>182</v>
      </c>
      <c r="D5502" t="s">
        <v>194</v>
      </c>
      <c r="E5502">
        <v>2675</v>
      </c>
      <c r="F5502" s="3">
        <v>0.36520000000000002</v>
      </c>
      <c r="G5502" s="3">
        <v>0.56010000000000004</v>
      </c>
      <c r="I5502" s="3">
        <v>7.4700000000000003E-2</v>
      </c>
    </row>
    <row r="5503" spans="1:9">
      <c r="A5503" t="s">
        <v>199</v>
      </c>
      <c r="B5503" t="s">
        <v>217</v>
      </c>
      <c r="C5503">
        <v>813</v>
      </c>
      <c r="D5503" t="s">
        <v>194</v>
      </c>
      <c r="E5503">
        <v>2675</v>
      </c>
      <c r="F5503" s="3">
        <v>8.2900000000000001E-2</v>
      </c>
      <c r="G5503" s="3">
        <v>0.86890000000000001</v>
      </c>
      <c r="H5503" s="3">
        <v>2.0000000000000001E-4</v>
      </c>
      <c r="I5503" s="3">
        <v>4.8000000000000001E-2</v>
      </c>
    </row>
    <row r="5504" spans="1:9">
      <c r="A5504" t="s">
        <v>199</v>
      </c>
      <c r="B5504" t="s">
        <v>219</v>
      </c>
      <c r="C5504">
        <v>451</v>
      </c>
      <c r="D5504" t="s">
        <v>194</v>
      </c>
      <c r="E5504">
        <v>2675</v>
      </c>
      <c r="F5504" s="3">
        <v>8.72E-2</v>
      </c>
      <c r="G5504" s="3">
        <v>0.85199999999999998</v>
      </c>
      <c r="H5504" s="3">
        <v>5.0000000000000001E-4</v>
      </c>
      <c r="I5504" s="3">
        <v>6.0299999999999999E-2</v>
      </c>
    </row>
    <row r="5505" spans="1:18">
      <c r="A5505" t="s">
        <v>199</v>
      </c>
      <c r="B5505" t="s">
        <v>220</v>
      </c>
      <c r="C5505">
        <v>222</v>
      </c>
      <c r="D5505" t="s">
        <v>194</v>
      </c>
      <c r="E5505">
        <v>2675</v>
      </c>
      <c r="F5505" s="3">
        <v>0.1036</v>
      </c>
      <c r="G5505" s="3">
        <v>0.82379999999999998</v>
      </c>
      <c r="H5505" s="3">
        <v>1.24E-2</v>
      </c>
      <c r="I5505" s="3">
        <v>6.0199999999999997E-2</v>
      </c>
    </row>
    <row r="5506" spans="1:18">
      <c r="A5506" t="s">
        <v>200</v>
      </c>
      <c r="B5506" t="s">
        <v>200</v>
      </c>
      <c r="C5506">
        <v>2675</v>
      </c>
      <c r="D5506" t="s">
        <v>200</v>
      </c>
      <c r="E5506">
        <v>2675</v>
      </c>
      <c r="F5506" s="3">
        <v>0.1875</v>
      </c>
      <c r="G5506" s="3">
        <v>0.73</v>
      </c>
      <c r="H5506" s="3">
        <v>2E-3</v>
      </c>
      <c r="I5506" s="3">
        <v>8.0600000000000005E-2</v>
      </c>
    </row>
    <row r="5508" spans="1:18" ht="45">
      <c r="A5508" s="22" t="s">
        <v>1270</v>
      </c>
    </row>
    <row r="5509" spans="1:18">
      <c r="A5509" t="s">
        <v>185</v>
      </c>
      <c r="B5509" t="s">
        <v>186</v>
      </c>
      <c r="C5509" t="s">
        <v>192</v>
      </c>
      <c r="D5509" t="s">
        <v>184</v>
      </c>
      <c r="E5509" t="s">
        <v>193</v>
      </c>
      <c r="F5509" t="s">
        <v>257</v>
      </c>
      <c r="G5509" t="s">
        <v>1271</v>
      </c>
      <c r="H5509" t="s">
        <v>1272</v>
      </c>
      <c r="I5509" t="s">
        <v>1273</v>
      </c>
      <c r="J5509" t="s">
        <v>1274</v>
      </c>
      <c r="K5509" t="s">
        <v>1275</v>
      </c>
      <c r="L5509" t="s">
        <v>1276</v>
      </c>
      <c r="M5509" t="s">
        <v>1277</v>
      </c>
      <c r="N5509" t="s">
        <v>329</v>
      </c>
      <c r="O5509" t="s">
        <v>274</v>
      </c>
      <c r="P5509" t="s">
        <v>247</v>
      </c>
      <c r="Q5509" t="s">
        <v>1278</v>
      </c>
      <c r="R5509" t="s">
        <v>1279</v>
      </c>
    </row>
    <row r="5510" spans="1:18">
      <c r="A5510" t="s">
        <v>195</v>
      </c>
      <c r="B5510" t="s">
        <v>196</v>
      </c>
      <c r="C5510">
        <v>409</v>
      </c>
      <c r="D5510" t="s">
        <v>194</v>
      </c>
      <c r="E5510">
        <v>2658</v>
      </c>
      <c r="F5510" s="3">
        <v>5.4999999999999997E-3</v>
      </c>
      <c r="G5510" s="3">
        <v>7.7700000000000005E-2</v>
      </c>
      <c r="H5510" s="3">
        <v>9.7000000000000003E-3</v>
      </c>
      <c r="I5510" s="3">
        <v>2.3900000000000001E-2</v>
      </c>
      <c r="J5510" s="3">
        <v>7.7899999999999997E-2</v>
      </c>
      <c r="K5510" s="3">
        <v>0.1002</v>
      </c>
      <c r="L5510" s="3">
        <v>0.11070000000000001</v>
      </c>
      <c r="M5510" s="3">
        <v>6.1400000000000003E-2</v>
      </c>
      <c r="N5510" s="3">
        <v>0.71760000000000002</v>
      </c>
      <c r="O5510" s="3">
        <v>2.5600000000000001E-2</v>
      </c>
      <c r="Q5510" s="3">
        <v>6.8999999999999999E-3</v>
      </c>
      <c r="R5510" s="3">
        <v>1.89E-2</v>
      </c>
    </row>
    <row r="5511" spans="1:18">
      <c r="A5511" t="s">
        <v>195</v>
      </c>
      <c r="B5511" t="s">
        <v>198</v>
      </c>
      <c r="C5511">
        <v>753</v>
      </c>
      <c r="D5511" t="s">
        <v>194</v>
      </c>
      <c r="E5511">
        <v>2658</v>
      </c>
      <c r="F5511" s="3">
        <v>3.0000000000000001E-3</v>
      </c>
      <c r="G5511" s="3">
        <v>7.22E-2</v>
      </c>
      <c r="H5511" s="3">
        <v>9.4000000000000004E-3</v>
      </c>
      <c r="I5511" s="3">
        <v>2.3699999999999999E-2</v>
      </c>
      <c r="J5511" s="3">
        <v>2.6599999999999999E-2</v>
      </c>
      <c r="K5511" s="3">
        <v>6.1100000000000002E-2</v>
      </c>
      <c r="L5511" s="3">
        <v>3.0599999999999999E-2</v>
      </c>
      <c r="M5511" s="3">
        <v>3.6799999999999999E-2</v>
      </c>
      <c r="N5511" s="3">
        <v>0.79810000000000003</v>
      </c>
      <c r="O5511" s="3">
        <v>3.2000000000000001E-2</v>
      </c>
      <c r="Q5511" s="3">
        <v>5.4000000000000003E-3</v>
      </c>
      <c r="R5511" s="3">
        <v>2.3999999999999998E-3</v>
      </c>
    </row>
    <row r="5512" spans="1:18">
      <c r="A5512" t="s">
        <v>199</v>
      </c>
      <c r="B5512" t="s">
        <v>196</v>
      </c>
      <c r="C5512">
        <v>522</v>
      </c>
      <c r="D5512" t="s">
        <v>194</v>
      </c>
      <c r="E5512">
        <v>2658</v>
      </c>
      <c r="F5512" s="3">
        <v>4.4000000000000003E-3</v>
      </c>
      <c r="G5512" s="3">
        <v>4.4499999999999998E-2</v>
      </c>
      <c r="H5512" s="3">
        <v>9.9000000000000008E-3</v>
      </c>
      <c r="I5512" s="3">
        <v>5.2299999999999999E-2</v>
      </c>
      <c r="J5512" s="3">
        <v>1.6400000000000001E-2</v>
      </c>
      <c r="K5512" s="3">
        <v>3.7900000000000003E-2</v>
      </c>
      <c r="L5512" s="3">
        <v>7.2599999999999998E-2</v>
      </c>
      <c r="M5512" s="3">
        <v>1.9900000000000001E-2</v>
      </c>
      <c r="N5512" s="3">
        <v>0.81530000000000002</v>
      </c>
      <c r="O5512" s="3">
        <v>0.02</v>
      </c>
      <c r="P5512" s="3">
        <v>2.9999999999999997E-4</v>
      </c>
      <c r="Q5512" s="3">
        <v>6.3E-3</v>
      </c>
      <c r="R5512" s="3">
        <v>9.1999999999999998E-3</v>
      </c>
    </row>
    <row r="5513" spans="1:18">
      <c r="A5513" t="s">
        <v>199</v>
      </c>
      <c r="B5513" t="s">
        <v>198</v>
      </c>
      <c r="C5513">
        <v>936</v>
      </c>
      <c r="D5513" t="s">
        <v>194</v>
      </c>
      <c r="E5513">
        <v>2658</v>
      </c>
      <c r="F5513" s="3">
        <v>1.9E-3</v>
      </c>
      <c r="G5513" s="3">
        <v>4.3099999999999999E-2</v>
      </c>
      <c r="H5513" s="3">
        <v>6.1999999999999998E-3</v>
      </c>
      <c r="I5513" s="3">
        <v>1.04E-2</v>
      </c>
      <c r="J5513" s="3">
        <v>1.9699999999999999E-2</v>
      </c>
      <c r="K5513" s="3">
        <v>3.7699999999999997E-2</v>
      </c>
      <c r="L5513" s="3">
        <v>3.4099999999999998E-2</v>
      </c>
      <c r="M5513" s="3">
        <v>3.39E-2</v>
      </c>
      <c r="N5513" s="3">
        <v>0.86939999999999995</v>
      </c>
      <c r="O5513" s="3">
        <v>1.2500000000000001E-2</v>
      </c>
      <c r="P5513" s="3">
        <v>2.9999999999999997E-4</v>
      </c>
      <c r="Q5513" s="3">
        <v>1.1999999999999999E-3</v>
      </c>
      <c r="R5513" s="3">
        <v>5.0000000000000001E-4</v>
      </c>
    </row>
    <row r="5514" spans="1:18">
      <c r="A5514" t="s">
        <v>200</v>
      </c>
      <c r="B5514" t="s">
        <v>200</v>
      </c>
      <c r="C5514">
        <v>2658</v>
      </c>
      <c r="D5514" t="s">
        <v>200</v>
      </c>
      <c r="E5514">
        <v>2658</v>
      </c>
      <c r="F5514" s="3">
        <v>3.0000000000000001E-3</v>
      </c>
      <c r="G5514" s="3">
        <v>5.67E-2</v>
      </c>
      <c r="H5514" s="3">
        <v>8.0000000000000002E-3</v>
      </c>
      <c r="I5514" s="3">
        <v>2.06E-2</v>
      </c>
      <c r="J5514" s="3">
        <v>2.8400000000000002E-2</v>
      </c>
      <c r="K5514" s="3">
        <v>5.2499999999999998E-2</v>
      </c>
      <c r="L5514" s="3">
        <v>4.5900000000000003E-2</v>
      </c>
      <c r="M5514" s="3">
        <v>3.6499999999999998E-2</v>
      </c>
      <c r="N5514" s="3">
        <v>0.82310000000000005</v>
      </c>
      <c r="O5514" s="3">
        <v>2.1100000000000001E-2</v>
      </c>
      <c r="P5514" s="3">
        <v>1E-4</v>
      </c>
      <c r="Q5514" s="3">
        <v>3.8E-3</v>
      </c>
      <c r="R5514" s="3">
        <v>4.1999999999999997E-3</v>
      </c>
    </row>
    <row r="5516" spans="1:18" ht="45">
      <c r="A5516" s="22" t="s">
        <v>1280</v>
      </c>
    </row>
    <row r="5517" spans="1:18">
      <c r="A5517" t="s">
        <v>185</v>
      </c>
      <c r="B5517" t="s">
        <v>186</v>
      </c>
      <c r="C5517" t="s">
        <v>192</v>
      </c>
      <c r="D5517" t="s">
        <v>184</v>
      </c>
      <c r="E5517" t="s">
        <v>193</v>
      </c>
      <c r="F5517" t="s">
        <v>257</v>
      </c>
      <c r="G5517" t="s">
        <v>1271</v>
      </c>
      <c r="H5517" t="s">
        <v>1272</v>
      </c>
      <c r="I5517" t="s">
        <v>1273</v>
      </c>
      <c r="J5517" t="s">
        <v>1274</v>
      </c>
      <c r="K5517" t="s">
        <v>1275</v>
      </c>
      <c r="L5517" t="s">
        <v>1276</v>
      </c>
      <c r="M5517" t="s">
        <v>1277</v>
      </c>
      <c r="N5517" t="s">
        <v>329</v>
      </c>
      <c r="O5517" t="s">
        <v>274</v>
      </c>
      <c r="P5517" t="s">
        <v>247</v>
      </c>
      <c r="Q5517" t="s">
        <v>1278</v>
      </c>
      <c r="R5517" t="s">
        <v>1279</v>
      </c>
    </row>
    <row r="5518" spans="1:18">
      <c r="A5518" t="s">
        <v>195</v>
      </c>
      <c r="B5518" t="s">
        <v>202</v>
      </c>
      <c r="C5518">
        <v>532</v>
      </c>
      <c r="D5518" t="s">
        <v>194</v>
      </c>
      <c r="E5518">
        <v>2658</v>
      </c>
      <c r="F5518" s="3">
        <v>3.5000000000000001E-3</v>
      </c>
      <c r="G5518" s="3">
        <v>8.0699999999999994E-2</v>
      </c>
      <c r="H5518" s="3">
        <v>6.4999999999999997E-3</v>
      </c>
      <c r="I5518" s="3">
        <v>1.52E-2</v>
      </c>
      <c r="J5518" s="3">
        <v>4.4900000000000002E-2</v>
      </c>
      <c r="K5518" s="3">
        <v>8.5800000000000001E-2</v>
      </c>
      <c r="L5518" s="3">
        <v>4.9599999999999998E-2</v>
      </c>
      <c r="M5518" s="3">
        <v>4.99E-2</v>
      </c>
      <c r="N5518" s="3">
        <v>0.78620000000000001</v>
      </c>
      <c r="O5518" s="3">
        <v>3.4599999999999999E-2</v>
      </c>
      <c r="Q5518" s="3">
        <v>5.5999999999999999E-3</v>
      </c>
      <c r="R5518" s="3">
        <v>1.0200000000000001E-2</v>
      </c>
    </row>
    <row r="5519" spans="1:18">
      <c r="A5519" t="s">
        <v>195</v>
      </c>
      <c r="B5519" t="s">
        <v>204</v>
      </c>
      <c r="C5519">
        <v>300</v>
      </c>
      <c r="D5519" t="s">
        <v>194</v>
      </c>
      <c r="E5519">
        <v>2658</v>
      </c>
      <c r="F5519" s="3">
        <v>5.7000000000000002E-3</v>
      </c>
      <c r="G5519" s="3">
        <v>8.0399999999999999E-2</v>
      </c>
      <c r="H5519" s="3">
        <v>2.2000000000000001E-3</v>
      </c>
      <c r="I5519" s="3">
        <v>6.4000000000000001E-2</v>
      </c>
      <c r="J5519" s="3">
        <v>3.9399999999999998E-2</v>
      </c>
      <c r="K5519" s="3">
        <v>5.3999999999999999E-2</v>
      </c>
      <c r="L5519" s="3">
        <v>6.5299999999999997E-2</v>
      </c>
      <c r="M5519" s="3">
        <v>1.6E-2</v>
      </c>
      <c r="N5519" s="3">
        <v>0.73229999999999995</v>
      </c>
      <c r="O5519" s="3">
        <v>2.24E-2</v>
      </c>
      <c r="Q5519" s="3">
        <v>6.3E-3</v>
      </c>
      <c r="R5519" s="3">
        <v>2.9999999999999997E-4</v>
      </c>
    </row>
    <row r="5520" spans="1:18">
      <c r="A5520" t="s">
        <v>195</v>
      </c>
      <c r="B5520" t="s">
        <v>205</v>
      </c>
      <c r="C5520">
        <v>330</v>
      </c>
      <c r="D5520" t="s">
        <v>194</v>
      </c>
      <c r="E5520">
        <v>2658</v>
      </c>
      <c r="F5520" s="3">
        <v>1.4E-3</v>
      </c>
      <c r="G5520" s="3">
        <v>2.92E-2</v>
      </c>
      <c r="H5520" s="3">
        <v>3.5200000000000002E-2</v>
      </c>
      <c r="I5520" s="3">
        <v>8.9999999999999998E-4</v>
      </c>
      <c r="J5520" s="3">
        <v>1.95E-2</v>
      </c>
      <c r="K5520" s="3">
        <v>3.0300000000000001E-2</v>
      </c>
      <c r="L5520" s="3">
        <v>4.1799999999999997E-2</v>
      </c>
      <c r="M5520" s="3">
        <v>5.5300000000000002E-2</v>
      </c>
      <c r="N5520" s="3">
        <v>0.80120000000000002</v>
      </c>
      <c r="O5520" s="3">
        <v>2.23E-2</v>
      </c>
      <c r="Q5520" s="3">
        <v>6.1999999999999998E-3</v>
      </c>
      <c r="R5520" s="3">
        <v>6.9999999999999999E-4</v>
      </c>
    </row>
    <row r="5521" spans="1:18">
      <c r="A5521" t="s">
        <v>199</v>
      </c>
      <c r="B5521" t="s">
        <v>202</v>
      </c>
      <c r="C5521">
        <v>536</v>
      </c>
      <c r="D5521" t="s">
        <v>194</v>
      </c>
      <c r="E5521">
        <v>2658</v>
      </c>
      <c r="G5521" s="3">
        <v>4.8500000000000001E-2</v>
      </c>
      <c r="H5521" s="3">
        <v>8.0000000000000002E-3</v>
      </c>
      <c r="I5521" s="3">
        <v>1.2999999999999999E-2</v>
      </c>
      <c r="J5521" s="3">
        <v>2.47E-2</v>
      </c>
      <c r="K5521" s="3">
        <v>4.0599999999999997E-2</v>
      </c>
      <c r="L5521" s="3">
        <v>4.07E-2</v>
      </c>
      <c r="M5521" s="3">
        <v>3.95E-2</v>
      </c>
      <c r="N5521" s="3">
        <v>0.873</v>
      </c>
      <c r="O5521" s="3">
        <v>8.3000000000000001E-3</v>
      </c>
      <c r="Q5521" s="3">
        <v>1.8E-3</v>
      </c>
      <c r="R5521" s="3">
        <v>2.3999999999999998E-3</v>
      </c>
    </row>
    <row r="5522" spans="1:18">
      <c r="A5522" t="s">
        <v>199</v>
      </c>
      <c r="B5522" t="s">
        <v>204</v>
      </c>
      <c r="C5522">
        <v>425</v>
      </c>
      <c r="D5522" t="s">
        <v>194</v>
      </c>
      <c r="E5522">
        <v>2658</v>
      </c>
      <c r="F5522" s="3">
        <v>1.04E-2</v>
      </c>
      <c r="G5522" s="3">
        <v>3.0700000000000002E-2</v>
      </c>
      <c r="H5522" s="3">
        <v>6.0000000000000001E-3</v>
      </c>
      <c r="I5522" s="3">
        <v>3.0200000000000001E-2</v>
      </c>
      <c r="J5522" s="3">
        <v>1.11E-2</v>
      </c>
      <c r="K5522" s="3">
        <v>3.6700000000000003E-2</v>
      </c>
      <c r="L5522" s="3">
        <v>4.7100000000000003E-2</v>
      </c>
      <c r="M5522" s="3">
        <v>1.0500000000000001E-2</v>
      </c>
      <c r="N5522" s="3">
        <v>0.85799999999999998</v>
      </c>
      <c r="O5522" s="3">
        <v>8.0999999999999996E-3</v>
      </c>
      <c r="P5522" s="3">
        <v>1.2999999999999999E-3</v>
      </c>
      <c r="Q5522" s="3">
        <v>3.3999999999999998E-3</v>
      </c>
      <c r="R5522" s="3">
        <v>3.3999999999999998E-3</v>
      </c>
    </row>
    <row r="5523" spans="1:18">
      <c r="A5523" t="s">
        <v>199</v>
      </c>
      <c r="B5523" t="s">
        <v>205</v>
      </c>
      <c r="C5523">
        <v>497</v>
      </c>
      <c r="D5523" t="s">
        <v>194</v>
      </c>
      <c r="E5523">
        <v>2658</v>
      </c>
      <c r="F5523" s="3">
        <v>2.3E-3</v>
      </c>
      <c r="G5523" s="3">
        <v>3.8699999999999998E-2</v>
      </c>
      <c r="H5523" s="3">
        <v>3.5999999999999999E-3</v>
      </c>
      <c r="I5523" s="3">
        <v>2.41E-2</v>
      </c>
      <c r="J5523" s="3">
        <v>7.1000000000000004E-3</v>
      </c>
      <c r="K5523" s="3">
        <v>2.8000000000000001E-2</v>
      </c>
      <c r="L5523" s="3">
        <v>3.6700000000000003E-2</v>
      </c>
      <c r="M5523" s="3">
        <v>2.4400000000000002E-2</v>
      </c>
      <c r="N5523" s="3">
        <v>0.80910000000000004</v>
      </c>
      <c r="O5523" s="3">
        <v>4.2000000000000003E-2</v>
      </c>
      <c r="Q5523" s="3">
        <v>2E-3</v>
      </c>
    </row>
    <row r="5524" spans="1:18">
      <c r="A5524" t="s">
        <v>200</v>
      </c>
      <c r="B5524" t="s">
        <v>200</v>
      </c>
      <c r="C5524">
        <v>2658</v>
      </c>
      <c r="D5524" t="s">
        <v>200</v>
      </c>
      <c r="E5524">
        <v>2658</v>
      </c>
      <c r="F5524" s="3">
        <v>3.0000000000000001E-3</v>
      </c>
      <c r="G5524" s="3">
        <v>5.67E-2</v>
      </c>
      <c r="H5524" s="3">
        <v>8.0000000000000002E-3</v>
      </c>
      <c r="I5524" s="3">
        <v>2.06E-2</v>
      </c>
      <c r="J5524" s="3">
        <v>2.8400000000000002E-2</v>
      </c>
      <c r="K5524" s="3">
        <v>5.2499999999999998E-2</v>
      </c>
      <c r="L5524" s="3">
        <v>4.5900000000000003E-2</v>
      </c>
      <c r="M5524" s="3">
        <v>3.6499999999999998E-2</v>
      </c>
      <c r="N5524" s="3">
        <v>0.82310000000000005</v>
      </c>
      <c r="O5524" s="3">
        <v>2.1100000000000001E-2</v>
      </c>
      <c r="P5524" s="3">
        <v>1E-4</v>
      </c>
      <c r="Q5524" s="3">
        <v>3.8E-3</v>
      </c>
      <c r="R5524" s="3">
        <v>4.1999999999999997E-3</v>
      </c>
    </row>
    <row r="5526" spans="1:18" ht="45">
      <c r="A5526" s="22" t="s">
        <v>1281</v>
      </c>
    </row>
    <row r="5527" spans="1:18">
      <c r="A5527" t="s">
        <v>185</v>
      </c>
      <c r="B5527" t="s">
        <v>186</v>
      </c>
      <c r="C5527" t="s">
        <v>192</v>
      </c>
      <c r="D5527" t="s">
        <v>184</v>
      </c>
      <c r="E5527" t="s">
        <v>193</v>
      </c>
      <c r="F5527" t="s">
        <v>257</v>
      </c>
      <c r="G5527" t="s">
        <v>1271</v>
      </c>
      <c r="H5527" t="s">
        <v>1272</v>
      </c>
      <c r="I5527" t="s">
        <v>1273</v>
      </c>
      <c r="J5527" t="s">
        <v>1274</v>
      </c>
      <c r="K5527" t="s">
        <v>1275</v>
      </c>
      <c r="L5527" t="s">
        <v>1276</v>
      </c>
      <c r="M5527" t="s">
        <v>1277</v>
      </c>
      <c r="N5527" t="s">
        <v>329</v>
      </c>
      <c r="O5527" t="s">
        <v>274</v>
      </c>
      <c r="P5527" t="s">
        <v>247</v>
      </c>
      <c r="Q5527" t="s">
        <v>1278</v>
      </c>
      <c r="R5527" t="s">
        <v>1279</v>
      </c>
    </row>
    <row r="5528" spans="1:18">
      <c r="A5528" t="s">
        <v>195</v>
      </c>
      <c r="B5528" t="s">
        <v>207</v>
      </c>
      <c r="C5528">
        <v>319</v>
      </c>
      <c r="D5528" t="s">
        <v>194</v>
      </c>
      <c r="E5528">
        <v>2658</v>
      </c>
      <c r="F5528" s="3">
        <v>4.4000000000000003E-3</v>
      </c>
      <c r="G5528" s="3">
        <v>9.0200000000000002E-2</v>
      </c>
      <c r="H5528" s="3">
        <v>2.9999999999999997E-4</v>
      </c>
      <c r="I5528" s="3">
        <v>4.7999999999999996E-3</v>
      </c>
      <c r="J5528" s="3">
        <v>2.5899999999999999E-2</v>
      </c>
      <c r="K5528" s="3">
        <v>0.1037</v>
      </c>
      <c r="L5528" s="3">
        <v>6.9099999999999995E-2</v>
      </c>
      <c r="M5528" s="3">
        <v>6.2300000000000001E-2</v>
      </c>
      <c r="N5528" s="3">
        <v>0.74709999999999999</v>
      </c>
      <c r="O5528" s="3">
        <v>3.8600000000000002E-2</v>
      </c>
      <c r="Q5528" s="3">
        <v>1.2500000000000001E-2</v>
      </c>
      <c r="R5528" s="3">
        <v>1.77E-2</v>
      </c>
    </row>
    <row r="5529" spans="1:18">
      <c r="A5529" t="s">
        <v>195</v>
      </c>
      <c r="B5529" t="s">
        <v>209</v>
      </c>
      <c r="C5529">
        <v>863</v>
      </c>
      <c r="D5529" t="s">
        <v>194</v>
      </c>
      <c r="E5529">
        <v>2658</v>
      </c>
      <c r="F5529" s="3">
        <v>3.3999999999999998E-3</v>
      </c>
      <c r="G5529" s="3">
        <v>6.7599999999999993E-2</v>
      </c>
      <c r="H5529" s="3">
        <v>1.26E-2</v>
      </c>
      <c r="I5529" s="3">
        <v>3.0300000000000001E-2</v>
      </c>
      <c r="J5529" s="3">
        <v>4.4999999999999998E-2</v>
      </c>
      <c r="K5529" s="3">
        <v>5.9900000000000002E-2</v>
      </c>
      <c r="L5529" s="3">
        <v>4.5699999999999998E-2</v>
      </c>
      <c r="M5529" s="3">
        <v>3.6499999999999998E-2</v>
      </c>
      <c r="N5529" s="3">
        <v>0.78810000000000002</v>
      </c>
      <c r="O5529" s="3">
        <v>2.7199999999999998E-2</v>
      </c>
      <c r="Q5529" s="3">
        <v>3.5000000000000001E-3</v>
      </c>
      <c r="R5529" s="3">
        <v>3.0000000000000001E-3</v>
      </c>
    </row>
    <row r="5530" spans="1:18">
      <c r="A5530" t="s">
        <v>199</v>
      </c>
      <c r="B5530" t="s">
        <v>207</v>
      </c>
      <c r="C5530">
        <v>279</v>
      </c>
      <c r="D5530" t="s">
        <v>194</v>
      </c>
      <c r="E5530">
        <v>2658</v>
      </c>
      <c r="F5530" s="3">
        <v>5.5999999999999999E-3</v>
      </c>
      <c r="G5530" s="3">
        <v>0.11849999999999999</v>
      </c>
      <c r="H5530" s="3">
        <v>1.29E-2</v>
      </c>
      <c r="I5530" s="3">
        <v>1.34E-2</v>
      </c>
      <c r="J5530" s="3">
        <v>2.7300000000000001E-2</v>
      </c>
      <c r="K5530" s="3">
        <v>2.6599999999999999E-2</v>
      </c>
      <c r="L5530" s="3">
        <v>0.1346</v>
      </c>
      <c r="M5530" s="3">
        <v>6.3299999999999995E-2</v>
      </c>
      <c r="N5530" s="3">
        <v>0.74880000000000002</v>
      </c>
      <c r="O5530" s="3">
        <v>6.1199999999999997E-2</v>
      </c>
      <c r="P5530" s="3">
        <v>4.0000000000000002E-4</v>
      </c>
      <c r="Q5530" s="3">
        <v>1.06E-2</v>
      </c>
      <c r="R5530" s="3">
        <v>8.8000000000000005E-3</v>
      </c>
    </row>
    <row r="5531" spans="1:18">
      <c r="A5531" t="s">
        <v>199</v>
      </c>
      <c r="B5531" t="s">
        <v>209</v>
      </c>
      <c r="C5531">
        <v>1197</v>
      </c>
      <c r="D5531" t="s">
        <v>194</v>
      </c>
      <c r="E5531">
        <v>2658</v>
      </c>
      <c r="F5531" s="3">
        <v>2E-3</v>
      </c>
      <c r="G5531" s="3">
        <v>3.3000000000000002E-2</v>
      </c>
      <c r="H5531" s="3">
        <v>6.1000000000000004E-3</v>
      </c>
      <c r="I5531" s="3">
        <v>1.89E-2</v>
      </c>
      <c r="J5531" s="3">
        <v>1.7899999999999999E-2</v>
      </c>
      <c r="K5531" s="3">
        <v>3.9199999999999999E-2</v>
      </c>
      <c r="L5531" s="3">
        <v>2.8400000000000002E-2</v>
      </c>
      <c r="M5531" s="3">
        <v>2.6800000000000001E-2</v>
      </c>
      <c r="N5531" s="3">
        <v>0.87470000000000003</v>
      </c>
      <c r="O5531" s="3">
        <v>7.4000000000000003E-3</v>
      </c>
      <c r="P5531" s="3">
        <v>2.0000000000000001E-4</v>
      </c>
      <c r="Q5531" s="3">
        <v>8.9999999999999998E-4</v>
      </c>
      <c r="R5531" s="3">
        <v>1.1999999999999999E-3</v>
      </c>
    </row>
    <row r="5532" spans="1:18">
      <c r="A5532" t="s">
        <v>200</v>
      </c>
      <c r="B5532" t="s">
        <v>200</v>
      </c>
      <c r="C5532">
        <v>2658</v>
      </c>
      <c r="D5532" t="s">
        <v>200</v>
      </c>
      <c r="E5532">
        <v>2658</v>
      </c>
      <c r="F5532" s="3">
        <v>3.0000000000000001E-3</v>
      </c>
      <c r="G5532" s="3">
        <v>5.67E-2</v>
      </c>
      <c r="H5532" s="3">
        <v>8.0000000000000002E-3</v>
      </c>
      <c r="I5532" s="3">
        <v>2.06E-2</v>
      </c>
      <c r="J5532" s="3">
        <v>2.8400000000000002E-2</v>
      </c>
      <c r="K5532" s="3">
        <v>5.2499999999999998E-2</v>
      </c>
      <c r="L5532" s="3">
        <v>4.5900000000000003E-2</v>
      </c>
      <c r="M5532" s="3">
        <v>3.6499999999999998E-2</v>
      </c>
      <c r="N5532" s="3">
        <v>0.82310000000000005</v>
      </c>
      <c r="O5532" s="3">
        <v>2.1100000000000001E-2</v>
      </c>
      <c r="P5532" s="3">
        <v>1E-4</v>
      </c>
      <c r="Q5532" s="3">
        <v>3.8E-3</v>
      </c>
      <c r="R5532" s="3">
        <v>4.1999999999999997E-3</v>
      </c>
    </row>
    <row r="5534" spans="1:18" ht="45">
      <c r="A5534" s="22" t="s">
        <v>1282</v>
      </c>
    </row>
    <row r="5535" spans="1:18">
      <c r="A5535" t="s">
        <v>185</v>
      </c>
      <c r="B5535" t="s">
        <v>192</v>
      </c>
      <c r="C5535" t="s">
        <v>184</v>
      </c>
      <c r="D5535" t="s">
        <v>193</v>
      </c>
      <c r="E5535" t="s">
        <v>257</v>
      </c>
      <c r="F5535" t="s">
        <v>1271</v>
      </c>
      <c r="G5535" t="s">
        <v>1272</v>
      </c>
      <c r="H5535" t="s">
        <v>1273</v>
      </c>
      <c r="I5535" t="s">
        <v>1274</v>
      </c>
      <c r="J5535" t="s">
        <v>1275</v>
      </c>
      <c r="K5535" t="s">
        <v>1276</v>
      </c>
      <c r="L5535" t="s">
        <v>1277</v>
      </c>
      <c r="M5535" t="s">
        <v>329</v>
      </c>
      <c r="N5535" t="s">
        <v>274</v>
      </c>
      <c r="O5535" t="s">
        <v>247</v>
      </c>
      <c r="P5535" t="s">
        <v>1278</v>
      </c>
      <c r="Q5535" t="s">
        <v>1279</v>
      </c>
    </row>
    <row r="5536" spans="1:18">
      <c r="A5536" t="s">
        <v>195</v>
      </c>
      <c r="B5536">
        <v>1182</v>
      </c>
      <c r="C5536" t="s">
        <v>194</v>
      </c>
      <c r="D5536">
        <v>2658</v>
      </c>
      <c r="E5536" s="3">
        <v>3.7000000000000002E-3</v>
      </c>
      <c r="F5536" s="3">
        <v>7.3400000000000007E-2</v>
      </c>
      <c r="G5536" s="3">
        <v>9.4000000000000004E-3</v>
      </c>
      <c r="H5536" s="3">
        <v>2.3699999999999999E-2</v>
      </c>
      <c r="I5536" s="3">
        <v>4.0099999999999997E-2</v>
      </c>
      <c r="J5536" s="3">
        <v>7.1099999999999997E-2</v>
      </c>
      <c r="K5536" s="3">
        <v>5.1700000000000003E-2</v>
      </c>
      <c r="L5536" s="3">
        <v>4.3099999999999999E-2</v>
      </c>
      <c r="M5536" s="3">
        <v>0.77759999999999996</v>
      </c>
      <c r="N5536" s="3">
        <v>3.0099999999999998E-2</v>
      </c>
      <c r="P5536" s="3">
        <v>5.7999999999999996E-3</v>
      </c>
      <c r="Q5536" s="3">
        <v>6.7999999999999996E-3</v>
      </c>
    </row>
    <row r="5537" spans="1:18">
      <c r="A5537" t="s">
        <v>199</v>
      </c>
      <c r="B5537">
        <v>1476</v>
      </c>
      <c r="C5537" t="s">
        <v>194</v>
      </c>
      <c r="D5537">
        <v>2658</v>
      </c>
      <c r="E5537" s="3">
        <v>2.3999999999999998E-3</v>
      </c>
      <c r="F5537" s="3">
        <v>4.3299999999999998E-2</v>
      </c>
      <c r="G5537" s="3">
        <v>6.8999999999999999E-3</v>
      </c>
      <c r="H5537" s="3">
        <v>1.8200000000000001E-2</v>
      </c>
      <c r="I5537" s="3">
        <v>1.9099999999999999E-2</v>
      </c>
      <c r="J5537" s="3">
        <v>3.7699999999999997E-2</v>
      </c>
      <c r="K5537" s="3">
        <v>4.1200000000000001E-2</v>
      </c>
      <c r="L5537" s="3">
        <v>3.1199999999999999E-2</v>
      </c>
      <c r="M5537" s="3">
        <v>0.85950000000000004</v>
      </c>
      <c r="N5537" s="3">
        <v>1.3899999999999999E-2</v>
      </c>
      <c r="O5537" s="3">
        <v>2.9999999999999997E-4</v>
      </c>
      <c r="P5537" s="3">
        <v>2.0999999999999999E-3</v>
      </c>
      <c r="Q5537" s="3">
        <v>2.2000000000000001E-3</v>
      </c>
    </row>
    <row r="5538" spans="1:18">
      <c r="A5538" t="s">
        <v>200</v>
      </c>
      <c r="B5538">
        <v>2658</v>
      </c>
      <c r="C5538" t="s">
        <v>200</v>
      </c>
      <c r="D5538">
        <v>2658</v>
      </c>
      <c r="E5538" s="3">
        <v>3.0000000000000001E-3</v>
      </c>
      <c r="F5538" s="3">
        <v>5.67E-2</v>
      </c>
      <c r="G5538" s="3">
        <v>8.0000000000000002E-3</v>
      </c>
      <c r="H5538" s="3">
        <v>2.06E-2</v>
      </c>
      <c r="I5538" s="3">
        <v>2.8400000000000002E-2</v>
      </c>
      <c r="J5538" s="3">
        <v>5.2499999999999998E-2</v>
      </c>
      <c r="K5538" s="3">
        <v>4.5900000000000003E-2</v>
      </c>
      <c r="L5538" s="3">
        <v>3.6499999999999998E-2</v>
      </c>
      <c r="M5538" s="3">
        <v>0.82310000000000005</v>
      </c>
      <c r="N5538" s="3">
        <v>2.1100000000000001E-2</v>
      </c>
      <c r="O5538" s="3">
        <v>1E-4</v>
      </c>
      <c r="P5538" s="3">
        <v>3.8E-3</v>
      </c>
      <c r="Q5538" s="3">
        <v>4.1999999999999997E-3</v>
      </c>
    </row>
    <row r="5540" spans="1:18" ht="45">
      <c r="A5540" s="22" t="s">
        <v>1283</v>
      </c>
    </row>
    <row r="5541" spans="1:18">
      <c r="A5541" t="s">
        <v>185</v>
      </c>
      <c r="B5541" t="s">
        <v>186</v>
      </c>
      <c r="C5541" t="s">
        <v>192</v>
      </c>
      <c r="D5541" t="s">
        <v>184</v>
      </c>
      <c r="E5541" t="s">
        <v>193</v>
      </c>
      <c r="F5541" t="s">
        <v>257</v>
      </c>
      <c r="G5541" t="s">
        <v>1271</v>
      </c>
      <c r="H5541" t="s">
        <v>1272</v>
      </c>
      <c r="I5541" t="s">
        <v>1273</v>
      </c>
      <c r="J5541" t="s">
        <v>1274</v>
      </c>
      <c r="K5541" t="s">
        <v>1275</v>
      </c>
      <c r="L5541" t="s">
        <v>1276</v>
      </c>
      <c r="M5541" t="s">
        <v>1277</v>
      </c>
      <c r="N5541" t="s">
        <v>329</v>
      </c>
      <c r="O5541" t="s">
        <v>274</v>
      </c>
      <c r="P5541" t="s">
        <v>247</v>
      </c>
      <c r="Q5541" t="s">
        <v>1278</v>
      </c>
      <c r="R5541" t="s">
        <v>1279</v>
      </c>
    </row>
    <row r="5542" spans="1:18">
      <c r="A5542" t="s">
        <v>195</v>
      </c>
      <c r="B5542" t="s">
        <v>212</v>
      </c>
      <c r="C5542">
        <v>869</v>
      </c>
      <c r="D5542" t="s">
        <v>194</v>
      </c>
      <c r="E5542">
        <v>2658</v>
      </c>
      <c r="F5542" s="3">
        <v>4.3E-3</v>
      </c>
      <c r="G5542" s="3">
        <v>6.59E-2</v>
      </c>
      <c r="H5542" s="3">
        <v>1.0200000000000001E-2</v>
      </c>
      <c r="I5542" s="3">
        <v>2.5700000000000001E-2</v>
      </c>
      <c r="J5542" s="3">
        <v>3.9199999999999999E-2</v>
      </c>
      <c r="K5542" s="3">
        <v>6.3899999999999998E-2</v>
      </c>
      <c r="L5542" s="3">
        <v>5.0200000000000002E-2</v>
      </c>
      <c r="M5542" s="3">
        <v>4.0899999999999999E-2</v>
      </c>
      <c r="N5542" s="3">
        <v>0.77159999999999995</v>
      </c>
      <c r="O5542" s="3">
        <v>2.7900000000000001E-2</v>
      </c>
      <c r="Q5542" s="3">
        <v>5.4000000000000003E-3</v>
      </c>
      <c r="R5542" s="3">
        <v>4.7000000000000002E-3</v>
      </c>
    </row>
    <row r="5543" spans="1:18">
      <c r="A5543" t="s">
        <v>195</v>
      </c>
      <c r="B5543" t="s">
        <v>214</v>
      </c>
      <c r="C5543">
        <v>180</v>
      </c>
      <c r="D5543" t="s">
        <v>194</v>
      </c>
      <c r="E5543">
        <v>2658</v>
      </c>
      <c r="G5543" s="3">
        <v>7.6799999999999993E-2</v>
      </c>
      <c r="H5543" s="3">
        <v>5.0000000000000001E-4</v>
      </c>
      <c r="I5543" s="3">
        <v>1.1900000000000001E-2</v>
      </c>
      <c r="J5543" s="3">
        <v>3.6299999999999999E-2</v>
      </c>
      <c r="K5543" s="3">
        <v>6.8699999999999997E-2</v>
      </c>
      <c r="L5543" s="3">
        <v>4.5199999999999997E-2</v>
      </c>
      <c r="M5543" s="3">
        <v>4.7399999999999998E-2</v>
      </c>
      <c r="N5543" s="3">
        <v>0.83069999999999999</v>
      </c>
      <c r="O5543" s="3">
        <v>4.9299999999999997E-2</v>
      </c>
      <c r="R5543" s="3">
        <v>9.7000000000000003E-3</v>
      </c>
    </row>
    <row r="5544" spans="1:18">
      <c r="A5544" t="s">
        <v>195</v>
      </c>
      <c r="B5544" t="s">
        <v>215</v>
      </c>
      <c r="C5544">
        <v>133</v>
      </c>
      <c r="D5544" t="s">
        <v>194</v>
      </c>
      <c r="E5544">
        <v>2658</v>
      </c>
      <c r="F5544" s="3">
        <v>5.1999999999999998E-3</v>
      </c>
      <c r="G5544" s="3">
        <v>0.1351</v>
      </c>
      <c r="H5544" s="3">
        <v>2.01E-2</v>
      </c>
      <c r="I5544" s="3">
        <v>2.9600000000000001E-2</v>
      </c>
      <c r="J5544" s="3">
        <v>5.5300000000000002E-2</v>
      </c>
      <c r="K5544" s="3">
        <v>0.14119999999999999</v>
      </c>
      <c r="L5544" s="3">
        <v>7.8E-2</v>
      </c>
      <c r="M5544" s="3">
        <v>5.4300000000000001E-2</v>
      </c>
      <c r="N5544" s="3">
        <v>0.72599999999999998</v>
      </c>
      <c r="O5544" s="3">
        <v>1.1900000000000001E-2</v>
      </c>
      <c r="Q5544" s="3">
        <v>2.1299999999999999E-2</v>
      </c>
      <c r="R5544" s="3">
        <v>2.01E-2</v>
      </c>
    </row>
    <row r="5545" spans="1:18">
      <c r="A5545" t="s">
        <v>199</v>
      </c>
      <c r="B5545" t="s">
        <v>212</v>
      </c>
      <c r="C5545">
        <v>1112</v>
      </c>
      <c r="D5545" t="s">
        <v>194</v>
      </c>
      <c r="E5545">
        <v>2658</v>
      </c>
      <c r="F5545" s="3">
        <v>3.0999999999999999E-3</v>
      </c>
      <c r="G5545" s="3">
        <v>2.6200000000000001E-2</v>
      </c>
      <c r="H5545" s="3">
        <v>3.7000000000000002E-3</v>
      </c>
      <c r="I5545" s="3">
        <v>2.06E-2</v>
      </c>
      <c r="J5545" s="3">
        <v>4.0000000000000001E-3</v>
      </c>
      <c r="K5545" s="3">
        <v>2.8500000000000001E-2</v>
      </c>
      <c r="L5545" s="3">
        <v>4.2900000000000001E-2</v>
      </c>
      <c r="M5545" s="3">
        <v>1.6899999999999998E-2</v>
      </c>
      <c r="N5545" s="3">
        <v>0.88929999999999998</v>
      </c>
      <c r="O5545" s="3">
        <v>1.0699999999999999E-2</v>
      </c>
      <c r="Q5545" s="3">
        <v>1.4E-3</v>
      </c>
    </row>
    <row r="5546" spans="1:18">
      <c r="A5546" t="s">
        <v>199</v>
      </c>
      <c r="B5546" t="s">
        <v>214</v>
      </c>
      <c r="C5546">
        <v>192</v>
      </c>
      <c r="D5546" t="s">
        <v>194</v>
      </c>
      <c r="E5546">
        <v>2658</v>
      </c>
      <c r="G5546" s="3">
        <v>0.1201</v>
      </c>
      <c r="H5546" s="3">
        <v>1.41E-2</v>
      </c>
      <c r="I5546" s="3">
        <v>8.5000000000000006E-3</v>
      </c>
      <c r="J5546" s="3">
        <v>9.1399999999999995E-2</v>
      </c>
      <c r="K5546" s="3">
        <v>7.4300000000000005E-2</v>
      </c>
      <c r="L5546" s="3">
        <v>1.8700000000000001E-2</v>
      </c>
      <c r="M5546" s="3">
        <v>6.3600000000000004E-2</v>
      </c>
      <c r="N5546" s="3">
        <v>0.78720000000000001</v>
      </c>
      <c r="O5546" s="3">
        <v>6.4999999999999997E-3</v>
      </c>
      <c r="P5546" s="3">
        <v>1.4E-3</v>
      </c>
      <c r="R5546" s="3">
        <v>4.4000000000000003E-3</v>
      </c>
    </row>
    <row r="5547" spans="1:18">
      <c r="A5547" t="s">
        <v>199</v>
      </c>
      <c r="B5547" t="s">
        <v>215</v>
      </c>
      <c r="C5547">
        <v>172</v>
      </c>
      <c r="D5547" t="s">
        <v>194</v>
      </c>
      <c r="E5547">
        <v>2658</v>
      </c>
      <c r="G5547" s="3">
        <v>6.2799999999999995E-2</v>
      </c>
      <c r="H5547" s="3">
        <v>2.3599999999999999E-2</v>
      </c>
      <c r="I5547" s="3">
        <v>1.32E-2</v>
      </c>
      <c r="J5547" s="3">
        <v>2.75E-2</v>
      </c>
      <c r="K5547" s="3">
        <v>5.5599999999999997E-2</v>
      </c>
      <c r="L5547" s="3">
        <v>6.6400000000000001E-2</v>
      </c>
      <c r="M5547" s="3">
        <v>0.1053</v>
      </c>
      <c r="N5547" s="3">
        <v>0.71519999999999995</v>
      </c>
      <c r="O5547" s="3">
        <v>5.74E-2</v>
      </c>
      <c r="P5547" s="3">
        <v>5.9999999999999995E-4</v>
      </c>
      <c r="Q5547" s="3">
        <v>1.2699999999999999E-2</v>
      </c>
      <c r="R5547" s="3">
        <v>1.7999999999999999E-2</v>
      </c>
    </row>
    <row r="5548" spans="1:18">
      <c r="A5548" t="s">
        <v>200</v>
      </c>
      <c r="B5548" t="s">
        <v>200</v>
      </c>
      <c r="C5548">
        <v>2658</v>
      </c>
      <c r="D5548" t="s">
        <v>200</v>
      </c>
      <c r="E5548">
        <v>2658</v>
      </c>
      <c r="F5548" s="3">
        <v>3.0000000000000001E-3</v>
      </c>
      <c r="G5548" s="3">
        <v>5.67E-2</v>
      </c>
      <c r="H5548" s="3">
        <v>8.0000000000000002E-3</v>
      </c>
      <c r="I5548" s="3">
        <v>2.06E-2</v>
      </c>
      <c r="J5548" s="3">
        <v>2.8400000000000002E-2</v>
      </c>
      <c r="K5548" s="3">
        <v>5.2499999999999998E-2</v>
      </c>
      <c r="L5548" s="3">
        <v>4.5900000000000003E-2</v>
      </c>
      <c r="M5548" s="3">
        <v>3.6499999999999998E-2</v>
      </c>
      <c r="N5548" s="3">
        <v>0.82310000000000005</v>
      </c>
      <c r="O5548" s="3">
        <v>2.1100000000000001E-2</v>
      </c>
      <c r="P5548" s="3">
        <v>1E-4</v>
      </c>
      <c r="Q5548" s="3">
        <v>3.8E-3</v>
      </c>
      <c r="R5548" s="3">
        <v>4.1999999999999997E-3</v>
      </c>
    </row>
    <row r="5550" spans="1:18" ht="45">
      <c r="A5550" s="22" t="s">
        <v>1284</v>
      </c>
    </row>
    <row r="5551" spans="1:18">
      <c r="A5551" t="s">
        <v>185</v>
      </c>
      <c r="B5551" t="s">
        <v>186</v>
      </c>
      <c r="C5551" t="s">
        <v>192</v>
      </c>
      <c r="D5551" t="s">
        <v>184</v>
      </c>
      <c r="E5551" t="s">
        <v>193</v>
      </c>
      <c r="F5551" t="s">
        <v>257</v>
      </c>
      <c r="G5551" t="s">
        <v>1271</v>
      </c>
      <c r="H5551" t="s">
        <v>1272</v>
      </c>
      <c r="I5551" t="s">
        <v>1273</v>
      </c>
      <c r="J5551" t="s">
        <v>1274</v>
      </c>
      <c r="K5551" t="s">
        <v>1275</v>
      </c>
      <c r="L5551" t="s">
        <v>1276</v>
      </c>
      <c r="M5551" t="s">
        <v>1277</v>
      </c>
      <c r="N5551" t="s">
        <v>329</v>
      </c>
      <c r="O5551" t="s">
        <v>274</v>
      </c>
      <c r="P5551" t="s">
        <v>247</v>
      </c>
      <c r="Q5551" t="s">
        <v>1278</v>
      </c>
      <c r="R5551" t="s">
        <v>1279</v>
      </c>
    </row>
    <row r="5552" spans="1:18">
      <c r="A5552" t="s">
        <v>195</v>
      </c>
      <c r="B5552" t="s">
        <v>217</v>
      </c>
      <c r="C5552">
        <v>496</v>
      </c>
      <c r="D5552" t="s">
        <v>194</v>
      </c>
      <c r="E5552">
        <v>2658</v>
      </c>
      <c r="F5552" s="3">
        <v>6.0000000000000001E-3</v>
      </c>
      <c r="G5552" s="3">
        <v>7.1099999999999997E-2</v>
      </c>
      <c r="H5552" s="3">
        <v>1.9699999999999999E-2</v>
      </c>
      <c r="I5552" s="3">
        <v>1.66E-2</v>
      </c>
      <c r="J5552" s="3">
        <v>4.1099999999999998E-2</v>
      </c>
      <c r="K5552" s="3">
        <v>6.8099999999999994E-2</v>
      </c>
      <c r="L5552" s="3">
        <v>5.04E-2</v>
      </c>
      <c r="M5552" s="3">
        <v>4.65E-2</v>
      </c>
      <c r="N5552" s="3">
        <v>0.77810000000000001</v>
      </c>
      <c r="O5552" s="3">
        <v>3.0599999999999999E-2</v>
      </c>
      <c r="Q5552" s="3">
        <v>6.4000000000000003E-3</v>
      </c>
      <c r="R5552" s="3">
        <v>1.2E-2</v>
      </c>
    </row>
    <row r="5553" spans="1:18">
      <c r="A5553" t="s">
        <v>195</v>
      </c>
      <c r="B5553" t="s">
        <v>219</v>
      </c>
      <c r="C5553">
        <v>504</v>
      </c>
      <c r="D5553" t="s">
        <v>194</v>
      </c>
      <c r="E5553">
        <v>2658</v>
      </c>
      <c r="F5553" s="3">
        <v>2.8999999999999998E-3</v>
      </c>
      <c r="G5553" s="3">
        <v>6.2899999999999998E-2</v>
      </c>
      <c r="H5553" s="3">
        <v>2.8E-3</v>
      </c>
      <c r="I5553" s="3">
        <v>2.1899999999999999E-2</v>
      </c>
      <c r="J5553" s="3">
        <v>5.0200000000000002E-2</v>
      </c>
      <c r="K5553" s="3">
        <v>7.0900000000000005E-2</v>
      </c>
      <c r="L5553" s="3">
        <v>6.3899999999999998E-2</v>
      </c>
      <c r="M5553" s="3">
        <v>3.95E-2</v>
      </c>
      <c r="N5553" s="3">
        <v>0.77290000000000003</v>
      </c>
      <c r="O5553" s="3">
        <v>3.1899999999999998E-2</v>
      </c>
      <c r="Q5553" s="3">
        <v>2.5999999999999999E-3</v>
      </c>
      <c r="R5553" s="3">
        <v>1.6999999999999999E-3</v>
      </c>
    </row>
    <row r="5554" spans="1:18">
      <c r="A5554" t="s">
        <v>195</v>
      </c>
      <c r="B5554" t="s">
        <v>220</v>
      </c>
      <c r="C5554">
        <v>181</v>
      </c>
      <c r="D5554" t="s">
        <v>194</v>
      </c>
      <c r="E5554">
        <v>2658</v>
      </c>
      <c r="G5554" s="3">
        <v>0.10050000000000001</v>
      </c>
      <c r="H5554" s="3">
        <v>2.0000000000000001E-4</v>
      </c>
      <c r="I5554" s="3">
        <v>4.36E-2</v>
      </c>
      <c r="J5554" s="3">
        <v>1.6899999999999998E-2</v>
      </c>
      <c r="K5554" s="3">
        <v>7.8399999999999997E-2</v>
      </c>
      <c r="L5554" s="3">
        <v>2.9499999999999998E-2</v>
      </c>
      <c r="M5554" s="3">
        <v>4.2999999999999997E-2</v>
      </c>
      <c r="N5554" s="3">
        <v>0.78620000000000001</v>
      </c>
      <c r="O5554" s="3">
        <v>2.5499999999999998E-2</v>
      </c>
      <c r="Q5554" s="3">
        <v>1.12E-2</v>
      </c>
      <c r="R5554" s="3">
        <v>5.7000000000000002E-3</v>
      </c>
    </row>
    <row r="5555" spans="1:18">
      <c r="A5555" t="s">
        <v>199</v>
      </c>
      <c r="B5555" t="s">
        <v>217</v>
      </c>
      <c r="C5555">
        <v>811</v>
      </c>
      <c r="D5555" t="s">
        <v>194</v>
      </c>
      <c r="E5555">
        <v>2658</v>
      </c>
      <c r="F5555" s="3">
        <v>1.6000000000000001E-3</v>
      </c>
      <c r="G5555" s="3">
        <v>3.3700000000000001E-2</v>
      </c>
      <c r="H5555" s="3">
        <v>6.7999999999999996E-3</v>
      </c>
      <c r="I5555" s="3">
        <v>2.01E-2</v>
      </c>
      <c r="J5555" s="3">
        <v>6.0000000000000001E-3</v>
      </c>
      <c r="K5555" s="3">
        <v>2.3599999999999999E-2</v>
      </c>
      <c r="L5555" s="3">
        <v>3.8600000000000002E-2</v>
      </c>
      <c r="M5555" s="3">
        <v>2.5399999999999999E-2</v>
      </c>
      <c r="N5555" s="3">
        <v>0.88419999999999999</v>
      </c>
      <c r="O5555" s="3">
        <v>1.11E-2</v>
      </c>
      <c r="Q5555" s="3">
        <v>3.3999999999999998E-3</v>
      </c>
      <c r="R5555" s="3">
        <v>2.5000000000000001E-3</v>
      </c>
    </row>
    <row r="5556" spans="1:18">
      <c r="A5556" t="s">
        <v>199</v>
      </c>
      <c r="B5556" t="s">
        <v>219</v>
      </c>
      <c r="C5556">
        <v>445</v>
      </c>
      <c r="D5556" t="s">
        <v>194</v>
      </c>
      <c r="E5556">
        <v>2658</v>
      </c>
      <c r="F5556" s="3">
        <v>2.7000000000000001E-3</v>
      </c>
      <c r="G5556" s="3">
        <v>4.4400000000000002E-2</v>
      </c>
      <c r="H5556" s="3">
        <v>7.1000000000000004E-3</v>
      </c>
      <c r="I5556" s="3">
        <v>9.7999999999999997E-3</v>
      </c>
      <c r="J5556" s="3">
        <v>4.1799999999999997E-2</v>
      </c>
      <c r="K5556" s="3">
        <v>0.04</v>
      </c>
      <c r="L5556" s="3">
        <v>5.7000000000000002E-2</v>
      </c>
      <c r="M5556" s="3">
        <v>2.06E-2</v>
      </c>
      <c r="N5556" s="3">
        <v>0.84199999999999997</v>
      </c>
      <c r="O5556" s="3">
        <v>2.4299999999999999E-2</v>
      </c>
      <c r="P5556" s="3">
        <v>1E-3</v>
      </c>
      <c r="R5556" s="3">
        <v>2.7000000000000001E-3</v>
      </c>
    </row>
    <row r="5557" spans="1:18">
      <c r="A5557" t="s">
        <v>199</v>
      </c>
      <c r="B5557" t="s">
        <v>220</v>
      </c>
      <c r="C5557">
        <v>220</v>
      </c>
      <c r="D5557" t="s">
        <v>194</v>
      </c>
      <c r="E5557">
        <v>2658</v>
      </c>
      <c r="F5557" s="3">
        <v>5.0000000000000001E-3</v>
      </c>
      <c r="G5557" s="3">
        <v>7.8399999999999997E-2</v>
      </c>
      <c r="H5557" s="3">
        <v>6.7999999999999996E-3</v>
      </c>
      <c r="I5557" s="3">
        <v>2.4199999999999999E-2</v>
      </c>
      <c r="J5557" s="3">
        <v>3.32E-2</v>
      </c>
      <c r="K5557" s="3">
        <v>8.7900000000000006E-2</v>
      </c>
      <c r="L5557" s="3">
        <v>2.6599999999999999E-2</v>
      </c>
      <c r="M5557" s="3">
        <v>7.0599999999999996E-2</v>
      </c>
      <c r="N5557" s="3">
        <v>0.7923</v>
      </c>
      <c r="O5557" s="3">
        <v>8.3999999999999995E-3</v>
      </c>
      <c r="Q5557" s="3">
        <v>6.9999999999999999E-4</v>
      </c>
    </row>
    <row r="5558" spans="1:18">
      <c r="A5558" t="s">
        <v>200</v>
      </c>
      <c r="B5558" t="s">
        <v>200</v>
      </c>
      <c r="C5558">
        <v>2658</v>
      </c>
      <c r="D5558" t="s">
        <v>200</v>
      </c>
      <c r="E5558">
        <v>2658</v>
      </c>
      <c r="F5558" s="3">
        <v>3.0000000000000001E-3</v>
      </c>
      <c r="G5558" s="3">
        <v>5.67E-2</v>
      </c>
      <c r="H5558" s="3">
        <v>8.0000000000000002E-3</v>
      </c>
      <c r="I5558" s="3">
        <v>2.06E-2</v>
      </c>
      <c r="J5558" s="3">
        <v>2.8400000000000002E-2</v>
      </c>
      <c r="K5558" s="3">
        <v>5.2499999999999998E-2</v>
      </c>
      <c r="L5558" s="3">
        <v>4.5900000000000003E-2</v>
      </c>
      <c r="M5558" s="3">
        <v>3.6499999999999998E-2</v>
      </c>
      <c r="N5558" s="3">
        <v>0.82310000000000005</v>
      </c>
      <c r="O5558" s="3">
        <v>2.1100000000000001E-2</v>
      </c>
      <c r="P5558" s="3">
        <v>1E-4</v>
      </c>
      <c r="Q5558" s="3">
        <v>3.8E-3</v>
      </c>
      <c r="R5558" s="3">
        <v>4.1999999999999997E-3</v>
      </c>
    </row>
    <row r="5560" spans="1:18" ht="45">
      <c r="A5560" s="22" t="s">
        <v>1285</v>
      </c>
    </row>
    <row r="5561" spans="1:18">
      <c r="A5561" t="s">
        <v>185</v>
      </c>
      <c r="B5561" t="s">
        <v>186</v>
      </c>
      <c r="C5561" t="s">
        <v>192</v>
      </c>
      <c r="D5561" t="s">
        <v>184</v>
      </c>
      <c r="E5561" t="s">
        <v>193</v>
      </c>
      <c r="F5561" t="s">
        <v>257</v>
      </c>
      <c r="G5561" t="s">
        <v>1286</v>
      </c>
      <c r="H5561" t="s">
        <v>329</v>
      </c>
      <c r="I5561" t="s">
        <v>274</v>
      </c>
      <c r="J5561" t="s">
        <v>247</v>
      </c>
      <c r="K5561" t="s">
        <v>1287</v>
      </c>
      <c r="L5561" t="s">
        <v>1288</v>
      </c>
      <c r="M5561" t="s">
        <v>1289</v>
      </c>
    </row>
    <row r="5562" spans="1:18">
      <c r="A5562" t="s">
        <v>195</v>
      </c>
      <c r="B5562" t="s">
        <v>196</v>
      </c>
      <c r="C5562">
        <v>410</v>
      </c>
      <c r="D5562" t="s">
        <v>194</v>
      </c>
      <c r="E5562">
        <v>2667</v>
      </c>
      <c r="F5562" s="3">
        <v>1.7600000000000001E-2</v>
      </c>
      <c r="G5562" s="3">
        <v>4.7399999999999998E-2</v>
      </c>
      <c r="H5562" s="3">
        <v>0.87760000000000005</v>
      </c>
      <c r="I5562" s="3">
        <v>6.1000000000000004E-3</v>
      </c>
      <c r="K5562" s="3">
        <v>6.1800000000000001E-2</v>
      </c>
      <c r="L5562" s="3">
        <v>4.8300000000000003E-2</v>
      </c>
      <c r="M5562" s="3">
        <v>8.3699999999999997E-2</v>
      </c>
    </row>
    <row r="5563" spans="1:18">
      <c r="A5563" t="s">
        <v>195</v>
      </c>
      <c r="B5563" t="s">
        <v>198</v>
      </c>
      <c r="C5563">
        <v>755</v>
      </c>
      <c r="D5563" t="s">
        <v>194</v>
      </c>
      <c r="E5563">
        <v>2667</v>
      </c>
      <c r="F5563" s="3">
        <v>2.1000000000000001E-2</v>
      </c>
      <c r="G5563" s="3">
        <v>1.0200000000000001E-2</v>
      </c>
      <c r="H5563" s="3">
        <v>0.93140000000000001</v>
      </c>
      <c r="I5563" s="3">
        <v>2.0000000000000001E-4</v>
      </c>
      <c r="J5563" s="3">
        <v>5.9999999999999995E-4</v>
      </c>
      <c r="K5563" s="3">
        <v>1.9300000000000001E-2</v>
      </c>
      <c r="L5563" s="3">
        <v>1.7299999999999999E-2</v>
      </c>
      <c r="M5563" s="3">
        <v>3.6900000000000002E-2</v>
      </c>
    </row>
    <row r="5564" spans="1:18">
      <c r="A5564" t="s">
        <v>199</v>
      </c>
      <c r="B5564" t="s">
        <v>196</v>
      </c>
      <c r="C5564">
        <v>521</v>
      </c>
      <c r="D5564" t="s">
        <v>194</v>
      </c>
      <c r="E5564">
        <v>2667</v>
      </c>
      <c r="F5564" s="3">
        <v>5.9999999999999995E-4</v>
      </c>
      <c r="G5564" s="3">
        <v>0.1032</v>
      </c>
      <c r="H5564" s="3">
        <v>0.8448</v>
      </c>
      <c r="I5564" s="3">
        <v>3.0999999999999999E-3</v>
      </c>
      <c r="J5564" s="3">
        <v>1E-4</v>
      </c>
      <c r="K5564" s="3">
        <v>9.8500000000000004E-2</v>
      </c>
      <c r="L5564" s="3">
        <v>0.10489999999999999</v>
      </c>
      <c r="M5564" s="3">
        <v>0.12820000000000001</v>
      </c>
    </row>
    <row r="5565" spans="1:18">
      <c r="A5565" t="s">
        <v>199</v>
      </c>
      <c r="B5565" t="s">
        <v>198</v>
      </c>
      <c r="C5565">
        <v>942</v>
      </c>
      <c r="D5565" t="s">
        <v>194</v>
      </c>
      <c r="E5565">
        <v>2667</v>
      </c>
      <c r="G5565" s="3">
        <v>1.47E-2</v>
      </c>
      <c r="H5565" s="3">
        <v>0.90639999999999998</v>
      </c>
      <c r="I5565" s="3">
        <v>5.5999999999999999E-3</v>
      </c>
      <c r="J5565" s="3">
        <v>2.9999999999999997E-4</v>
      </c>
      <c r="K5565" s="3">
        <v>2.1899999999999999E-2</v>
      </c>
      <c r="L5565" s="3">
        <v>2.81E-2</v>
      </c>
      <c r="M5565" s="3">
        <v>7.6399999999999996E-2</v>
      </c>
    </row>
    <row r="5566" spans="1:18">
      <c r="A5566" t="s">
        <v>200</v>
      </c>
      <c r="B5566" t="s">
        <v>200</v>
      </c>
      <c r="C5566">
        <v>2667</v>
      </c>
      <c r="D5566" t="s">
        <v>200</v>
      </c>
      <c r="E5566">
        <v>2667</v>
      </c>
      <c r="F5566" s="3">
        <v>8.9999999999999993E-3</v>
      </c>
      <c r="G5566" s="3">
        <v>2.6100000000000002E-2</v>
      </c>
      <c r="H5566" s="3">
        <v>0.90439999999999998</v>
      </c>
      <c r="I5566" s="3">
        <v>3.7000000000000002E-3</v>
      </c>
      <c r="J5566" s="3">
        <v>4.0000000000000002E-4</v>
      </c>
      <c r="K5566" s="3">
        <v>3.3599999999999998E-2</v>
      </c>
      <c r="L5566" s="3">
        <v>3.5400000000000001E-2</v>
      </c>
      <c r="M5566" s="3">
        <v>7.0099999999999996E-2</v>
      </c>
    </row>
    <row r="5568" spans="1:18" ht="45">
      <c r="A5568" s="22" t="s">
        <v>1290</v>
      </c>
    </row>
    <row r="5569" spans="1:13">
      <c r="A5569" t="s">
        <v>185</v>
      </c>
      <c r="B5569" t="s">
        <v>186</v>
      </c>
      <c r="C5569" t="s">
        <v>192</v>
      </c>
      <c r="D5569" t="s">
        <v>184</v>
      </c>
      <c r="E5569" t="s">
        <v>193</v>
      </c>
      <c r="F5569" t="s">
        <v>257</v>
      </c>
      <c r="G5569" t="s">
        <v>1286</v>
      </c>
      <c r="H5569" t="s">
        <v>329</v>
      </c>
      <c r="I5569" t="s">
        <v>274</v>
      </c>
      <c r="J5569" t="s">
        <v>247</v>
      </c>
      <c r="K5569" t="s">
        <v>1287</v>
      </c>
      <c r="L5569" t="s">
        <v>1288</v>
      </c>
      <c r="M5569" t="s">
        <v>1289</v>
      </c>
    </row>
    <row r="5570" spans="1:13">
      <c r="A5570" t="s">
        <v>195</v>
      </c>
      <c r="B5570" t="s">
        <v>202</v>
      </c>
      <c r="C5570">
        <v>532</v>
      </c>
      <c r="D5570" t="s">
        <v>194</v>
      </c>
      <c r="E5570">
        <v>2667</v>
      </c>
      <c r="F5570" s="3">
        <v>1.11E-2</v>
      </c>
      <c r="G5570" s="3">
        <v>2.3699999999999999E-2</v>
      </c>
      <c r="H5570" s="3">
        <v>0.93230000000000002</v>
      </c>
      <c r="I5570" s="3">
        <v>2E-3</v>
      </c>
      <c r="J5570" s="3">
        <v>6.9999999999999999E-4</v>
      </c>
      <c r="K5570" s="3">
        <v>3.1199999999999999E-2</v>
      </c>
      <c r="L5570" s="3">
        <v>2.87E-2</v>
      </c>
      <c r="M5570" s="3">
        <v>4.6600000000000003E-2</v>
      </c>
    </row>
    <row r="5571" spans="1:13">
      <c r="A5571" t="s">
        <v>195</v>
      </c>
      <c r="B5571" t="s">
        <v>204</v>
      </c>
      <c r="C5571">
        <v>300</v>
      </c>
      <c r="D5571" t="s">
        <v>194</v>
      </c>
      <c r="E5571">
        <v>2667</v>
      </c>
      <c r="F5571" s="3">
        <v>3.5000000000000003E-2</v>
      </c>
      <c r="G5571" s="3">
        <v>1.1299999999999999E-2</v>
      </c>
      <c r="H5571" s="3">
        <v>0.89410000000000001</v>
      </c>
      <c r="K5571" s="3">
        <v>2.2800000000000001E-2</v>
      </c>
      <c r="L5571" s="3">
        <v>1.7899999999999999E-2</v>
      </c>
      <c r="M5571" s="3">
        <v>4.7100000000000003E-2</v>
      </c>
    </row>
    <row r="5572" spans="1:13">
      <c r="A5572" t="s">
        <v>195</v>
      </c>
      <c r="B5572" t="s">
        <v>205</v>
      </c>
      <c r="C5572">
        <v>333</v>
      </c>
      <c r="D5572" t="s">
        <v>194</v>
      </c>
      <c r="E5572">
        <v>2667</v>
      </c>
      <c r="F5572" s="3">
        <v>3.95E-2</v>
      </c>
      <c r="G5572" s="3">
        <v>1.6400000000000001E-2</v>
      </c>
      <c r="H5572" s="3">
        <v>0.88119999999999998</v>
      </c>
      <c r="I5572" s="3">
        <v>3.7000000000000002E-3</v>
      </c>
      <c r="K5572" s="3">
        <v>3.9399999999999998E-2</v>
      </c>
      <c r="L5572" s="3">
        <v>2.23E-2</v>
      </c>
      <c r="M5572" s="3">
        <v>6.5600000000000006E-2</v>
      </c>
    </row>
    <row r="5573" spans="1:13">
      <c r="A5573" t="s">
        <v>199</v>
      </c>
      <c r="B5573" t="s">
        <v>202</v>
      </c>
      <c r="C5573">
        <v>535</v>
      </c>
      <c r="D5573" t="s">
        <v>194</v>
      </c>
      <c r="E5573">
        <v>2667</v>
      </c>
      <c r="G5573" s="3">
        <v>2.7900000000000001E-2</v>
      </c>
      <c r="H5573" s="3">
        <v>0.94479999999999997</v>
      </c>
      <c r="K5573" s="3">
        <v>2.2599999999999999E-2</v>
      </c>
      <c r="L5573" s="3">
        <v>3.5900000000000001E-2</v>
      </c>
      <c r="M5573" s="3">
        <v>4.1799999999999997E-2</v>
      </c>
    </row>
    <row r="5574" spans="1:13">
      <c r="A5574" t="s">
        <v>199</v>
      </c>
      <c r="B5574" t="s">
        <v>204</v>
      </c>
      <c r="C5574">
        <v>425</v>
      </c>
      <c r="D5574" t="s">
        <v>194</v>
      </c>
      <c r="E5574">
        <v>2667</v>
      </c>
      <c r="G5574" s="3">
        <v>0.04</v>
      </c>
      <c r="H5574" s="3">
        <v>0.87760000000000005</v>
      </c>
      <c r="I5574" s="3">
        <v>8.5000000000000006E-3</v>
      </c>
      <c r="J5574" s="3">
        <v>1E-4</v>
      </c>
      <c r="K5574" s="3">
        <v>5.5899999999999998E-2</v>
      </c>
      <c r="L5574" s="3">
        <v>4.2799999999999998E-2</v>
      </c>
      <c r="M5574" s="3">
        <v>9.2799999999999994E-2</v>
      </c>
    </row>
    <row r="5575" spans="1:13">
      <c r="A5575" t="s">
        <v>199</v>
      </c>
      <c r="B5575" t="s">
        <v>205</v>
      </c>
      <c r="C5575">
        <v>503</v>
      </c>
      <c r="D5575" t="s">
        <v>194</v>
      </c>
      <c r="E5575">
        <v>2667</v>
      </c>
      <c r="F5575" s="3">
        <v>6.9999999999999999E-4</v>
      </c>
      <c r="G5575" s="3">
        <v>3.2300000000000002E-2</v>
      </c>
      <c r="H5575" s="3">
        <v>0.72850000000000004</v>
      </c>
      <c r="I5575" s="3">
        <v>2.0799999999999999E-2</v>
      </c>
      <c r="J5575" s="3">
        <v>1.6000000000000001E-3</v>
      </c>
      <c r="K5575" s="3">
        <v>6.3100000000000003E-2</v>
      </c>
      <c r="L5575" s="3">
        <v>6.5299999999999997E-2</v>
      </c>
      <c r="M5575" s="3">
        <v>0.2437</v>
      </c>
    </row>
    <row r="5576" spans="1:13">
      <c r="A5576" t="s">
        <v>200</v>
      </c>
      <c r="B5576" t="s">
        <v>200</v>
      </c>
      <c r="C5576">
        <v>2667</v>
      </c>
      <c r="D5576" t="s">
        <v>200</v>
      </c>
      <c r="E5576">
        <v>2667</v>
      </c>
      <c r="F5576" s="3">
        <v>8.9999999999999993E-3</v>
      </c>
      <c r="G5576" s="3">
        <v>2.6100000000000002E-2</v>
      </c>
      <c r="H5576" s="3">
        <v>0.90439999999999998</v>
      </c>
      <c r="I5576" s="3">
        <v>3.7000000000000002E-3</v>
      </c>
      <c r="J5576" s="3">
        <v>4.0000000000000002E-4</v>
      </c>
      <c r="K5576" s="3">
        <v>3.3599999999999998E-2</v>
      </c>
      <c r="L5576" s="3">
        <v>3.5400000000000001E-2</v>
      </c>
      <c r="M5576" s="3">
        <v>7.0099999999999996E-2</v>
      </c>
    </row>
    <row r="5578" spans="1:13" ht="45">
      <c r="A5578" s="22" t="s">
        <v>1291</v>
      </c>
    </row>
    <row r="5579" spans="1:13">
      <c r="A5579" t="s">
        <v>185</v>
      </c>
      <c r="B5579" t="s">
        <v>186</v>
      </c>
      <c r="C5579" t="s">
        <v>192</v>
      </c>
      <c r="D5579" t="s">
        <v>184</v>
      </c>
      <c r="E5579" t="s">
        <v>193</v>
      </c>
      <c r="F5579" t="s">
        <v>257</v>
      </c>
      <c r="G5579" t="s">
        <v>1286</v>
      </c>
      <c r="H5579" t="s">
        <v>329</v>
      </c>
      <c r="I5579" t="s">
        <v>274</v>
      </c>
      <c r="J5579" t="s">
        <v>247</v>
      </c>
      <c r="K5579" t="s">
        <v>1287</v>
      </c>
      <c r="L5579" t="s">
        <v>1288</v>
      </c>
      <c r="M5579" t="s">
        <v>1289</v>
      </c>
    </row>
    <row r="5580" spans="1:13">
      <c r="A5580" t="s">
        <v>195</v>
      </c>
      <c r="B5580" t="s">
        <v>207</v>
      </c>
      <c r="C5580">
        <v>319</v>
      </c>
      <c r="D5580" t="s">
        <v>194</v>
      </c>
      <c r="E5580">
        <v>2667</v>
      </c>
      <c r="F5580" s="3">
        <v>2.58E-2</v>
      </c>
      <c r="G5580" s="3">
        <v>2.3900000000000001E-2</v>
      </c>
      <c r="H5580" s="3">
        <v>0.88490000000000002</v>
      </c>
      <c r="I5580" s="3">
        <v>5.1999999999999998E-3</v>
      </c>
      <c r="K5580" s="3">
        <v>2.4E-2</v>
      </c>
      <c r="L5580" s="3">
        <v>2.4199999999999999E-2</v>
      </c>
      <c r="M5580" s="3">
        <v>7.17E-2</v>
      </c>
    </row>
    <row r="5581" spans="1:13">
      <c r="A5581" t="s">
        <v>195</v>
      </c>
      <c r="B5581" t="s">
        <v>209</v>
      </c>
      <c r="C5581">
        <v>867</v>
      </c>
      <c r="D5581" t="s">
        <v>194</v>
      </c>
      <c r="E5581">
        <v>2667</v>
      </c>
      <c r="F5581" s="3">
        <v>1.8100000000000002E-2</v>
      </c>
      <c r="G5581" s="3">
        <v>1.8700000000000001E-2</v>
      </c>
      <c r="H5581" s="3">
        <v>0.92669999999999997</v>
      </c>
      <c r="I5581" s="3">
        <v>5.9999999999999995E-4</v>
      </c>
      <c r="J5581" s="3">
        <v>5.9999999999999995E-4</v>
      </c>
      <c r="K5581" s="3">
        <v>3.2800000000000003E-2</v>
      </c>
      <c r="L5581" s="3">
        <v>2.75E-2</v>
      </c>
      <c r="M5581" s="3">
        <v>4.3200000000000002E-2</v>
      </c>
    </row>
    <row r="5582" spans="1:13">
      <c r="A5582" t="s">
        <v>199</v>
      </c>
      <c r="B5582" t="s">
        <v>207</v>
      </c>
      <c r="C5582">
        <v>283</v>
      </c>
      <c r="D5582" t="s">
        <v>194</v>
      </c>
      <c r="E5582">
        <v>2667</v>
      </c>
      <c r="G5582" s="3">
        <v>7.5399999999999995E-2</v>
      </c>
      <c r="H5582" s="3">
        <v>0.80610000000000004</v>
      </c>
      <c r="I5582" s="3">
        <v>7.4000000000000003E-3</v>
      </c>
      <c r="K5582" s="3">
        <v>7.5300000000000006E-2</v>
      </c>
      <c r="L5582" s="3">
        <v>8.2900000000000001E-2</v>
      </c>
      <c r="M5582" s="3">
        <v>0.16900000000000001</v>
      </c>
    </row>
    <row r="5583" spans="1:13">
      <c r="A5583" t="s">
        <v>199</v>
      </c>
      <c r="B5583" t="s">
        <v>209</v>
      </c>
      <c r="C5583">
        <v>1198</v>
      </c>
      <c r="D5583" t="s">
        <v>194</v>
      </c>
      <c r="E5583">
        <v>2667</v>
      </c>
      <c r="F5583" s="3">
        <v>1E-4</v>
      </c>
      <c r="G5583" s="3">
        <v>2.4799999999999999E-2</v>
      </c>
      <c r="H5583" s="3">
        <v>0.90739999999999998</v>
      </c>
      <c r="I5583" s="3">
        <v>4.8999999999999998E-3</v>
      </c>
      <c r="J5583" s="3">
        <v>2.9999999999999997E-4</v>
      </c>
      <c r="K5583" s="3">
        <v>3.0499999999999999E-2</v>
      </c>
      <c r="L5583" s="3">
        <v>3.6700000000000003E-2</v>
      </c>
      <c r="M5583" s="3">
        <v>7.4300000000000005E-2</v>
      </c>
    </row>
    <row r="5584" spans="1:13">
      <c r="A5584" t="s">
        <v>200</v>
      </c>
      <c r="B5584" t="s">
        <v>200</v>
      </c>
      <c r="C5584">
        <v>2667</v>
      </c>
      <c r="D5584" t="s">
        <v>200</v>
      </c>
      <c r="E5584">
        <v>2667</v>
      </c>
      <c r="F5584" s="3">
        <v>8.9999999999999993E-3</v>
      </c>
      <c r="G5584" s="3">
        <v>2.6100000000000002E-2</v>
      </c>
      <c r="H5584" s="3">
        <v>0.90439999999999998</v>
      </c>
      <c r="I5584" s="3">
        <v>3.7000000000000002E-3</v>
      </c>
      <c r="J5584" s="3">
        <v>4.0000000000000002E-4</v>
      </c>
      <c r="K5584" s="3">
        <v>3.3599999999999998E-2</v>
      </c>
      <c r="L5584" s="3">
        <v>3.5400000000000001E-2</v>
      </c>
      <c r="M5584" s="3">
        <v>7.0099999999999996E-2</v>
      </c>
    </row>
    <row r="5586" spans="1:13" ht="45">
      <c r="A5586" s="22" t="s">
        <v>1292</v>
      </c>
    </row>
    <row r="5587" spans="1:13">
      <c r="A5587" t="s">
        <v>185</v>
      </c>
      <c r="B5587" t="s">
        <v>192</v>
      </c>
      <c r="C5587" t="s">
        <v>184</v>
      </c>
      <c r="D5587" t="s">
        <v>193</v>
      </c>
      <c r="E5587" t="s">
        <v>257</v>
      </c>
      <c r="F5587" t="s">
        <v>1286</v>
      </c>
      <c r="G5587" t="s">
        <v>329</v>
      </c>
      <c r="H5587" t="s">
        <v>274</v>
      </c>
      <c r="I5587" t="s">
        <v>247</v>
      </c>
      <c r="J5587" t="s">
        <v>1287</v>
      </c>
      <c r="K5587" t="s">
        <v>1288</v>
      </c>
      <c r="L5587" t="s">
        <v>1289</v>
      </c>
    </row>
    <row r="5588" spans="1:13">
      <c r="A5588" t="s">
        <v>195</v>
      </c>
      <c r="B5588">
        <v>1186</v>
      </c>
      <c r="C5588" t="s">
        <v>194</v>
      </c>
      <c r="D5588">
        <v>2667</v>
      </c>
      <c r="E5588" s="3">
        <v>0.02</v>
      </c>
      <c r="F5588" s="3">
        <v>0.02</v>
      </c>
      <c r="G5588" s="3">
        <v>0.91600000000000004</v>
      </c>
      <c r="H5588" s="3">
        <v>1.8E-3</v>
      </c>
      <c r="I5588" s="3">
        <v>5.0000000000000001E-4</v>
      </c>
      <c r="J5588" s="3">
        <v>3.0599999999999999E-2</v>
      </c>
      <c r="K5588" s="3">
        <v>2.6700000000000002E-2</v>
      </c>
      <c r="L5588" s="3">
        <v>5.04E-2</v>
      </c>
    </row>
    <row r="5589" spans="1:13">
      <c r="A5589" t="s">
        <v>199</v>
      </c>
      <c r="B5589">
        <v>1481</v>
      </c>
      <c r="C5589" t="s">
        <v>194</v>
      </c>
      <c r="D5589">
        <v>2667</v>
      </c>
      <c r="E5589" s="3">
        <v>1E-4</v>
      </c>
      <c r="F5589" s="3">
        <v>3.1E-2</v>
      </c>
      <c r="G5589" s="3">
        <v>0.89510000000000001</v>
      </c>
      <c r="H5589" s="3">
        <v>5.1999999999999998E-3</v>
      </c>
      <c r="I5589" s="3">
        <v>2.9999999999999997E-4</v>
      </c>
      <c r="J5589" s="3">
        <v>3.5999999999999997E-2</v>
      </c>
      <c r="K5589" s="3">
        <v>4.2299999999999997E-2</v>
      </c>
      <c r="L5589" s="3">
        <v>8.5800000000000001E-2</v>
      </c>
    </row>
    <row r="5590" spans="1:13">
      <c r="A5590" t="s">
        <v>200</v>
      </c>
      <c r="B5590">
        <v>2667</v>
      </c>
      <c r="C5590" t="s">
        <v>200</v>
      </c>
      <c r="D5590">
        <v>2667</v>
      </c>
      <c r="E5590" s="3">
        <v>8.9999999999999993E-3</v>
      </c>
      <c r="F5590" s="3">
        <v>2.6100000000000002E-2</v>
      </c>
      <c r="G5590" s="3">
        <v>0.90439999999999998</v>
      </c>
      <c r="H5590" s="3">
        <v>3.7000000000000002E-3</v>
      </c>
      <c r="I5590" s="3">
        <v>4.0000000000000002E-4</v>
      </c>
      <c r="J5590" s="3">
        <v>3.3599999999999998E-2</v>
      </c>
      <c r="K5590" s="3">
        <v>3.5400000000000001E-2</v>
      </c>
      <c r="L5590" s="3">
        <v>7.0099999999999996E-2</v>
      </c>
    </row>
    <row r="5592" spans="1:13" ht="45">
      <c r="A5592" s="22" t="s">
        <v>1293</v>
      </c>
    </row>
    <row r="5593" spans="1:13">
      <c r="A5593" t="s">
        <v>185</v>
      </c>
      <c r="B5593" t="s">
        <v>186</v>
      </c>
      <c r="C5593" t="s">
        <v>192</v>
      </c>
      <c r="D5593" t="s">
        <v>184</v>
      </c>
      <c r="E5593" t="s">
        <v>193</v>
      </c>
      <c r="F5593" t="s">
        <v>257</v>
      </c>
      <c r="G5593" t="s">
        <v>1286</v>
      </c>
      <c r="H5593" t="s">
        <v>329</v>
      </c>
      <c r="I5593" t="s">
        <v>274</v>
      </c>
      <c r="J5593" t="s">
        <v>247</v>
      </c>
      <c r="K5593" t="s">
        <v>1287</v>
      </c>
      <c r="L5593" t="s">
        <v>1288</v>
      </c>
      <c r="M5593" t="s">
        <v>1289</v>
      </c>
    </row>
    <row r="5594" spans="1:13">
      <c r="A5594" t="s">
        <v>195</v>
      </c>
      <c r="B5594" t="s">
        <v>212</v>
      </c>
      <c r="C5594">
        <v>870</v>
      </c>
      <c r="D5594" t="s">
        <v>194</v>
      </c>
      <c r="E5594">
        <v>2667</v>
      </c>
      <c r="F5594" s="3">
        <v>2.1399999999999999E-2</v>
      </c>
      <c r="G5594" s="3">
        <v>2.2700000000000001E-2</v>
      </c>
      <c r="H5594" s="3">
        <v>0.91679999999999995</v>
      </c>
      <c r="I5594" s="3">
        <v>6.9999999999999999E-4</v>
      </c>
      <c r="K5594" s="3">
        <v>3.3799999999999997E-2</v>
      </c>
      <c r="L5594" s="3">
        <v>3.0300000000000001E-2</v>
      </c>
      <c r="M5594" s="3">
        <v>4.8899999999999999E-2</v>
      </c>
    </row>
    <row r="5595" spans="1:13">
      <c r="A5595" t="s">
        <v>195</v>
      </c>
      <c r="B5595" t="s">
        <v>214</v>
      </c>
      <c r="C5595">
        <v>181</v>
      </c>
      <c r="D5595" t="s">
        <v>194</v>
      </c>
      <c r="E5595">
        <v>2667</v>
      </c>
      <c r="F5595" s="3">
        <v>1.95E-2</v>
      </c>
      <c r="G5595" s="3">
        <v>3.5999999999999999E-3</v>
      </c>
      <c r="H5595" s="3">
        <v>0.94730000000000003</v>
      </c>
      <c r="K5595" s="3">
        <v>1.15E-2</v>
      </c>
      <c r="L5595" s="3">
        <v>1.8E-3</v>
      </c>
      <c r="M5595" s="3">
        <v>2.5899999999999999E-2</v>
      </c>
    </row>
    <row r="5596" spans="1:13">
      <c r="A5596" t="s">
        <v>195</v>
      </c>
      <c r="B5596" t="s">
        <v>215</v>
      </c>
      <c r="C5596">
        <v>135</v>
      </c>
      <c r="D5596" t="s">
        <v>194</v>
      </c>
      <c r="E5596">
        <v>2667</v>
      </c>
      <c r="F5596" s="3">
        <v>8.3000000000000001E-3</v>
      </c>
      <c r="G5596" s="3">
        <v>2.8000000000000001E-2</v>
      </c>
      <c r="H5596" s="3">
        <v>0.8478</v>
      </c>
      <c r="I5596" s="3">
        <v>1.5100000000000001E-2</v>
      </c>
      <c r="J5596" s="3">
        <v>5.7000000000000002E-3</v>
      </c>
      <c r="K5596" s="3">
        <v>3.9600000000000003E-2</v>
      </c>
      <c r="L5596" s="3">
        <v>4.3200000000000002E-2</v>
      </c>
      <c r="M5596" s="3">
        <v>0.1129</v>
      </c>
    </row>
    <row r="5597" spans="1:13">
      <c r="A5597" t="s">
        <v>199</v>
      </c>
      <c r="B5597" t="s">
        <v>212</v>
      </c>
      <c r="C5597">
        <v>1115</v>
      </c>
      <c r="D5597" t="s">
        <v>194</v>
      </c>
      <c r="E5597">
        <v>2667</v>
      </c>
      <c r="F5597" s="3">
        <v>1E-4</v>
      </c>
      <c r="G5597" s="3">
        <v>2.4400000000000002E-2</v>
      </c>
      <c r="H5597" s="3">
        <v>0.9052</v>
      </c>
      <c r="I5597" s="3">
        <v>5.7000000000000002E-3</v>
      </c>
      <c r="J5597" s="3">
        <v>4.0000000000000002E-4</v>
      </c>
      <c r="K5597" s="3">
        <v>3.1199999999999999E-2</v>
      </c>
      <c r="L5597" s="3">
        <v>3.8199999999999998E-2</v>
      </c>
      <c r="M5597" s="3">
        <v>7.6600000000000001E-2</v>
      </c>
    </row>
    <row r="5598" spans="1:13">
      <c r="A5598" t="s">
        <v>199</v>
      </c>
      <c r="B5598" t="s">
        <v>214</v>
      </c>
      <c r="C5598">
        <v>194</v>
      </c>
      <c r="D5598" t="s">
        <v>194</v>
      </c>
      <c r="E5598">
        <v>2667</v>
      </c>
      <c r="G5598" s="3">
        <v>2.92E-2</v>
      </c>
      <c r="H5598" s="3">
        <v>0.89859999999999995</v>
      </c>
      <c r="I5598" s="3">
        <v>5.3E-3</v>
      </c>
      <c r="J5598" s="3">
        <v>1E-4</v>
      </c>
      <c r="K5598" s="3">
        <v>2.5700000000000001E-2</v>
      </c>
      <c r="L5598" s="3">
        <v>3.5900000000000001E-2</v>
      </c>
      <c r="M5598" s="3">
        <v>8.5699999999999998E-2</v>
      </c>
    </row>
    <row r="5599" spans="1:13">
      <c r="A5599" t="s">
        <v>199</v>
      </c>
      <c r="B5599" t="s">
        <v>215</v>
      </c>
      <c r="C5599">
        <v>172</v>
      </c>
      <c r="D5599" t="s">
        <v>194</v>
      </c>
      <c r="E5599">
        <v>2667</v>
      </c>
      <c r="G5599" s="3">
        <v>9.4399999999999998E-2</v>
      </c>
      <c r="H5599" s="3">
        <v>0.79559999999999997</v>
      </c>
      <c r="K5599" s="3">
        <v>9.8100000000000007E-2</v>
      </c>
      <c r="L5599" s="3">
        <v>9.1999999999999998E-2</v>
      </c>
      <c r="M5599" s="3">
        <v>0.1714</v>
      </c>
    </row>
    <row r="5600" spans="1:13">
      <c r="A5600" t="s">
        <v>200</v>
      </c>
      <c r="B5600" t="s">
        <v>200</v>
      </c>
      <c r="C5600">
        <v>2667</v>
      </c>
      <c r="D5600" t="s">
        <v>200</v>
      </c>
      <c r="E5600">
        <v>2667</v>
      </c>
      <c r="F5600" s="3">
        <v>8.9999999999999993E-3</v>
      </c>
      <c r="G5600" s="3">
        <v>2.6100000000000002E-2</v>
      </c>
      <c r="H5600" s="3">
        <v>0.90439999999999998</v>
      </c>
      <c r="I5600" s="3">
        <v>3.7000000000000002E-3</v>
      </c>
      <c r="J5600" s="3">
        <v>4.0000000000000002E-4</v>
      </c>
      <c r="K5600" s="3">
        <v>3.3599999999999998E-2</v>
      </c>
      <c r="L5600" s="3">
        <v>3.5400000000000001E-2</v>
      </c>
      <c r="M5600" s="3">
        <v>7.0099999999999996E-2</v>
      </c>
    </row>
    <row r="5602" spans="1:13" ht="45">
      <c r="A5602" s="22" t="s">
        <v>1294</v>
      </c>
    </row>
    <row r="5603" spans="1:13">
      <c r="A5603" t="s">
        <v>185</v>
      </c>
      <c r="B5603" t="s">
        <v>186</v>
      </c>
      <c r="C5603" t="s">
        <v>192</v>
      </c>
      <c r="D5603" t="s">
        <v>184</v>
      </c>
      <c r="E5603" t="s">
        <v>193</v>
      </c>
      <c r="F5603" t="s">
        <v>257</v>
      </c>
      <c r="G5603" t="s">
        <v>1286</v>
      </c>
      <c r="H5603" t="s">
        <v>329</v>
      </c>
      <c r="I5603" t="s">
        <v>274</v>
      </c>
      <c r="J5603" t="s">
        <v>247</v>
      </c>
      <c r="K5603" t="s">
        <v>1287</v>
      </c>
      <c r="L5603" t="s">
        <v>1288</v>
      </c>
      <c r="M5603" t="s">
        <v>1289</v>
      </c>
    </row>
    <row r="5604" spans="1:13">
      <c r="A5604" t="s">
        <v>195</v>
      </c>
      <c r="B5604" t="s">
        <v>217</v>
      </c>
      <c r="C5604">
        <v>498</v>
      </c>
      <c r="D5604" t="s">
        <v>194</v>
      </c>
      <c r="E5604">
        <v>2667</v>
      </c>
      <c r="F5604" s="3">
        <v>2.63E-2</v>
      </c>
      <c r="G5604" s="3">
        <v>1.61E-2</v>
      </c>
      <c r="H5604" s="3">
        <v>0.90939999999999999</v>
      </c>
      <c r="I5604" s="3">
        <v>3.0000000000000001E-3</v>
      </c>
      <c r="K5604" s="3">
        <v>2.24E-2</v>
      </c>
      <c r="L5604" s="3">
        <v>2.7E-2</v>
      </c>
      <c r="M5604" s="3">
        <v>4.5999999999999999E-2</v>
      </c>
    </row>
    <row r="5605" spans="1:13">
      <c r="A5605" t="s">
        <v>195</v>
      </c>
      <c r="B5605" t="s">
        <v>219</v>
      </c>
      <c r="C5605">
        <v>505</v>
      </c>
      <c r="D5605" t="s">
        <v>194</v>
      </c>
      <c r="E5605">
        <v>2667</v>
      </c>
      <c r="F5605" s="3">
        <v>2.2599999999999999E-2</v>
      </c>
      <c r="G5605" s="3">
        <v>3.1899999999999998E-2</v>
      </c>
      <c r="H5605" s="3">
        <v>0.90080000000000005</v>
      </c>
      <c r="I5605" s="3">
        <v>2.9999999999999997E-4</v>
      </c>
      <c r="J5605" s="3">
        <v>1.1999999999999999E-3</v>
      </c>
      <c r="K5605" s="3">
        <v>4.7100000000000003E-2</v>
      </c>
      <c r="L5605" s="3">
        <v>3.5099999999999999E-2</v>
      </c>
      <c r="M5605" s="3">
        <v>6.6199999999999995E-2</v>
      </c>
    </row>
    <row r="5606" spans="1:13">
      <c r="A5606" t="s">
        <v>195</v>
      </c>
      <c r="B5606" t="s">
        <v>220</v>
      </c>
      <c r="C5606">
        <v>182</v>
      </c>
      <c r="D5606" t="s">
        <v>194</v>
      </c>
      <c r="E5606">
        <v>2667</v>
      </c>
      <c r="F5606" s="3">
        <v>8.0000000000000004E-4</v>
      </c>
      <c r="G5606" s="3">
        <v>3.8999999999999998E-3</v>
      </c>
      <c r="H5606" s="3">
        <v>0.96240000000000003</v>
      </c>
      <c r="I5606" s="3">
        <v>2.0999999999999999E-3</v>
      </c>
      <c r="K5606" s="3">
        <v>1.46E-2</v>
      </c>
      <c r="L5606" s="3">
        <v>8.5000000000000006E-3</v>
      </c>
      <c r="M5606" s="3">
        <v>2.76E-2</v>
      </c>
    </row>
    <row r="5607" spans="1:13">
      <c r="A5607" t="s">
        <v>199</v>
      </c>
      <c r="B5607" t="s">
        <v>217</v>
      </c>
      <c r="C5607">
        <v>810</v>
      </c>
      <c r="D5607" t="s">
        <v>194</v>
      </c>
      <c r="E5607">
        <v>2667</v>
      </c>
      <c r="F5607" s="3">
        <v>2.0000000000000001E-4</v>
      </c>
      <c r="G5607" s="3">
        <v>3.3599999999999998E-2</v>
      </c>
      <c r="H5607" s="3">
        <v>0.8982</v>
      </c>
      <c r="I5607" s="3">
        <v>4.7000000000000002E-3</v>
      </c>
      <c r="J5607" s="3">
        <v>5.0000000000000001E-4</v>
      </c>
      <c r="K5607" s="3">
        <v>3.5499999999999997E-2</v>
      </c>
      <c r="L5607" s="3">
        <v>4.5600000000000002E-2</v>
      </c>
      <c r="M5607" s="3">
        <v>8.0399999999999999E-2</v>
      </c>
    </row>
    <row r="5608" spans="1:13">
      <c r="A5608" t="s">
        <v>199</v>
      </c>
      <c r="B5608" t="s">
        <v>219</v>
      </c>
      <c r="C5608">
        <v>449</v>
      </c>
      <c r="D5608" t="s">
        <v>194</v>
      </c>
      <c r="E5608">
        <v>2667</v>
      </c>
      <c r="G5608" s="3">
        <v>3.0599999999999999E-2</v>
      </c>
      <c r="H5608" s="3">
        <v>0.89400000000000002</v>
      </c>
      <c r="I5608" s="3">
        <v>7.6E-3</v>
      </c>
      <c r="K5608" s="3">
        <v>0.04</v>
      </c>
      <c r="L5608" s="3">
        <v>4.2599999999999999E-2</v>
      </c>
      <c r="M5608" s="3">
        <v>9.4200000000000006E-2</v>
      </c>
    </row>
    <row r="5609" spans="1:13">
      <c r="A5609" t="s">
        <v>199</v>
      </c>
      <c r="B5609" t="s">
        <v>220</v>
      </c>
      <c r="C5609">
        <v>222</v>
      </c>
      <c r="D5609" t="s">
        <v>194</v>
      </c>
      <c r="E5609">
        <v>2667</v>
      </c>
      <c r="G5609" s="3">
        <v>2.1399999999999999E-2</v>
      </c>
      <c r="H5609" s="3">
        <v>0.88500000000000001</v>
      </c>
      <c r="I5609" s="3">
        <v>3.0999999999999999E-3</v>
      </c>
      <c r="J5609" s="3">
        <v>1E-4</v>
      </c>
      <c r="K5609" s="3">
        <v>3.1399999999999997E-2</v>
      </c>
      <c r="L5609" s="3">
        <v>2.93E-2</v>
      </c>
      <c r="M5609" s="3">
        <v>9.3399999999999997E-2</v>
      </c>
    </row>
    <row r="5610" spans="1:13">
      <c r="A5610" t="s">
        <v>200</v>
      </c>
      <c r="B5610" t="s">
        <v>200</v>
      </c>
      <c r="C5610">
        <v>2667</v>
      </c>
      <c r="D5610" t="s">
        <v>200</v>
      </c>
      <c r="E5610">
        <v>2667</v>
      </c>
      <c r="F5610" s="3">
        <v>8.9999999999999993E-3</v>
      </c>
      <c r="G5610" s="3">
        <v>2.6100000000000002E-2</v>
      </c>
      <c r="H5610" s="3">
        <v>0.90439999999999998</v>
      </c>
      <c r="I5610" s="3">
        <v>3.7000000000000002E-3</v>
      </c>
      <c r="J5610" s="3">
        <v>4.0000000000000002E-4</v>
      </c>
      <c r="K5610" s="3">
        <v>3.3599999999999998E-2</v>
      </c>
      <c r="L5610" s="3">
        <v>3.5400000000000001E-2</v>
      </c>
      <c r="M5610" s="3">
        <v>7.0099999999999996E-2</v>
      </c>
    </row>
    <row r="5612" spans="1:13" ht="45">
      <c r="A5612" s="22" t="s">
        <v>1295</v>
      </c>
    </row>
    <row r="5613" spans="1:13">
      <c r="A5613" t="s">
        <v>185</v>
      </c>
      <c r="B5613" t="s">
        <v>186</v>
      </c>
      <c r="C5613" t="s">
        <v>192</v>
      </c>
      <c r="D5613" t="s">
        <v>184</v>
      </c>
      <c r="E5613" t="s">
        <v>193</v>
      </c>
      <c r="F5613" t="s">
        <v>1296</v>
      </c>
      <c r="G5613" t="s">
        <v>257</v>
      </c>
      <c r="H5613" t="s">
        <v>1297</v>
      </c>
      <c r="I5613" t="s">
        <v>1298</v>
      </c>
      <c r="J5613" t="s">
        <v>1299</v>
      </c>
      <c r="K5613" t="s">
        <v>1300</v>
      </c>
      <c r="L5613" t="s">
        <v>247</v>
      </c>
    </row>
    <row r="5614" spans="1:13">
      <c r="A5614" t="s">
        <v>195</v>
      </c>
      <c r="B5614" t="s">
        <v>196</v>
      </c>
      <c r="C5614">
        <v>64</v>
      </c>
      <c r="D5614" t="s">
        <v>194</v>
      </c>
      <c r="E5614">
        <v>536</v>
      </c>
      <c r="F5614" s="3">
        <v>0.1094</v>
      </c>
      <c r="G5614" s="3">
        <v>5.2499999999999998E-2</v>
      </c>
      <c r="H5614" s="3">
        <v>2.5000000000000001E-2</v>
      </c>
      <c r="I5614" s="3">
        <v>0.48759999999999998</v>
      </c>
      <c r="J5614" s="3">
        <v>5.2299999999999999E-2</v>
      </c>
      <c r="K5614" s="3">
        <v>0.27329999999999999</v>
      </c>
    </row>
    <row r="5615" spans="1:13">
      <c r="A5615" t="s">
        <v>195</v>
      </c>
      <c r="B5615" t="s">
        <v>198</v>
      </c>
      <c r="C5615">
        <v>75</v>
      </c>
      <c r="D5615" t="s">
        <v>194</v>
      </c>
      <c r="E5615">
        <v>536</v>
      </c>
      <c r="F5615" s="3">
        <v>0.13159999999999999</v>
      </c>
      <c r="H5615" s="3">
        <v>0.20699999999999999</v>
      </c>
      <c r="I5615" s="3">
        <v>0.24629999999999999</v>
      </c>
      <c r="J5615" s="3">
        <v>0.22689999999999999</v>
      </c>
      <c r="K5615" s="3">
        <v>0.18820000000000001</v>
      </c>
    </row>
    <row r="5616" spans="1:13">
      <c r="A5616" t="s">
        <v>199</v>
      </c>
      <c r="B5616" t="s">
        <v>196</v>
      </c>
      <c r="C5616">
        <v>192</v>
      </c>
      <c r="D5616" t="s">
        <v>194</v>
      </c>
      <c r="E5616">
        <v>536</v>
      </c>
      <c r="F5616" s="3">
        <v>0.1384</v>
      </c>
      <c r="G5616" s="3">
        <v>6.9999999999999999E-4</v>
      </c>
      <c r="H5616" s="3">
        <v>4.4600000000000001E-2</v>
      </c>
      <c r="I5616" s="3">
        <v>0.38090000000000002</v>
      </c>
      <c r="J5616" s="3">
        <v>0.1603</v>
      </c>
      <c r="K5616" s="3">
        <v>0.20269999999999999</v>
      </c>
      <c r="L5616" s="3">
        <v>7.2599999999999998E-2</v>
      </c>
    </row>
    <row r="5617" spans="1:12">
      <c r="A5617" t="s">
        <v>199</v>
      </c>
      <c r="B5617" t="s">
        <v>198</v>
      </c>
      <c r="C5617">
        <v>195</v>
      </c>
      <c r="D5617" t="s">
        <v>194</v>
      </c>
      <c r="E5617">
        <v>536</v>
      </c>
      <c r="F5617" s="3">
        <v>5.4699999999999999E-2</v>
      </c>
      <c r="G5617" s="3">
        <v>1.4E-3</v>
      </c>
      <c r="H5617" s="3">
        <v>0.1855</v>
      </c>
      <c r="I5617" s="3">
        <v>0.18010000000000001</v>
      </c>
      <c r="J5617" s="3">
        <v>0.33379999999999999</v>
      </c>
      <c r="K5617" s="3">
        <v>0.24299999999999999</v>
      </c>
      <c r="L5617" s="3">
        <v>1.4E-3</v>
      </c>
    </row>
    <row r="5618" spans="1:12">
      <c r="A5618" t="s">
        <v>200</v>
      </c>
      <c r="B5618" t="s">
        <v>200</v>
      </c>
      <c r="C5618">
        <v>536</v>
      </c>
      <c r="D5618" t="s">
        <v>200</v>
      </c>
      <c r="E5618">
        <v>536</v>
      </c>
      <c r="F5618" s="3">
        <v>9.1600000000000001E-2</v>
      </c>
      <c r="G5618" s="3">
        <v>8.8999999999999999E-3</v>
      </c>
      <c r="H5618" s="3">
        <v>0.13700000000000001</v>
      </c>
      <c r="I5618" s="3">
        <v>0.27560000000000001</v>
      </c>
      <c r="J5618" s="3">
        <v>0.23730000000000001</v>
      </c>
      <c r="K5618" s="3">
        <v>0.23519999999999999</v>
      </c>
      <c r="L5618" s="3">
        <v>1.44E-2</v>
      </c>
    </row>
    <row r="5620" spans="1:12" ht="45">
      <c r="A5620" s="22" t="s">
        <v>1301</v>
      </c>
    </row>
    <row r="5621" spans="1:12">
      <c r="A5621" t="s">
        <v>185</v>
      </c>
      <c r="B5621" t="s">
        <v>186</v>
      </c>
      <c r="C5621" t="s">
        <v>192</v>
      </c>
      <c r="D5621" t="s">
        <v>184</v>
      </c>
      <c r="E5621" t="s">
        <v>193</v>
      </c>
      <c r="F5621" t="s">
        <v>1296</v>
      </c>
      <c r="G5621" t="s">
        <v>257</v>
      </c>
      <c r="H5621" t="s">
        <v>1297</v>
      </c>
      <c r="I5621" t="s">
        <v>1298</v>
      </c>
      <c r="J5621" t="s">
        <v>1299</v>
      </c>
      <c r="K5621" t="s">
        <v>1300</v>
      </c>
      <c r="L5621" t="s">
        <v>247</v>
      </c>
    </row>
    <row r="5622" spans="1:12" s="25" customFormat="1">
      <c r="A5622" s="25" t="s">
        <v>195</v>
      </c>
      <c r="B5622" s="25" t="s">
        <v>202</v>
      </c>
      <c r="C5622" s="25">
        <v>29</v>
      </c>
      <c r="D5622" s="25" t="s">
        <v>194</v>
      </c>
      <c r="E5622" s="25">
        <v>536</v>
      </c>
      <c r="F5622" s="26">
        <v>0.1903</v>
      </c>
      <c r="G5622" s="26">
        <v>0.04</v>
      </c>
      <c r="H5622" s="26">
        <v>0.1229</v>
      </c>
      <c r="I5622" s="26">
        <v>0.36130000000000001</v>
      </c>
      <c r="J5622" s="26">
        <v>9.4500000000000001E-2</v>
      </c>
      <c r="K5622" s="26">
        <v>0.191</v>
      </c>
    </row>
    <row r="5623" spans="1:12">
      <c r="A5623" t="s">
        <v>195</v>
      </c>
      <c r="B5623" t="s">
        <v>204</v>
      </c>
      <c r="C5623">
        <v>44</v>
      </c>
      <c r="D5623" t="s">
        <v>194</v>
      </c>
      <c r="E5623">
        <v>536</v>
      </c>
      <c r="F5623" s="3">
        <v>2.3300000000000001E-2</v>
      </c>
      <c r="G5623" s="3">
        <v>4.1999999999999997E-3</v>
      </c>
      <c r="H5623" s="3">
        <v>0.1547</v>
      </c>
      <c r="I5623" s="3">
        <v>0.40770000000000001</v>
      </c>
      <c r="J5623" s="3">
        <v>0.24579999999999999</v>
      </c>
      <c r="K5623" s="3">
        <v>0.16420000000000001</v>
      </c>
    </row>
    <row r="5624" spans="1:12">
      <c r="A5624" t="s">
        <v>195</v>
      </c>
      <c r="B5624" t="s">
        <v>205</v>
      </c>
      <c r="C5624">
        <v>66</v>
      </c>
      <c r="D5624" t="s">
        <v>194</v>
      </c>
      <c r="E5624">
        <v>536</v>
      </c>
      <c r="F5624" s="3">
        <v>8.2000000000000007E-3</v>
      </c>
      <c r="H5624" s="3">
        <v>6.1499999999999999E-2</v>
      </c>
      <c r="I5624" s="3">
        <v>0.29509999999999997</v>
      </c>
      <c r="J5624" s="3">
        <v>0.17699999999999999</v>
      </c>
      <c r="K5624" s="3">
        <v>0.45810000000000001</v>
      </c>
    </row>
    <row r="5625" spans="1:12">
      <c r="A5625" t="s">
        <v>199</v>
      </c>
      <c r="B5625" t="s">
        <v>202</v>
      </c>
      <c r="C5625">
        <v>45</v>
      </c>
      <c r="D5625" t="s">
        <v>194</v>
      </c>
      <c r="E5625">
        <v>536</v>
      </c>
      <c r="F5625" s="3">
        <v>0.18390000000000001</v>
      </c>
      <c r="H5625" s="3">
        <v>0.1215</v>
      </c>
      <c r="I5625" s="3">
        <v>0.26979999999999998</v>
      </c>
      <c r="J5625" s="3">
        <v>0.28110000000000002</v>
      </c>
      <c r="K5625" s="3">
        <v>0.14369999999999999</v>
      </c>
    </row>
    <row r="5626" spans="1:12">
      <c r="A5626" t="s">
        <v>199</v>
      </c>
      <c r="B5626" t="s">
        <v>204</v>
      </c>
      <c r="C5626">
        <v>126</v>
      </c>
      <c r="D5626" t="s">
        <v>194</v>
      </c>
      <c r="E5626">
        <v>536</v>
      </c>
      <c r="F5626" s="3">
        <v>2.24E-2</v>
      </c>
      <c r="H5626" s="3">
        <v>0.16220000000000001</v>
      </c>
      <c r="I5626" s="3">
        <v>0.21859999999999999</v>
      </c>
      <c r="J5626" s="3">
        <v>0.31769999999999998</v>
      </c>
      <c r="K5626" s="3">
        <v>0.27900000000000003</v>
      </c>
    </row>
    <row r="5627" spans="1:12">
      <c r="A5627" t="s">
        <v>199</v>
      </c>
      <c r="B5627" t="s">
        <v>205</v>
      </c>
      <c r="C5627">
        <v>216</v>
      </c>
      <c r="D5627" t="s">
        <v>194</v>
      </c>
      <c r="E5627">
        <v>536</v>
      </c>
      <c r="F5627" s="3">
        <v>1.9800000000000002E-2</v>
      </c>
      <c r="G5627" s="3">
        <v>2.8999999999999998E-3</v>
      </c>
      <c r="H5627" s="3">
        <v>0.157</v>
      </c>
      <c r="I5627" s="3">
        <v>0.21909999999999999</v>
      </c>
      <c r="J5627" s="3">
        <v>0.27050000000000002</v>
      </c>
      <c r="K5627" s="3">
        <v>0.28000000000000003</v>
      </c>
      <c r="L5627" s="3">
        <v>5.0700000000000002E-2</v>
      </c>
    </row>
    <row r="5628" spans="1:12">
      <c r="A5628" t="s">
        <v>200</v>
      </c>
      <c r="B5628" t="s">
        <v>200</v>
      </c>
      <c r="C5628">
        <v>536</v>
      </c>
      <c r="D5628" t="s">
        <v>200</v>
      </c>
      <c r="E5628">
        <v>536</v>
      </c>
      <c r="F5628" s="3">
        <v>9.1600000000000001E-2</v>
      </c>
      <c r="G5628" s="3">
        <v>8.8999999999999999E-3</v>
      </c>
      <c r="H5628" s="3">
        <v>0.13700000000000001</v>
      </c>
      <c r="I5628" s="3">
        <v>0.27560000000000001</v>
      </c>
      <c r="J5628" s="3">
        <v>0.23730000000000001</v>
      </c>
      <c r="K5628" s="3">
        <v>0.23519999999999999</v>
      </c>
      <c r="L5628" s="3">
        <v>1.44E-2</v>
      </c>
    </row>
    <row r="5630" spans="1:12" ht="45">
      <c r="A5630" s="22" t="s">
        <v>1302</v>
      </c>
    </row>
    <row r="5631" spans="1:12">
      <c r="A5631" t="s">
        <v>185</v>
      </c>
      <c r="B5631" t="s">
        <v>186</v>
      </c>
      <c r="C5631" t="s">
        <v>192</v>
      </c>
      <c r="D5631" t="s">
        <v>184</v>
      </c>
      <c r="E5631" t="s">
        <v>193</v>
      </c>
      <c r="F5631" t="s">
        <v>1296</v>
      </c>
      <c r="G5631" t="s">
        <v>257</v>
      </c>
      <c r="H5631" t="s">
        <v>1297</v>
      </c>
      <c r="I5631" t="s">
        <v>1298</v>
      </c>
      <c r="J5631" t="s">
        <v>1299</v>
      </c>
      <c r="K5631" t="s">
        <v>1300</v>
      </c>
      <c r="L5631" t="s">
        <v>247</v>
      </c>
    </row>
    <row r="5632" spans="1:12">
      <c r="A5632" t="s">
        <v>195</v>
      </c>
      <c r="B5632" t="s">
        <v>207</v>
      </c>
      <c r="C5632">
        <v>52</v>
      </c>
      <c r="D5632" t="s">
        <v>194</v>
      </c>
      <c r="E5632">
        <v>536</v>
      </c>
      <c r="F5632" s="3">
        <v>0.10009999999999999</v>
      </c>
      <c r="G5632" s="3">
        <v>1.1999999999999999E-3</v>
      </c>
      <c r="H5632" s="3">
        <v>0.16880000000000001</v>
      </c>
      <c r="I5632" s="3">
        <v>0.3458</v>
      </c>
      <c r="J5632" s="3">
        <v>7.3599999999999999E-2</v>
      </c>
      <c r="K5632" s="3">
        <v>0.31040000000000001</v>
      </c>
    </row>
    <row r="5633" spans="1:12">
      <c r="A5633" t="s">
        <v>195</v>
      </c>
      <c r="B5633" t="s">
        <v>209</v>
      </c>
      <c r="C5633">
        <v>93</v>
      </c>
      <c r="D5633" t="s">
        <v>194</v>
      </c>
      <c r="E5633">
        <v>536</v>
      </c>
      <c r="F5633" s="3">
        <v>0.13009999999999999</v>
      </c>
      <c r="G5633" s="3">
        <v>3.95E-2</v>
      </c>
      <c r="H5633" s="3">
        <v>8.5000000000000006E-2</v>
      </c>
      <c r="I5633" s="3">
        <v>0.35870000000000002</v>
      </c>
      <c r="J5633" s="3">
        <v>0.1875</v>
      </c>
      <c r="K5633" s="3">
        <v>0.19919999999999999</v>
      </c>
    </row>
    <row r="5634" spans="1:12">
      <c r="A5634" t="s">
        <v>199</v>
      </c>
      <c r="B5634" t="s">
        <v>207</v>
      </c>
      <c r="C5634">
        <v>111</v>
      </c>
      <c r="D5634" t="s">
        <v>194</v>
      </c>
      <c r="E5634">
        <v>536</v>
      </c>
      <c r="F5634" s="3">
        <v>0.2054</v>
      </c>
      <c r="G5634" s="3">
        <v>5.5999999999999999E-3</v>
      </c>
      <c r="H5634" s="3">
        <v>0.19750000000000001</v>
      </c>
      <c r="I5634" s="3">
        <v>0.27139999999999997</v>
      </c>
      <c r="J5634" s="3">
        <v>0.1885</v>
      </c>
      <c r="K5634" s="3">
        <v>0.13170000000000001</v>
      </c>
    </row>
    <row r="5635" spans="1:12">
      <c r="A5635" t="s">
        <v>199</v>
      </c>
      <c r="B5635" t="s">
        <v>209</v>
      </c>
      <c r="C5635">
        <v>280</v>
      </c>
      <c r="D5635" t="s">
        <v>194</v>
      </c>
      <c r="E5635">
        <v>536</v>
      </c>
      <c r="F5635" s="3">
        <v>4.2599999999999999E-2</v>
      </c>
      <c r="H5635" s="3">
        <v>0.13220000000000001</v>
      </c>
      <c r="I5635" s="3">
        <v>0.22720000000000001</v>
      </c>
      <c r="J5635" s="3">
        <v>0.31109999999999999</v>
      </c>
      <c r="K5635" s="3">
        <v>0.25940000000000002</v>
      </c>
      <c r="L5635" s="3">
        <v>2.76E-2</v>
      </c>
    </row>
    <row r="5636" spans="1:12">
      <c r="A5636" t="s">
        <v>200</v>
      </c>
      <c r="B5636" t="s">
        <v>200</v>
      </c>
      <c r="C5636">
        <v>536</v>
      </c>
      <c r="D5636" t="s">
        <v>200</v>
      </c>
      <c r="E5636">
        <v>536</v>
      </c>
      <c r="F5636" s="3">
        <v>9.1600000000000001E-2</v>
      </c>
      <c r="G5636" s="3">
        <v>8.8999999999999999E-3</v>
      </c>
      <c r="H5636" s="3">
        <v>0.13700000000000001</v>
      </c>
      <c r="I5636" s="3">
        <v>0.27560000000000001</v>
      </c>
      <c r="J5636" s="3">
        <v>0.23730000000000001</v>
      </c>
      <c r="K5636" s="3">
        <v>0.23519999999999999</v>
      </c>
      <c r="L5636" s="3">
        <v>1.44E-2</v>
      </c>
    </row>
    <row r="5638" spans="1:12" ht="45">
      <c r="A5638" s="22" t="s">
        <v>1303</v>
      </c>
    </row>
    <row r="5639" spans="1:12">
      <c r="A5639" t="s">
        <v>185</v>
      </c>
      <c r="B5639" t="s">
        <v>192</v>
      </c>
      <c r="C5639" t="s">
        <v>184</v>
      </c>
      <c r="D5639" t="s">
        <v>193</v>
      </c>
      <c r="E5639" t="s">
        <v>1296</v>
      </c>
      <c r="F5639" t="s">
        <v>257</v>
      </c>
      <c r="G5639" t="s">
        <v>1297</v>
      </c>
      <c r="H5639" t="s">
        <v>1298</v>
      </c>
      <c r="I5639" t="s">
        <v>1299</v>
      </c>
      <c r="J5639" t="s">
        <v>1300</v>
      </c>
      <c r="K5639" t="s">
        <v>247</v>
      </c>
    </row>
    <row r="5640" spans="1:12">
      <c r="A5640" t="s">
        <v>195</v>
      </c>
      <c r="B5640">
        <v>145</v>
      </c>
      <c r="C5640" t="s">
        <v>194</v>
      </c>
      <c r="D5640">
        <v>536</v>
      </c>
      <c r="E5640" s="3">
        <v>0.1183</v>
      </c>
      <c r="F5640" s="3">
        <v>2.4400000000000002E-2</v>
      </c>
      <c r="G5640" s="3">
        <v>0.1179</v>
      </c>
      <c r="H5640" s="3">
        <v>0.35370000000000001</v>
      </c>
      <c r="I5640" s="3">
        <v>0.14269999999999999</v>
      </c>
      <c r="J5640" s="3">
        <v>0.2429</v>
      </c>
    </row>
    <row r="5641" spans="1:12">
      <c r="A5641" t="s">
        <v>199</v>
      </c>
      <c r="B5641">
        <v>391</v>
      </c>
      <c r="C5641" t="s">
        <v>194</v>
      </c>
      <c r="D5641">
        <v>536</v>
      </c>
      <c r="E5641" s="3">
        <v>7.8299999999999995E-2</v>
      </c>
      <c r="F5641" s="3">
        <v>1.1999999999999999E-3</v>
      </c>
      <c r="G5641" s="3">
        <v>0.14649999999999999</v>
      </c>
      <c r="H5641" s="3">
        <v>0.2369</v>
      </c>
      <c r="I5641" s="3">
        <v>0.28420000000000001</v>
      </c>
      <c r="J5641" s="3">
        <v>0.23139999999999999</v>
      </c>
      <c r="K5641" s="3">
        <v>2.1499999999999998E-2</v>
      </c>
    </row>
    <row r="5642" spans="1:12">
      <c r="A5642" t="s">
        <v>200</v>
      </c>
      <c r="B5642">
        <v>536</v>
      </c>
      <c r="C5642" t="s">
        <v>200</v>
      </c>
      <c r="D5642">
        <v>536</v>
      </c>
      <c r="E5642" s="3">
        <v>9.1600000000000001E-2</v>
      </c>
      <c r="F5642" s="3">
        <v>8.8999999999999999E-3</v>
      </c>
      <c r="G5642" s="3">
        <v>0.13700000000000001</v>
      </c>
      <c r="H5642" s="3">
        <v>0.27560000000000001</v>
      </c>
      <c r="I5642" s="3">
        <v>0.23730000000000001</v>
      </c>
      <c r="J5642" s="3">
        <v>0.23519999999999999</v>
      </c>
      <c r="K5642" s="3">
        <v>1.44E-2</v>
      </c>
    </row>
    <row r="5644" spans="1:12" ht="45">
      <c r="A5644" s="22" t="s">
        <v>1304</v>
      </c>
    </row>
    <row r="5645" spans="1:12">
      <c r="A5645" t="s">
        <v>185</v>
      </c>
      <c r="B5645" t="s">
        <v>186</v>
      </c>
      <c r="C5645" t="s">
        <v>192</v>
      </c>
      <c r="D5645" t="s">
        <v>184</v>
      </c>
      <c r="E5645" t="s">
        <v>193</v>
      </c>
      <c r="F5645" t="s">
        <v>1296</v>
      </c>
      <c r="G5645" t="s">
        <v>257</v>
      </c>
      <c r="H5645" t="s">
        <v>1297</v>
      </c>
      <c r="I5645" t="s">
        <v>1298</v>
      </c>
      <c r="J5645" t="s">
        <v>1299</v>
      </c>
      <c r="K5645" t="s">
        <v>1300</v>
      </c>
      <c r="L5645" t="s">
        <v>247</v>
      </c>
    </row>
    <row r="5646" spans="1:12">
      <c r="A5646" t="s">
        <v>195</v>
      </c>
      <c r="B5646" t="s">
        <v>212</v>
      </c>
      <c r="C5646">
        <v>105</v>
      </c>
      <c r="D5646" t="s">
        <v>194</v>
      </c>
      <c r="E5646">
        <v>536</v>
      </c>
      <c r="F5646" s="3">
        <v>0.12540000000000001</v>
      </c>
      <c r="G5646" s="3">
        <v>3.2199999999999999E-2</v>
      </c>
      <c r="H5646" s="3">
        <v>0.13170000000000001</v>
      </c>
      <c r="I5646" s="3">
        <v>0.3644</v>
      </c>
      <c r="J5646" s="3">
        <v>0.1043</v>
      </c>
      <c r="K5646" s="3">
        <v>0.24199999999999999</v>
      </c>
    </row>
    <row r="5647" spans="1:12" s="25" customFormat="1">
      <c r="A5647" s="25" t="s">
        <v>195</v>
      </c>
      <c r="B5647" s="25" t="s">
        <v>214</v>
      </c>
      <c r="C5647" s="25">
        <v>18</v>
      </c>
      <c r="D5647" s="25" t="s">
        <v>194</v>
      </c>
      <c r="E5647" s="25">
        <v>536</v>
      </c>
      <c r="G5647" s="26">
        <v>5.8999999999999999E-3</v>
      </c>
      <c r="H5647" s="26">
        <v>1.24E-2</v>
      </c>
      <c r="I5647" s="26">
        <v>0.26490000000000002</v>
      </c>
      <c r="J5647" s="26">
        <v>0.65339999999999998</v>
      </c>
      <c r="K5647" s="26">
        <v>6.3399999999999998E-2</v>
      </c>
    </row>
    <row r="5648" spans="1:12" s="25" customFormat="1">
      <c r="A5648" s="25" t="s">
        <v>195</v>
      </c>
      <c r="B5648" s="25" t="s">
        <v>215</v>
      </c>
      <c r="C5648" s="25">
        <v>22</v>
      </c>
      <c r="D5648" s="25" t="s">
        <v>194</v>
      </c>
      <c r="E5648" s="25">
        <v>536</v>
      </c>
      <c r="F5648" s="26">
        <v>0.14369999999999999</v>
      </c>
      <c r="H5648" s="26">
        <v>0.1085</v>
      </c>
      <c r="I5648" s="26">
        <v>0.3493</v>
      </c>
      <c r="J5648" s="26">
        <v>6.6199999999999995E-2</v>
      </c>
      <c r="K5648" s="26">
        <v>0.33229999999999998</v>
      </c>
    </row>
    <row r="5649" spans="1:12">
      <c r="A5649" t="s">
        <v>199</v>
      </c>
      <c r="B5649" t="s">
        <v>212</v>
      </c>
      <c r="C5649">
        <v>277</v>
      </c>
      <c r="D5649" t="s">
        <v>194</v>
      </c>
      <c r="E5649">
        <v>536</v>
      </c>
      <c r="F5649" s="3">
        <v>5.4600000000000003E-2</v>
      </c>
      <c r="G5649" s="3">
        <v>1.8E-3</v>
      </c>
      <c r="H5649" s="3">
        <v>0.15920000000000001</v>
      </c>
      <c r="I5649" s="3">
        <v>0.24249999999999999</v>
      </c>
      <c r="J5649" s="3">
        <v>0.27660000000000001</v>
      </c>
      <c r="K5649" s="3">
        <v>0.23319999999999999</v>
      </c>
      <c r="L5649" s="3">
        <v>3.2000000000000001E-2</v>
      </c>
    </row>
    <row r="5650" spans="1:12">
      <c r="A5650" t="s">
        <v>199</v>
      </c>
      <c r="B5650" t="s">
        <v>214</v>
      </c>
      <c r="C5650">
        <v>58</v>
      </c>
      <c r="D5650" t="s">
        <v>194</v>
      </c>
      <c r="E5650">
        <v>536</v>
      </c>
      <c r="F5650" s="3">
        <v>6.93E-2</v>
      </c>
      <c r="H5650" s="3">
        <v>9.4700000000000006E-2</v>
      </c>
      <c r="I5650" s="3">
        <v>0.27400000000000002</v>
      </c>
      <c r="J5650" s="3">
        <v>0.32140000000000002</v>
      </c>
      <c r="K5650" s="3">
        <v>0.2407</v>
      </c>
    </row>
    <row r="5651" spans="1:12">
      <c r="A5651" t="s">
        <v>199</v>
      </c>
      <c r="B5651" t="s">
        <v>215</v>
      </c>
      <c r="C5651">
        <v>56</v>
      </c>
      <c r="D5651" t="s">
        <v>194</v>
      </c>
      <c r="E5651">
        <v>536</v>
      </c>
      <c r="F5651" s="3">
        <v>0.18240000000000001</v>
      </c>
      <c r="H5651" s="3">
        <v>0.1447</v>
      </c>
      <c r="I5651" s="3">
        <v>0.17860000000000001</v>
      </c>
      <c r="J5651" s="3">
        <v>0.2792</v>
      </c>
      <c r="K5651" s="3">
        <v>0.21510000000000001</v>
      </c>
    </row>
    <row r="5652" spans="1:12">
      <c r="A5652" t="s">
        <v>200</v>
      </c>
      <c r="B5652" t="s">
        <v>200</v>
      </c>
      <c r="C5652">
        <v>536</v>
      </c>
      <c r="D5652" t="s">
        <v>200</v>
      </c>
      <c r="E5652">
        <v>536</v>
      </c>
      <c r="F5652" s="3">
        <v>9.1600000000000001E-2</v>
      </c>
      <c r="G5652" s="3">
        <v>8.8999999999999999E-3</v>
      </c>
      <c r="H5652" s="3">
        <v>0.13700000000000001</v>
      </c>
      <c r="I5652" s="3">
        <v>0.27560000000000001</v>
      </c>
      <c r="J5652" s="3">
        <v>0.23730000000000001</v>
      </c>
      <c r="K5652" s="3">
        <v>0.23519999999999999</v>
      </c>
      <c r="L5652" s="3">
        <v>1.44E-2</v>
      </c>
    </row>
    <row r="5654" spans="1:12" ht="45">
      <c r="A5654" s="22" t="s">
        <v>1305</v>
      </c>
    </row>
    <row r="5655" spans="1:12">
      <c r="A5655" t="s">
        <v>185</v>
      </c>
      <c r="B5655" t="s">
        <v>186</v>
      </c>
      <c r="C5655" t="s">
        <v>192</v>
      </c>
      <c r="D5655" t="s">
        <v>184</v>
      </c>
      <c r="E5655" t="s">
        <v>193</v>
      </c>
      <c r="F5655" t="s">
        <v>1296</v>
      </c>
      <c r="G5655" t="s">
        <v>257</v>
      </c>
      <c r="H5655" t="s">
        <v>1297</v>
      </c>
      <c r="I5655" t="s">
        <v>1298</v>
      </c>
      <c r="J5655" t="s">
        <v>1299</v>
      </c>
      <c r="K5655" t="s">
        <v>1300</v>
      </c>
      <c r="L5655" t="s">
        <v>247</v>
      </c>
    </row>
    <row r="5656" spans="1:12">
      <c r="A5656" t="s">
        <v>195</v>
      </c>
      <c r="B5656" t="s">
        <v>217</v>
      </c>
      <c r="C5656">
        <v>54</v>
      </c>
      <c r="D5656" t="s">
        <v>194</v>
      </c>
      <c r="E5656">
        <v>536</v>
      </c>
      <c r="F5656" s="3">
        <v>0.122</v>
      </c>
      <c r="G5656" s="3">
        <v>5.1999999999999998E-2</v>
      </c>
      <c r="H5656" s="3">
        <v>0.1583</v>
      </c>
      <c r="I5656" s="3">
        <v>0.29199999999999998</v>
      </c>
      <c r="J5656" s="3">
        <v>0.1656</v>
      </c>
      <c r="K5656" s="3">
        <v>0.21010000000000001</v>
      </c>
    </row>
    <row r="5657" spans="1:12">
      <c r="A5657" t="s">
        <v>195</v>
      </c>
      <c r="B5657" t="s">
        <v>219</v>
      </c>
      <c r="C5657">
        <v>68</v>
      </c>
      <c r="D5657" t="s">
        <v>194</v>
      </c>
      <c r="E5657">
        <v>536</v>
      </c>
      <c r="F5657" s="3">
        <v>0.1246</v>
      </c>
      <c r="G5657" s="3">
        <v>1.1000000000000001E-3</v>
      </c>
      <c r="H5657" s="3">
        <v>3.7699999999999997E-2</v>
      </c>
      <c r="I5657" s="3">
        <v>0.49109999999999998</v>
      </c>
      <c r="J5657" s="3">
        <v>9.4700000000000006E-2</v>
      </c>
      <c r="K5657" s="3">
        <v>0.25090000000000001</v>
      </c>
    </row>
    <row r="5658" spans="1:12" s="25" customFormat="1">
      <c r="A5658" s="25" t="s">
        <v>195</v>
      </c>
      <c r="B5658" s="25" t="s">
        <v>220</v>
      </c>
      <c r="C5658" s="25">
        <v>22</v>
      </c>
      <c r="D5658" s="25" t="s">
        <v>194</v>
      </c>
      <c r="E5658" s="25">
        <v>536</v>
      </c>
      <c r="F5658" s="26">
        <v>7.5899999999999995E-2</v>
      </c>
      <c r="G5658" s="26">
        <v>4.5999999999999999E-3</v>
      </c>
      <c r="H5658" s="26">
        <v>0.28720000000000001</v>
      </c>
      <c r="I5658" s="26">
        <v>3.3700000000000001E-2</v>
      </c>
      <c r="J5658" s="26">
        <v>0.24540000000000001</v>
      </c>
      <c r="K5658" s="26">
        <v>0.35310000000000002</v>
      </c>
    </row>
    <row r="5659" spans="1:12">
      <c r="A5659" t="s">
        <v>199</v>
      </c>
      <c r="B5659" t="s">
        <v>217</v>
      </c>
      <c r="C5659">
        <v>186</v>
      </c>
      <c r="D5659" t="s">
        <v>194</v>
      </c>
      <c r="E5659">
        <v>536</v>
      </c>
      <c r="F5659" s="3">
        <v>0.10780000000000001</v>
      </c>
      <c r="G5659" s="3">
        <v>2.9999999999999997E-4</v>
      </c>
      <c r="H5659" s="3">
        <v>0.1255</v>
      </c>
      <c r="I5659" s="3">
        <v>0.22650000000000001</v>
      </c>
      <c r="J5659" s="3">
        <v>0.29360000000000003</v>
      </c>
      <c r="K5659" s="3">
        <v>0.21479999999999999</v>
      </c>
      <c r="L5659" s="3">
        <v>3.1300000000000001E-2</v>
      </c>
    </row>
    <row r="5660" spans="1:12">
      <c r="A5660" t="s">
        <v>199</v>
      </c>
      <c r="B5660" t="s">
        <v>219</v>
      </c>
      <c r="C5660">
        <v>133</v>
      </c>
      <c r="D5660" t="s">
        <v>194</v>
      </c>
      <c r="E5660">
        <v>536</v>
      </c>
      <c r="F5660" s="3">
        <v>6.5000000000000002E-2</v>
      </c>
      <c r="G5660" s="3">
        <v>4.0000000000000001E-3</v>
      </c>
      <c r="H5660" s="3">
        <v>0.10290000000000001</v>
      </c>
      <c r="I5660" s="3">
        <v>0.33829999999999999</v>
      </c>
      <c r="J5660" s="3">
        <v>0.2485</v>
      </c>
      <c r="K5660" s="3">
        <v>0.2271</v>
      </c>
      <c r="L5660" s="3">
        <v>1.4200000000000001E-2</v>
      </c>
    </row>
    <row r="5661" spans="1:12">
      <c r="A5661" t="s">
        <v>199</v>
      </c>
      <c r="B5661" t="s">
        <v>220</v>
      </c>
      <c r="C5661">
        <v>72</v>
      </c>
      <c r="D5661" t="s">
        <v>194</v>
      </c>
      <c r="E5661">
        <v>536</v>
      </c>
      <c r="F5661" s="3">
        <v>1E-3</v>
      </c>
      <c r="H5661" s="3">
        <v>0.2772</v>
      </c>
      <c r="I5661" s="3">
        <v>0.12529999999999999</v>
      </c>
      <c r="J5661" s="3">
        <v>0.30499999999999999</v>
      </c>
      <c r="K5661" s="3">
        <v>0.29160000000000003</v>
      </c>
    </row>
    <row r="5662" spans="1:12">
      <c r="A5662" t="s">
        <v>200</v>
      </c>
      <c r="B5662" t="s">
        <v>200</v>
      </c>
      <c r="C5662">
        <v>536</v>
      </c>
      <c r="D5662" t="s">
        <v>200</v>
      </c>
      <c r="E5662">
        <v>536</v>
      </c>
      <c r="F5662" s="3">
        <v>9.1600000000000001E-2</v>
      </c>
      <c r="G5662" s="3">
        <v>8.8999999999999999E-3</v>
      </c>
      <c r="H5662" s="3">
        <v>0.13700000000000001</v>
      </c>
      <c r="I5662" s="3">
        <v>0.27560000000000001</v>
      </c>
      <c r="J5662" s="3">
        <v>0.23730000000000001</v>
      </c>
      <c r="K5662" s="3">
        <v>0.23519999999999999</v>
      </c>
      <c r="L5662" s="3">
        <v>1.44E-2</v>
      </c>
    </row>
    <row r="5664" spans="1:12" ht="30">
      <c r="A5664" s="22" t="s">
        <v>1306</v>
      </c>
    </row>
    <row r="5665" spans="1:10">
      <c r="A5665" t="s">
        <v>185</v>
      </c>
      <c r="B5665" t="s">
        <v>186</v>
      </c>
      <c r="C5665" t="s">
        <v>192</v>
      </c>
      <c r="D5665" t="s">
        <v>184</v>
      </c>
      <c r="E5665" t="s">
        <v>193</v>
      </c>
      <c r="F5665" t="s">
        <v>257</v>
      </c>
      <c r="G5665" t="s">
        <v>1307</v>
      </c>
      <c r="H5665" t="s">
        <v>1308</v>
      </c>
      <c r="I5665" t="s">
        <v>1309</v>
      </c>
      <c r="J5665" t="s">
        <v>1310</v>
      </c>
    </row>
    <row r="5666" spans="1:10">
      <c r="A5666" t="s">
        <v>195</v>
      </c>
      <c r="B5666" t="s">
        <v>196</v>
      </c>
      <c r="C5666">
        <v>413</v>
      </c>
      <c r="D5666" t="s">
        <v>194</v>
      </c>
      <c r="E5666">
        <v>2675</v>
      </c>
      <c r="G5666" s="3">
        <v>5.0000000000000001E-4</v>
      </c>
      <c r="I5666" s="3">
        <v>0.12280000000000001</v>
      </c>
      <c r="J5666" s="3">
        <v>0.87670000000000003</v>
      </c>
    </row>
    <row r="5667" spans="1:10">
      <c r="A5667" t="s">
        <v>195</v>
      </c>
      <c r="B5667" t="s">
        <v>198</v>
      </c>
      <c r="C5667">
        <v>755</v>
      </c>
      <c r="D5667" t="s">
        <v>194</v>
      </c>
      <c r="E5667">
        <v>2675</v>
      </c>
      <c r="G5667" s="3">
        <v>7.1000000000000004E-3</v>
      </c>
      <c r="H5667" s="3">
        <v>2.7000000000000001E-3</v>
      </c>
      <c r="I5667" s="3">
        <v>8.6400000000000005E-2</v>
      </c>
      <c r="J5667" s="3">
        <v>0.90380000000000005</v>
      </c>
    </row>
    <row r="5668" spans="1:10">
      <c r="A5668" t="s">
        <v>199</v>
      </c>
      <c r="B5668" t="s">
        <v>196</v>
      </c>
      <c r="C5668">
        <v>525</v>
      </c>
      <c r="D5668" t="s">
        <v>194</v>
      </c>
      <c r="E5668">
        <v>2675</v>
      </c>
      <c r="G5668" s="3">
        <v>3.0000000000000001E-3</v>
      </c>
      <c r="I5668" s="3">
        <v>6.0299999999999999E-2</v>
      </c>
      <c r="J5668" s="3">
        <v>0.93669999999999998</v>
      </c>
    </row>
    <row r="5669" spans="1:10">
      <c r="A5669" t="s">
        <v>199</v>
      </c>
      <c r="B5669" t="s">
        <v>198</v>
      </c>
      <c r="C5669">
        <v>943</v>
      </c>
      <c r="D5669" t="s">
        <v>194</v>
      </c>
      <c r="E5669">
        <v>2675</v>
      </c>
      <c r="F5669" s="3">
        <v>2.0000000000000001E-4</v>
      </c>
      <c r="G5669" s="3">
        <v>1E-4</v>
      </c>
      <c r="I5669" s="3">
        <v>5.8400000000000001E-2</v>
      </c>
      <c r="J5669" s="3">
        <v>0.94130000000000003</v>
      </c>
    </row>
    <row r="5670" spans="1:10">
      <c r="A5670" t="s">
        <v>200</v>
      </c>
      <c r="B5670" t="s">
        <v>200</v>
      </c>
      <c r="C5670">
        <v>2675</v>
      </c>
      <c r="D5670" t="s">
        <v>200</v>
      </c>
      <c r="E5670">
        <v>2675</v>
      </c>
      <c r="F5670" s="3">
        <v>1E-4</v>
      </c>
      <c r="G5670" s="3">
        <v>2.7000000000000001E-3</v>
      </c>
      <c r="H5670" s="3">
        <v>8.9999999999999998E-4</v>
      </c>
      <c r="I5670" s="3">
        <v>7.5200000000000003E-2</v>
      </c>
      <c r="J5670" s="3">
        <v>0.92110000000000003</v>
      </c>
    </row>
    <row r="5672" spans="1:10" ht="45">
      <c r="A5672" s="22" t="s">
        <v>1311</v>
      </c>
    </row>
    <row r="5673" spans="1:10">
      <c r="A5673" t="s">
        <v>185</v>
      </c>
      <c r="B5673" t="s">
        <v>186</v>
      </c>
      <c r="C5673" t="s">
        <v>192</v>
      </c>
      <c r="D5673" t="s">
        <v>184</v>
      </c>
      <c r="E5673" t="s">
        <v>193</v>
      </c>
      <c r="F5673" t="s">
        <v>257</v>
      </c>
      <c r="G5673" t="s">
        <v>1307</v>
      </c>
      <c r="H5673" t="s">
        <v>1308</v>
      </c>
      <c r="I5673" t="s">
        <v>1309</v>
      </c>
      <c r="J5673" t="s">
        <v>1310</v>
      </c>
    </row>
    <row r="5674" spans="1:10">
      <c r="A5674" t="s">
        <v>195</v>
      </c>
      <c r="B5674" t="s">
        <v>202</v>
      </c>
      <c r="C5674">
        <v>533</v>
      </c>
      <c r="D5674" t="s">
        <v>194</v>
      </c>
      <c r="E5674">
        <v>2675</v>
      </c>
      <c r="G5674" s="3">
        <v>6.6E-3</v>
      </c>
      <c r="H5674" s="3">
        <v>3.0000000000000001E-3</v>
      </c>
      <c r="I5674" s="3">
        <v>0.1077</v>
      </c>
      <c r="J5674" s="3">
        <v>0.88270000000000004</v>
      </c>
    </row>
    <row r="5675" spans="1:10">
      <c r="A5675" t="s">
        <v>195</v>
      </c>
      <c r="B5675" t="s">
        <v>204</v>
      </c>
      <c r="C5675">
        <v>301</v>
      </c>
      <c r="D5675" t="s">
        <v>194</v>
      </c>
      <c r="E5675">
        <v>2675</v>
      </c>
      <c r="G5675" s="3">
        <v>5.0000000000000001E-3</v>
      </c>
      <c r="I5675" s="3">
        <v>7.7899999999999997E-2</v>
      </c>
      <c r="J5675" s="3">
        <v>0.91700000000000004</v>
      </c>
    </row>
    <row r="5676" spans="1:10">
      <c r="A5676" t="s">
        <v>195</v>
      </c>
      <c r="B5676" t="s">
        <v>205</v>
      </c>
      <c r="C5676">
        <v>334</v>
      </c>
      <c r="D5676" t="s">
        <v>194</v>
      </c>
      <c r="E5676">
        <v>2675</v>
      </c>
      <c r="I5676" s="3">
        <v>6.9800000000000001E-2</v>
      </c>
      <c r="J5676" s="3">
        <v>0.93020000000000003</v>
      </c>
    </row>
    <row r="5677" spans="1:10">
      <c r="A5677" t="s">
        <v>199</v>
      </c>
      <c r="B5677" t="s">
        <v>202</v>
      </c>
      <c r="C5677">
        <v>537</v>
      </c>
      <c r="D5677" t="s">
        <v>194</v>
      </c>
      <c r="E5677">
        <v>2675</v>
      </c>
      <c r="I5677" s="3">
        <v>8.0299999999999996E-2</v>
      </c>
      <c r="J5677" s="3">
        <v>0.91969999999999996</v>
      </c>
    </row>
    <row r="5678" spans="1:10">
      <c r="A5678" t="s">
        <v>199</v>
      </c>
      <c r="B5678" t="s">
        <v>204</v>
      </c>
      <c r="C5678">
        <v>426</v>
      </c>
      <c r="D5678" t="s">
        <v>194</v>
      </c>
      <c r="E5678">
        <v>2675</v>
      </c>
      <c r="G5678" s="3">
        <v>2.8999999999999998E-3</v>
      </c>
      <c r="I5678" s="3">
        <v>1.3299999999999999E-2</v>
      </c>
      <c r="J5678" s="3">
        <v>0.9839</v>
      </c>
    </row>
    <row r="5679" spans="1:10">
      <c r="A5679" t="s">
        <v>199</v>
      </c>
      <c r="B5679" t="s">
        <v>205</v>
      </c>
      <c r="C5679">
        <v>505</v>
      </c>
      <c r="D5679" t="s">
        <v>194</v>
      </c>
      <c r="E5679">
        <v>2675</v>
      </c>
      <c r="F5679" s="3">
        <v>6.9999999999999999E-4</v>
      </c>
      <c r="G5679" s="3">
        <v>5.9999999999999995E-4</v>
      </c>
      <c r="I5679" s="3">
        <v>2.9700000000000001E-2</v>
      </c>
      <c r="J5679" s="3">
        <v>0.96889999999999998</v>
      </c>
    </row>
    <row r="5680" spans="1:10">
      <c r="A5680" t="s">
        <v>200</v>
      </c>
      <c r="B5680" t="s">
        <v>200</v>
      </c>
      <c r="C5680">
        <v>2675</v>
      </c>
      <c r="D5680" t="s">
        <v>200</v>
      </c>
      <c r="E5680">
        <v>2675</v>
      </c>
      <c r="F5680" s="3">
        <v>1E-4</v>
      </c>
      <c r="G5680" s="3">
        <v>2.7000000000000001E-3</v>
      </c>
      <c r="H5680" s="3">
        <v>8.9999999999999998E-4</v>
      </c>
      <c r="I5680" s="3">
        <v>7.5200000000000003E-2</v>
      </c>
      <c r="J5680" s="3">
        <v>0.92110000000000003</v>
      </c>
    </row>
    <row r="5682" spans="1:10" ht="45">
      <c r="A5682" s="22" t="s">
        <v>1312</v>
      </c>
    </row>
    <row r="5683" spans="1:10">
      <c r="A5683" t="s">
        <v>185</v>
      </c>
      <c r="B5683" t="s">
        <v>186</v>
      </c>
      <c r="C5683" t="s">
        <v>192</v>
      </c>
      <c r="D5683" t="s">
        <v>184</v>
      </c>
      <c r="E5683" t="s">
        <v>193</v>
      </c>
      <c r="F5683" t="s">
        <v>257</v>
      </c>
      <c r="G5683" t="s">
        <v>1307</v>
      </c>
      <c r="H5683" t="s">
        <v>1308</v>
      </c>
      <c r="I5683" t="s">
        <v>1309</v>
      </c>
      <c r="J5683" t="s">
        <v>1310</v>
      </c>
    </row>
    <row r="5684" spans="1:10">
      <c r="A5684" t="s">
        <v>195</v>
      </c>
      <c r="B5684" t="s">
        <v>207</v>
      </c>
      <c r="C5684">
        <v>322</v>
      </c>
      <c r="D5684" t="s">
        <v>194</v>
      </c>
      <c r="E5684">
        <v>2675</v>
      </c>
      <c r="G5684" s="3">
        <v>2.07E-2</v>
      </c>
      <c r="H5684" s="3">
        <v>7.6E-3</v>
      </c>
      <c r="I5684" s="3">
        <v>8.8300000000000003E-2</v>
      </c>
      <c r="J5684" s="3">
        <v>0.88349999999999995</v>
      </c>
    </row>
    <row r="5685" spans="1:10">
      <c r="A5685" t="s">
        <v>195</v>
      </c>
      <c r="B5685" t="s">
        <v>209</v>
      </c>
      <c r="C5685">
        <v>867</v>
      </c>
      <c r="D5685" t="s">
        <v>194</v>
      </c>
      <c r="E5685">
        <v>2675</v>
      </c>
      <c r="I5685" s="3">
        <v>9.8299999999999998E-2</v>
      </c>
      <c r="J5685" s="3">
        <v>0.90169999999999995</v>
      </c>
    </row>
    <row r="5686" spans="1:10">
      <c r="A5686" t="s">
        <v>199</v>
      </c>
      <c r="B5686" t="s">
        <v>207</v>
      </c>
      <c r="C5686">
        <v>283</v>
      </c>
      <c r="D5686" t="s">
        <v>194</v>
      </c>
      <c r="E5686">
        <v>2675</v>
      </c>
      <c r="F5686" s="3">
        <v>1E-3</v>
      </c>
      <c r="G5686" s="3">
        <v>2.8999999999999998E-3</v>
      </c>
      <c r="I5686" s="3">
        <v>5.0999999999999997E-2</v>
      </c>
      <c r="J5686" s="3">
        <v>0.94510000000000005</v>
      </c>
    </row>
    <row r="5687" spans="1:10">
      <c r="A5687" t="s">
        <v>199</v>
      </c>
      <c r="B5687" t="s">
        <v>209</v>
      </c>
      <c r="C5687">
        <v>1203</v>
      </c>
      <c r="D5687" t="s">
        <v>194</v>
      </c>
      <c r="E5687">
        <v>2675</v>
      </c>
      <c r="G5687" s="3">
        <v>4.0000000000000002E-4</v>
      </c>
      <c r="I5687" s="3">
        <v>5.9900000000000002E-2</v>
      </c>
      <c r="J5687" s="3">
        <v>0.93979999999999997</v>
      </c>
    </row>
    <row r="5688" spans="1:10">
      <c r="A5688" t="s">
        <v>200</v>
      </c>
      <c r="B5688" t="s">
        <v>200</v>
      </c>
      <c r="C5688">
        <v>2675</v>
      </c>
      <c r="D5688" t="s">
        <v>200</v>
      </c>
      <c r="E5688">
        <v>2675</v>
      </c>
      <c r="F5688" s="3">
        <v>1E-4</v>
      </c>
      <c r="G5688" s="3">
        <v>2.7000000000000001E-3</v>
      </c>
      <c r="H5688" s="3">
        <v>8.9999999999999998E-4</v>
      </c>
      <c r="I5688" s="3">
        <v>7.5200000000000003E-2</v>
      </c>
      <c r="J5688" s="3">
        <v>0.92110000000000003</v>
      </c>
    </row>
    <row r="5690" spans="1:10" ht="45">
      <c r="A5690" s="22" t="s">
        <v>1313</v>
      </c>
    </row>
    <row r="5691" spans="1:10">
      <c r="A5691" t="s">
        <v>185</v>
      </c>
      <c r="B5691" t="s">
        <v>192</v>
      </c>
      <c r="C5691" t="s">
        <v>184</v>
      </c>
      <c r="D5691" t="s">
        <v>193</v>
      </c>
      <c r="E5691" t="s">
        <v>257</v>
      </c>
      <c r="F5691" t="s">
        <v>1307</v>
      </c>
      <c r="G5691" t="s">
        <v>1308</v>
      </c>
      <c r="H5691" t="s">
        <v>1309</v>
      </c>
      <c r="I5691" t="s">
        <v>1310</v>
      </c>
    </row>
    <row r="5692" spans="1:10">
      <c r="A5692" t="s">
        <v>195</v>
      </c>
      <c r="B5692">
        <v>1189</v>
      </c>
      <c r="C5692" t="s">
        <v>194</v>
      </c>
      <c r="D5692">
        <v>2675</v>
      </c>
      <c r="F5692" s="3">
        <v>5.3E-3</v>
      </c>
      <c r="G5692" s="3">
        <v>2E-3</v>
      </c>
      <c r="H5692" s="3">
        <v>9.5699999999999993E-2</v>
      </c>
      <c r="I5692" s="3">
        <v>0.89700000000000002</v>
      </c>
    </row>
    <row r="5693" spans="1:10">
      <c r="A5693" t="s">
        <v>199</v>
      </c>
      <c r="B5693">
        <v>1486</v>
      </c>
      <c r="C5693" t="s">
        <v>194</v>
      </c>
      <c r="D5693">
        <v>2675</v>
      </c>
      <c r="E5693" s="3">
        <v>1E-4</v>
      </c>
      <c r="F5693" s="3">
        <v>6.9999999999999999E-4</v>
      </c>
      <c r="H5693" s="3">
        <v>5.8799999999999998E-2</v>
      </c>
      <c r="I5693" s="3">
        <v>0.94040000000000001</v>
      </c>
    </row>
    <row r="5694" spans="1:10">
      <c r="A5694" t="s">
        <v>200</v>
      </c>
      <c r="B5694">
        <v>2675</v>
      </c>
      <c r="C5694" t="s">
        <v>200</v>
      </c>
      <c r="D5694">
        <v>2675</v>
      </c>
      <c r="E5694" s="3">
        <v>1E-4</v>
      </c>
      <c r="F5694" s="3">
        <v>2.7000000000000001E-3</v>
      </c>
      <c r="G5694" s="3">
        <v>8.9999999999999998E-4</v>
      </c>
      <c r="H5694" s="3">
        <v>7.5200000000000003E-2</v>
      </c>
      <c r="I5694" s="3">
        <v>0.92110000000000003</v>
      </c>
    </row>
    <row r="5696" spans="1:10" ht="30">
      <c r="A5696" s="22" t="s">
        <v>1314</v>
      </c>
    </row>
    <row r="5697" spans="1:10">
      <c r="A5697" t="s">
        <v>185</v>
      </c>
      <c r="B5697" t="s">
        <v>186</v>
      </c>
      <c r="C5697" t="s">
        <v>192</v>
      </c>
      <c r="D5697" t="s">
        <v>184</v>
      </c>
      <c r="E5697" t="s">
        <v>193</v>
      </c>
      <c r="F5697" t="s">
        <v>257</v>
      </c>
      <c r="G5697" t="s">
        <v>1307</v>
      </c>
      <c r="H5697" t="s">
        <v>1308</v>
      </c>
      <c r="I5697" t="s">
        <v>1309</v>
      </c>
      <c r="J5697" t="s">
        <v>1310</v>
      </c>
    </row>
    <row r="5698" spans="1:10">
      <c r="A5698" t="s">
        <v>195</v>
      </c>
      <c r="B5698" t="s">
        <v>212</v>
      </c>
      <c r="C5698">
        <v>873</v>
      </c>
      <c r="D5698" t="s">
        <v>194</v>
      </c>
      <c r="E5698">
        <v>2675</v>
      </c>
      <c r="G5698" s="3">
        <v>4.1999999999999997E-3</v>
      </c>
      <c r="I5698" s="3">
        <v>9.74E-2</v>
      </c>
      <c r="J5698" s="3">
        <v>0.89839999999999998</v>
      </c>
    </row>
    <row r="5699" spans="1:10">
      <c r="A5699" t="s">
        <v>195</v>
      </c>
      <c r="B5699" t="s">
        <v>214</v>
      </c>
      <c r="C5699">
        <v>181</v>
      </c>
      <c r="D5699" t="s">
        <v>194</v>
      </c>
      <c r="E5699">
        <v>2675</v>
      </c>
      <c r="G5699" s="3">
        <v>1.2999999999999999E-2</v>
      </c>
      <c r="H5699" s="3">
        <v>1.1900000000000001E-2</v>
      </c>
      <c r="I5699" s="3">
        <v>8.2400000000000001E-2</v>
      </c>
      <c r="J5699" s="3">
        <v>0.89280000000000004</v>
      </c>
    </row>
    <row r="5700" spans="1:10">
      <c r="A5700" t="s">
        <v>195</v>
      </c>
      <c r="B5700" t="s">
        <v>215</v>
      </c>
      <c r="C5700">
        <v>135</v>
      </c>
      <c r="D5700" t="s">
        <v>194</v>
      </c>
      <c r="E5700">
        <v>2675</v>
      </c>
      <c r="I5700" s="3">
        <v>0.107</v>
      </c>
      <c r="J5700" s="3">
        <v>0.89300000000000002</v>
      </c>
    </row>
    <row r="5701" spans="1:10">
      <c r="A5701" t="s">
        <v>199</v>
      </c>
      <c r="B5701" t="s">
        <v>212</v>
      </c>
      <c r="C5701">
        <v>1117</v>
      </c>
      <c r="D5701" t="s">
        <v>194</v>
      </c>
      <c r="E5701">
        <v>2675</v>
      </c>
      <c r="F5701" s="3">
        <v>2.0000000000000001E-4</v>
      </c>
      <c r="G5701" s="3">
        <v>5.0000000000000001E-4</v>
      </c>
      <c r="I5701" s="3">
        <v>4.4600000000000001E-2</v>
      </c>
      <c r="J5701" s="3">
        <v>0.95469999999999999</v>
      </c>
    </row>
    <row r="5702" spans="1:10">
      <c r="A5702" t="s">
        <v>199</v>
      </c>
      <c r="B5702" t="s">
        <v>214</v>
      </c>
      <c r="C5702">
        <v>196</v>
      </c>
      <c r="D5702" t="s">
        <v>194</v>
      </c>
      <c r="E5702">
        <v>2675</v>
      </c>
      <c r="G5702" s="3">
        <v>1.9E-3</v>
      </c>
      <c r="I5702" s="3">
        <v>0.1096</v>
      </c>
      <c r="J5702" s="3">
        <v>0.88849999999999996</v>
      </c>
    </row>
    <row r="5703" spans="1:10">
      <c r="A5703" t="s">
        <v>199</v>
      </c>
      <c r="B5703" t="s">
        <v>215</v>
      </c>
      <c r="C5703">
        <v>173</v>
      </c>
      <c r="D5703" t="s">
        <v>194</v>
      </c>
      <c r="E5703">
        <v>2675</v>
      </c>
      <c r="I5703" s="3">
        <v>9.69E-2</v>
      </c>
      <c r="J5703" s="3">
        <v>0.90310000000000001</v>
      </c>
    </row>
    <row r="5704" spans="1:10">
      <c r="A5704" t="s">
        <v>200</v>
      </c>
      <c r="B5704" t="s">
        <v>200</v>
      </c>
      <c r="C5704">
        <v>2675</v>
      </c>
      <c r="D5704" t="s">
        <v>200</v>
      </c>
      <c r="E5704">
        <v>2675</v>
      </c>
      <c r="F5704" s="3">
        <v>1E-4</v>
      </c>
      <c r="G5704" s="3">
        <v>2.7000000000000001E-3</v>
      </c>
      <c r="H5704" s="3">
        <v>8.9999999999999998E-4</v>
      </c>
      <c r="I5704" s="3">
        <v>7.5200000000000003E-2</v>
      </c>
      <c r="J5704" s="3">
        <v>0.92110000000000003</v>
      </c>
    </row>
    <row r="5706" spans="1:10" ht="45">
      <c r="A5706" s="22" t="s">
        <v>1315</v>
      </c>
    </row>
    <row r="5707" spans="1:10">
      <c r="A5707" t="s">
        <v>185</v>
      </c>
      <c r="B5707" t="s">
        <v>186</v>
      </c>
      <c r="C5707" t="s">
        <v>192</v>
      </c>
      <c r="D5707" t="s">
        <v>184</v>
      </c>
      <c r="E5707" t="s">
        <v>193</v>
      </c>
      <c r="F5707" t="s">
        <v>257</v>
      </c>
      <c r="G5707" t="s">
        <v>1307</v>
      </c>
      <c r="H5707" t="s">
        <v>1308</v>
      </c>
      <c r="I5707" t="s">
        <v>1309</v>
      </c>
      <c r="J5707" t="s">
        <v>1310</v>
      </c>
    </row>
    <row r="5708" spans="1:10">
      <c r="A5708" t="s">
        <v>195</v>
      </c>
      <c r="B5708" t="s">
        <v>217</v>
      </c>
      <c r="C5708">
        <v>499</v>
      </c>
      <c r="D5708" t="s">
        <v>194</v>
      </c>
      <c r="E5708">
        <v>2675</v>
      </c>
      <c r="I5708" s="3">
        <v>8.2799999999999999E-2</v>
      </c>
      <c r="J5708" s="3">
        <v>0.91720000000000002</v>
      </c>
    </row>
    <row r="5709" spans="1:10">
      <c r="A5709" t="s">
        <v>195</v>
      </c>
      <c r="B5709" t="s">
        <v>219</v>
      </c>
      <c r="C5709">
        <v>507</v>
      </c>
      <c r="D5709" t="s">
        <v>194</v>
      </c>
      <c r="E5709">
        <v>2675</v>
      </c>
      <c r="G5709" s="3">
        <v>1.12E-2</v>
      </c>
      <c r="H5709" s="3">
        <v>5.0000000000000001E-3</v>
      </c>
      <c r="I5709" s="3">
        <v>0.1234</v>
      </c>
      <c r="J5709" s="3">
        <v>0.86040000000000005</v>
      </c>
    </row>
    <row r="5710" spans="1:10">
      <c r="A5710" t="s">
        <v>195</v>
      </c>
      <c r="B5710" t="s">
        <v>220</v>
      </c>
      <c r="C5710">
        <v>182</v>
      </c>
      <c r="D5710" t="s">
        <v>194</v>
      </c>
      <c r="E5710">
        <v>2675</v>
      </c>
      <c r="G5710" s="3">
        <v>5.0000000000000001E-3</v>
      </c>
      <c r="I5710" s="3">
        <v>6.7100000000000007E-2</v>
      </c>
      <c r="J5710" s="3">
        <v>0.92779999999999996</v>
      </c>
    </row>
    <row r="5711" spans="1:10">
      <c r="A5711" t="s">
        <v>199</v>
      </c>
      <c r="B5711" t="s">
        <v>217</v>
      </c>
      <c r="C5711">
        <v>813</v>
      </c>
      <c r="D5711" t="s">
        <v>194</v>
      </c>
      <c r="E5711">
        <v>2675</v>
      </c>
      <c r="F5711" s="3">
        <v>2.0000000000000001E-4</v>
      </c>
      <c r="G5711" s="3">
        <v>5.9999999999999995E-4</v>
      </c>
      <c r="I5711" s="3">
        <v>4.48E-2</v>
      </c>
      <c r="J5711" s="3">
        <v>0.95430000000000004</v>
      </c>
    </row>
    <row r="5712" spans="1:10">
      <c r="A5712" t="s">
        <v>199</v>
      </c>
      <c r="B5712" t="s">
        <v>219</v>
      </c>
      <c r="C5712">
        <v>451</v>
      </c>
      <c r="D5712" t="s">
        <v>194</v>
      </c>
      <c r="E5712">
        <v>2675</v>
      </c>
      <c r="G5712" s="3">
        <v>1.1999999999999999E-3</v>
      </c>
      <c r="I5712" s="3">
        <v>4.41E-2</v>
      </c>
      <c r="J5712" s="3">
        <v>0.95469999999999999</v>
      </c>
    </row>
    <row r="5713" spans="1:10">
      <c r="A5713" t="s">
        <v>199</v>
      </c>
      <c r="B5713" t="s">
        <v>220</v>
      </c>
      <c r="C5713">
        <v>222</v>
      </c>
      <c r="D5713" t="s">
        <v>194</v>
      </c>
      <c r="E5713">
        <v>2675</v>
      </c>
      <c r="I5713" s="3">
        <v>0.1356</v>
      </c>
      <c r="J5713" s="3">
        <v>0.86439999999999995</v>
      </c>
    </row>
    <row r="5714" spans="1:10">
      <c r="A5714" t="s">
        <v>200</v>
      </c>
      <c r="B5714" t="s">
        <v>200</v>
      </c>
      <c r="C5714">
        <v>2675</v>
      </c>
      <c r="D5714" t="s">
        <v>200</v>
      </c>
      <c r="E5714">
        <v>2675</v>
      </c>
      <c r="F5714" s="3">
        <v>1E-4</v>
      </c>
      <c r="G5714" s="3">
        <v>2.7000000000000001E-3</v>
      </c>
      <c r="H5714" s="3">
        <v>8.9999999999999998E-4</v>
      </c>
      <c r="I5714" s="3">
        <v>7.5200000000000003E-2</v>
      </c>
      <c r="J5714" s="3">
        <v>0.92110000000000003</v>
      </c>
    </row>
    <row r="5716" spans="1:10" ht="30">
      <c r="A5716" s="22" t="s">
        <v>1316</v>
      </c>
    </row>
    <row r="5717" spans="1:10">
      <c r="A5717" t="s">
        <v>185</v>
      </c>
      <c r="B5717" t="s">
        <v>186</v>
      </c>
      <c r="C5717" t="s">
        <v>192</v>
      </c>
      <c r="D5717" t="s">
        <v>184</v>
      </c>
      <c r="E5717" t="s">
        <v>193</v>
      </c>
      <c r="F5717" t="s">
        <v>257</v>
      </c>
      <c r="G5717" t="s">
        <v>1307</v>
      </c>
      <c r="H5717" t="s">
        <v>247</v>
      </c>
      <c r="I5717" t="s">
        <v>1309</v>
      </c>
      <c r="J5717" t="s">
        <v>1310</v>
      </c>
    </row>
    <row r="5718" spans="1:10">
      <c r="A5718" t="s">
        <v>195</v>
      </c>
      <c r="B5718" t="s">
        <v>196</v>
      </c>
      <c r="C5718">
        <v>413</v>
      </c>
      <c r="D5718" t="s">
        <v>194</v>
      </c>
      <c r="E5718">
        <v>2675</v>
      </c>
      <c r="H5718" s="3">
        <v>8.9999999999999998E-4</v>
      </c>
      <c r="I5718" s="3">
        <v>6.0499999999999998E-2</v>
      </c>
      <c r="J5718" s="3">
        <v>0.93859999999999999</v>
      </c>
    </row>
    <row r="5719" spans="1:10">
      <c r="A5719" t="s">
        <v>195</v>
      </c>
      <c r="B5719" t="s">
        <v>198</v>
      </c>
      <c r="C5719">
        <v>755</v>
      </c>
      <c r="D5719" t="s">
        <v>194</v>
      </c>
      <c r="E5719">
        <v>2675</v>
      </c>
      <c r="G5719" s="3">
        <v>2.2000000000000001E-3</v>
      </c>
      <c r="I5719" s="3">
        <v>6.6500000000000004E-2</v>
      </c>
      <c r="J5719" s="3">
        <v>0.93130000000000002</v>
      </c>
    </row>
    <row r="5720" spans="1:10">
      <c r="A5720" t="s">
        <v>199</v>
      </c>
      <c r="B5720" t="s">
        <v>196</v>
      </c>
      <c r="C5720">
        <v>525</v>
      </c>
      <c r="D5720" t="s">
        <v>194</v>
      </c>
      <c r="E5720">
        <v>2675</v>
      </c>
      <c r="F5720" s="3">
        <v>8.0000000000000004E-4</v>
      </c>
      <c r="I5720" s="3">
        <v>4.5699999999999998E-2</v>
      </c>
      <c r="J5720" s="3">
        <v>0.95350000000000001</v>
      </c>
    </row>
    <row r="5721" spans="1:10">
      <c r="A5721" t="s">
        <v>199</v>
      </c>
      <c r="B5721" t="s">
        <v>198</v>
      </c>
      <c r="C5721">
        <v>943</v>
      </c>
      <c r="D5721" t="s">
        <v>194</v>
      </c>
      <c r="E5721">
        <v>2675</v>
      </c>
      <c r="F5721" s="3">
        <v>2.0000000000000001E-4</v>
      </c>
      <c r="G5721" s="3">
        <v>2.7000000000000001E-3</v>
      </c>
      <c r="I5721" s="3">
        <v>9.7000000000000003E-3</v>
      </c>
      <c r="J5721" s="3">
        <v>0.98750000000000004</v>
      </c>
    </row>
    <row r="5722" spans="1:10">
      <c r="A5722" t="s">
        <v>200</v>
      </c>
      <c r="B5722" t="s">
        <v>200</v>
      </c>
      <c r="C5722">
        <v>2675</v>
      </c>
      <c r="D5722" t="s">
        <v>200</v>
      </c>
      <c r="E5722">
        <v>2675</v>
      </c>
      <c r="F5722" s="3">
        <v>2.0000000000000001E-4</v>
      </c>
      <c r="G5722" s="3">
        <v>1.9E-3</v>
      </c>
      <c r="H5722" s="3">
        <v>1E-4</v>
      </c>
      <c r="I5722" s="3">
        <v>3.78E-2</v>
      </c>
      <c r="J5722" s="3">
        <v>0.96</v>
      </c>
    </row>
    <row r="5724" spans="1:10" ht="45">
      <c r="A5724" s="22" t="s">
        <v>1317</v>
      </c>
    </row>
    <row r="5725" spans="1:10">
      <c r="A5725" t="s">
        <v>185</v>
      </c>
      <c r="B5725" t="s">
        <v>186</v>
      </c>
      <c r="C5725" t="s">
        <v>192</v>
      </c>
      <c r="D5725" t="s">
        <v>184</v>
      </c>
      <c r="E5725" t="s">
        <v>193</v>
      </c>
      <c r="F5725" t="s">
        <v>257</v>
      </c>
      <c r="G5725" t="s">
        <v>1307</v>
      </c>
      <c r="H5725" t="s">
        <v>247</v>
      </c>
      <c r="I5725" t="s">
        <v>1309</v>
      </c>
      <c r="J5725" t="s">
        <v>1310</v>
      </c>
    </row>
    <row r="5726" spans="1:10">
      <c r="A5726" t="s">
        <v>195</v>
      </c>
      <c r="B5726" t="s">
        <v>202</v>
      </c>
      <c r="C5726">
        <v>533</v>
      </c>
      <c r="D5726" t="s">
        <v>194</v>
      </c>
      <c r="E5726">
        <v>2675</v>
      </c>
      <c r="G5726" s="3">
        <v>1.9E-3</v>
      </c>
      <c r="I5726" s="3">
        <v>7.2599999999999998E-2</v>
      </c>
      <c r="J5726" s="3">
        <v>0.92549999999999999</v>
      </c>
    </row>
    <row r="5727" spans="1:10">
      <c r="A5727" t="s">
        <v>195</v>
      </c>
      <c r="B5727" t="s">
        <v>204</v>
      </c>
      <c r="C5727">
        <v>301</v>
      </c>
      <c r="D5727" t="s">
        <v>194</v>
      </c>
      <c r="E5727">
        <v>2675</v>
      </c>
      <c r="G5727" s="3">
        <v>1.8E-3</v>
      </c>
      <c r="H5727" s="3">
        <v>1.1000000000000001E-3</v>
      </c>
      <c r="I5727" s="3">
        <v>2.2599999999999999E-2</v>
      </c>
      <c r="J5727" s="3">
        <v>0.97450000000000003</v>
      </c>
    </row>
    <row r="5728" spans="1:10">
      <c r="A5728" t="s">
        <v>195</v>
      </c>
      <c r="B5728" t="s">
        <v>205</v>
      </c>
      <c r="C5728">
        <v>334</v>
      </c>
      <c r="D5728" t="s">
        <v>194</v>
      </c>
      <c r="E5728">
        <v>2675</v>
      </c>
      <c r="I5728" s="3">
        <v>9.5200000000000007E-2</v>
      </c>
      <c r="J5728" s="3">
        <v>0.90480000000000005</v>
      </c>
    </row>
    <row r="5729" spans="1:10">
      <c r="A5729" t="s">
        <v>199</v>
      </c>
      <c r="B5729" t="s">
        <v>202</v>
      </c>
      <c r="C5729">
        <v>537</v>
      </c>
      <c r="D5729" t="s">
        <v>194</v>
      </c>
      <c r="E5729">
        <v>2675</v>
      </c>
      <c r="G5729" s="3">
        <v>3.0000000000000001E-3</v>
      </c>
      <c r="I5729" s="3">
        <v>1.5100000000000001E-2</v>
      </c>
      <c r="J5729" s="3">
        <v>0.9819</v>
      </c>
    </row>
    <row r="5730" spans="1:10">
      <c r="A5730" t="s">
        <v>199</v>
      </c>
      <c r="B5730" t="s">
        <v>204</v>
      </c>
      <c r="C5730">
        <v>426</v>
      </c>
      <c r="D5730" t="s">
        <v>194</v>
      </c>
      <c r="E5730">
        <v>2675</v>
      </c>
      <c r="I5730" s="3">
        <v>1.5699999999999999E-2</v>
      </c>
      <c r="J5730" s="3">
        <v>0.98429999999999995</v>
      </c>
    </row>
    <row r="5731" spans="1:10">
      <c r="A5731" t="s">
        <v>199</v>
      </c>
      <c r="B5731" t="s">
        <v>205</v>
      </c>
      <c r="C5731">
        <v>505</v>
      </c>
      <c r="D5731" t="s">
        <v>194</v>
      </c>
      <c r="E5731">
        <v>2675</v>
      </c>
      <c r="F5731" s="3">
        <v>1.6999999999999999E-3</v>
      </c>
      <c r="G5731" s="3">
        <v>1.6000000000000001E-3</v>
      </c>
      <c r="I5731" s="3">
        <v>2.1700000000000001E-2</v>
      </c>
      <c r="J5731" s="3">
        <v>0.97499999999999998</v>
      </c>
    </row>
    <row r="5732" spans="1:10">
      <c r="A5732" t="s">
        <v>200</v>
      </c>
      <c r="B5732" t="s">
        <v>200</v>
      </c>
      <c r="C5732">
        <v>2675</v>
      </c>
      <c r="D5732" t="s">
        <v>200</v>
      </c>
      <c r="E5732">
        <v>2675</v>
      </c>
      <c r="F5732" s="3">
        <v>2.0000000000000001E-4</v>
      </c>
      <c r="G5732" s="3">
        <v>1.9E-3</v>
      </c>
      <c r="H5732" s="3">
        <v>1E-4</v>
      </c>
      <c r="I5732" s="3">
        <v>3.78E-2</v>
      </c>
      <c r="J5732" s="3">
        <v>0.96</v>
      </c>
    </row>
    <row r="5734" spans="1:10" ht="45">
      <c r="A5734" s="22" t="s">
        <v>1318</v>
      </c>
    </row>
    <row r="5735" spans="1:10">
      <c r="A5735" t="s">
        <v>185</v>
      </c>
      <c r="B5735" t="s">
        <v>186</v>
      </c>
      <c r="C5735" t="s">
        <v>192</v>
      </c>
      <c r="D5735" t="s">
        <v>184</v>
      </c>
      <c r="E5735" t="s">
        <v>193</v>
      </c>
      <c r="F5735" t="s">
        <v>257</v>
      </c>
      <c r="G5735" t="s">
        <v>1307</v>
      </c>
      <c r="H5735" t="s">
        <v>247</v>
      </c>
      <c r="I5735" t="s">
        <v>1309</v>
      </c>
      <c r="J5735" t="s">
        <v>1310</v>
      </c>
    </row>
    <row r="5736" spans="1:10">
      <c r="A5736" t="s">
        <v>195</v>
      </c>
      <c r="B5736" t="s">
        <v>207</v>
      </c>
      <c r="C5736">
        <v>322</v>
      </c>
      <c r="D5736" t="s">
        <v>194</v>
      </c>
      <c r="E5736">
        <v>2675</v>
      </c>
      <c r="G5736" s="3">
        <v>1.4E-3</v>
      </c>
      <c r="I5736" s="3">
        <v>0.1</v>
      </c>
      <c r="J5736" s="3">
        <v>0.89859999999999995</v>
      </c>
    </row>
    <row r="5737" spans="1:10">
      <c r="A5737" t="s">
        <v>195</v>
      </c>
      <c r="B5737" t="s">
        <v>209</v>
      </c>
      <c r="C5737">
        <v>867</v>
      </c>
      <c r="D5737" t="s">
        <v>194</v>
      </c>
      <c r="E5737">
        <v>2675</v>
      </c>
      <c r="G5737" s="3">
        <v>1.6999999999999999E-3</v>
      </c>
      <c r="H5737" s="3">
        <v>2.9999999999999997E-4</v>
      </c>
      <c r="I5737" s="3">
        <v>5.2299999999999999E-2</v>
      </c>
      <c r="J5737" s="3">
        <v>0.94569999999999999</v>
      </c>
    </row>
    <row r="5738" spans="1:10">
      <c r="A5738" t="s">
        <v>199</v>
      </c>
      <c r="B5738" t="s">
        <v>207</v>
      </c>
      <c r="C5738">
        <v>283</v>
      </c>
      <c r="D5738" t="s">
        <v>194</v>
      </c>
      <c r="E5738">
        <v>2675</v>
      </c>
      <c r="F5738" s="3">
        <v>1.1999999999999999E-3</v>
      </c>
      <c r="G5738" s="3">
        <v>9.1000000000000004E-3</v>
      </c>
      <c r="I5738" s="3">
        <v>3.2500000000000001E-2</v>
      </c>
      <c r="J5738" s="3">
        <v>0.95730000000000004</v>
      </c>
    </row>
    <row r="5739" spans="1:10">
      <c r="A5739" t="s">
        <v>199</v>
      </c>
      <c r="B5739" t="s">
        <v>209</v>
      </c>
      <c r="C5739">
        <v>1203</v>
      </c>
      <c r="D5739" t="s">
        <v>194</v>
      </c>
      <c r="E5739">
        <v>2675</v>
      </c>
      <c r="F5739" s="3">
        <v>2.0000000000000001E-4</v>
      </c>
      <c r="G5739" s="3">
        <v>1.1999999999999999E-3</v>
      </c>
      <c r="I5739" s="3">
        <v>1.41E-2</v>
      </c>
      <c r="J5739" s="3">
        <v>0.98450000000000004</v>
      </c>
    </row>
    <row r="5740" spans="1:10">
      <c r="A5740" t="s">
        <v>200</v>
      </c>
      <c r="B5740" t="s">
        <v>200</v>
      </c>
      <c r="C5740">
        <v>2675</v>
      </c>
      <c r="D5740" t="s">
        <v>200</v>
      </c>
      <c r="E5740">
        <v>2675</v>
      </c>
      <c r="F5740" s="3">
        <v>2.0000000000000001E-4</v>
      </c>
      <c r="G5740" s="3">
        <v>1.9E-3</v>
      </c>
      <c r="H5740" s="3">
        <v>1E-4</v>
      </c>
      <c r="I5740" s="3">
        <v>3.78E-2</v>
      </c>
      <c r="J5740" s="3">
        <v>0.96</v>
      </c>
    </row>
    <row r="5742" spans="1:10" ht="45">
      <c r="A5742" s="22" t="s">
        <v>1319</v>
      </c>
    </row>
    <row r="5743" spans="1:10">
      <c r="A5743" t="s">
        <v>185</v>
      </c>
      <c r="B5743" t="s">
        <v>192</v>
      </c>
      <c r="C5743" t="s">
        <v>184</v>
      </c>
      <c r="D5743" t="s">
        <v>193</v>
      </c>
      <c r="E5743" t="s">
        <v>257</v>
      </c>
      <c r="F5743" t="s">
        <v>1307</v>
      </c>
      <c r="G5743" t="s">
        <v>247</v>
      </c>
      <c r="H5743" t="s">
        <v>1309</v>
      </c>
      <c r="I5743" t="s">
        <v>1310</v>
      </c>
    </row>
    <row r="5744" spans="1:10">
      <c r="A5744" t="s">
        <v>195</v>
      </c>
      <c r="B5744">
        <v>1189</v>
      </c>
      <c r="C5744" t="s">
        <v>194</v>
      </c>
      <c r="D5744">
        <v>2675</v>
      </c>
      <c r="F5744" s="3">
        <v>1.6000000000000001E-3</v>
      </c>
      <c r="G5744" s="3">
        <v>2.0000000000000001E-4</v>
      </c>
      <c r="H5744" s="3">
        <v>6.4600000000000005E-2</v>
      </c>
      <c r="I5744" s="3">
        <v>0.93359999999999999</v>
      </c>
    </row>
    <row r="5745" spans="1:10">
      <c r="A5745" t="s">
        <v>199</v>
      </c>
      <c r="B5745">
        <v>1486</v>
      </c>
      <c r="C5745" t="s">
        <v>194</v>
      </c>
      <c r="D5745">
        <v>2675</v>
      </c>
      <c r="E5745" s="3">
        <v>2.9999999999999997E-4</v>
      </c>
      <c r="F5745" s="3">
        <v>2.2000000000000001E-3</v>
      </c>
      <c r="H5745" s="3">
        <v>1.6299999999999999E-2</v>
      </c>
      <c r="I5745" s="3">
        <v>0.98119999999999996</v>
      </c>
    </row>
    <row r="5746" spans="1:10">
      <c r="A5746" t="s">
        <v>200</v>
      </c>
      <c r="B5746">
        <v>2675</v>
      </c>
      <c r="C5746" t="s">
        <v>200</v>
      </c>
      <c r="D5746">
        <v>2675</v>
      </c>
      <c r="E5746" s="3">
        <v>2.0000000000000001E-4</v>
      </c>
      <c r="F5746" s="3">
        <v>1.9E-3</v>
      </c>
      <c r="G5746" s="3">
        <v>1E-4</v>
      </c>
      <c r="H5746" s="3">
        <v>3.78E-2</v>
      </c>
      <c r="I5746" s="3">
        <v>0.96</v>
      </c>
    </row>
    <row r="5748" spans="1:10" ht="30">
      <c r="A5748" s="22" t="s">
        <v>1320</v>
      </c>
    </row>
    <row r="5749" spans="1:10">
      <c r="A5749" t="s">
        <v>185</v>
      </c>
      <c r="B5749" t="s">
        <v>186</v>
      </c>
      <c r="C5749" t="s">
        <v>192</v>
      </c>
      <c r="D5749" t="s">
        <v>184</v>
      </c>
      <c r="E5749" t="s">
        <v>193</v>
      </c>
      <c r="F5749" t="s">
        <v>257</v>
      </c>
      <c r="G5749" t="s">
        <v>1307</v>
      </c>
      <c r="H5749" t="s">
        <v>247</v>
      </c>
      <c r="I5749" t="s">
        <v>1309</v>
      </c>
      <c r="J5749" t="s">
        <v>1310</v>
      </c>
    </row>
    <row r="5750" spans="1:10">
      <c r="A5750" t="s">
        <v>195</v>
      </c>
      <c r="B5750" t="s">
        <v>212</v>
      </c>
      <c r="C5750">
        <v>873</v>
      </c>
      <c r="D5750" t="s">
        <v>194</v>
      </c>
      <c r="E5750">
        <v>2675</v>
      </c>
      <c r="G5750" s="3">
        <v>1.6999999999999999E-3</v>
      </c>
      <c r="H5750" s="3">
        <v>2.9999999999999997E-4</v>
      </c>
      <c r="I5750" s="3">
        <v>6.5000000000000002E-2</v>
      </c>
      <c r="J5750" s="3">
        <v>0.93300000000000005</v>
      </c>
    </row>
    <row r="5751" spans="1:10">
      <c r="A5751" t="s">
        <v>195</v>
      </c>
      <c r="B5751" t="s">
        <v>214</v>
      </c>
      <c r="C5751">
        <v>181</v>
      </c>
      <c r="D5751" t="s">
        <v>194</v>
      </c>
      <c r="E5751">
        <v>2675</v>
      </c>
      <c r="I5751" s="3">
        <v>2.0500000000000001E-2</v>
      </c>
      <c r="J5751" s="3">
        <v>0.97950000000000004</v>
      </c>
    </row>
    <row r="5752" spans="1:10">
      <c r="A5752" t="s">
        <v>195</v>
      </c>
      <c r="B5752" t="s">
        <v>215</v>
      </c>
      <c r="C5752">
        <v>135</v>
      </c>
      <c r="D5752" t="s">
        <v>194</v>
      </c>
      <c r="E5752">
        <v>2675</v>
      </c>
      <c r="G5752" s="3">
        <v>4.5999999999999999E-3</v>
      </c>
      <c r="I5752" s="3">
        <v>0.14729999999999999</v>
      </c>
      <c r="J5752" s="3">
        <v>0.84809999999999997</v>
      </c>
    </row>
    <row r="5753" spans="1:10">
      <c r="A5753" t="s">
        <v>199</v>
      </c>
      <c r="B5753" t="s">
        <v>212</v>
      </c>
      <c r="C5753">
        <v>1117</v>
      </c>
      <c r="D5753" t="s">
        <v>194</v>
      </c>
      <c r="E5753">
        <v>2675</v>
      </c>
      <c r="F5753" s="3">
        <v>2.0000000000000001E-4</v>
      </c>
      <c r="G5753" s="3">
        <v>4.0000000000000002E-4</v>
      </c>
      <c r="I5753" s="3">
        <v>1.38E-2</v>
      </c>
      <c r="J5753" s="3">
        <v>0.98560000000000003</v>
      </c>
    </row>
    <row r="5754" spans="1:10">
      <c r="A5754" t="s">
        <v>199</v>
      </c>
      <c r="B5754" t="s">
        <v>214</v>
      </c>
      <c r="C5754">
        <v>196</v>
      </c>
      <c r="D5754" t="s">
        <v>194</v>
      </c>
      <c r="E5754">
        <v>2675</v>
      </c>
      <c r="F5754" s="3">
        <v>8.9999999999999998E-4</v>
      </c>
      <c r="G5754" s="3">
        <v>7.0000000000000001E-3</v>
      </c>
      <c r="I5754" s="3">
        <v>1.17E-2</v>
      </c>
      <c r="J5754" s="3">
        <v>0.98040000000000005</v>
      </c>
    </row>
    <row r="5755" spans="1:10">
      <c r="A5755" t="s">
        <v>199</v>
      </c>
      <c r="B5755" t="s">
        <v>215</v>
      </c>
      <c r="C5755">
        <v>173</v>
      </c>
      <c r="D5755" t="s">
        <v>194</v>
      </c>
      <c r="E5755">
        <v>2675</v>
      </c>
      <c r="G5755" s="3">
        <v>9.9000000000000008E-3</v>
      </c>
      <c r="I5755" s="3">
        <v>4.7800000000000002E-2</v>
      </c>
      <c r="J5755" s="3">
        <v>0.94230000000000003</v>
      </c>
    </row>
    <row r="5756" spans="1:10">
      <c r="A5756" t="s">
        <v>200</v>
      </c>
      <c r="B5756" t="s">
        <v>200</v>
      </c>
      <c r="C5756">
        <v>2675</v>
      </c>
      <c r="D5756" t="s">
        <v>200</v>
      </c>
      <c r="E5756">
        <v>2675</v>
      </c>
      <c r="F5756" s="3">
        <v>2.0000000000000001E-4</v>
      </c>
      <c r="G5756" s="3">
        <v>1.9E-3</v>
      </c>
      <c r="H5756" s="3">
        <v>1E-4</v>
      </c>
      <c r="I5756" s="3">
        <v>3.78E-2</v>
      </c>
      <c r="J5756" s="3">
        <v>0.96</v>
      </c>
    </row>
    <row r="5758" spans="1:10" ht="45">
      <c r="A5758" s="22" t="s">
        <v>1321</v>
      </c>
    </row>
    <row r="5759" spans="1:10">
      <c r="A5759" t="s">
        <v>185</v>
      </c>
      <c r="B5759" t="s">
        <v>186</v>
      </c>
      <c r="C5759" t="s">
        <v>192</v>
      </c>
      <c r="D5759" t="s">
        <v>184</v>
      </c>
      <c r="E5759" t="s">
        <v>193</v>
      </c>
      <c r="F5759" t="s">
        <v>257</v>
      </c>
      <c r="G5759" t="s">
        <v>1307</v>
      </c>
      <c r="H5759" t="s">
        <v>247</v>
      </c>
      <c r="I5759" t="s">
        <v>1309</v>
      </c>
      <c r="J5759" t="s">
        <v>1310</v>
      </c>
    </row>
    <row r="5760" spans="1:10">
      <c r="A5760" t="s">
        <v>195</v>
      </c>
      <c r="B5760" t="s">
        <v>217</v>
      </c>
      <c r="C5760">
        <v>499</v>
      </c>
      <c r="D5760" t="s">
        <v>194</v>
      </c>
      <c r="E5760">
        <v>2675</v>
      </c>
      <c r="G5760" s="3">
        <v>3.0000000000000001E-3</v>
      </c>
      <c r="I5760" s="3">
        <v>7.8700000000000006E-2</v>
      </c>
      <c r="J5760" s="3">
        <v>0.91830000000000001</v>
      </c>
    </row>
    <row r="5761" spans="1:12">
      <c r="A5761" t="s">
        <v>195</v>
      </c>
      <c r="B5761" t="s">
        <v>219</v>
      </c>
      <c r="C5761">
        <v>507</v>
      </c>
      <c r="D5761" t="s">
        <v>194</v>
      </c>
      <c r="E5761">
        <v>2675</v>
      </c>
      <c r="H5761" s="3">
        <v>5.9999999999999995E-4</v>
      </c>
      <c r="I5761" s="3">
        <v>6.2799999999999995E-2</v>
      </c>
      <c r="J5761" s="3">
        <v>0.93659999999999999</v>
      </c>
    </row>
    <row r="5762" spans="1:12">
      <c r="A5762" t="s">
        <v>195</v>
      </c>
      <c r="B5762" t="s">
        <v>220</v>
      </c>
      <c r="C5762">
        <v>182</v>
      </c>
      <c r="D5762" t="s">
        <v>194</v>
      </c>
      <c r="E5762">
        <v>2675</v>
      </c>
      <c r="G5762" s="3">
        <v>1.9E-3</v>
      </c>
      <c r="I5762" s="3">
        <v>3.6600000000000001E-2</v>
      </c>
      <c r="J5762" s="3">
        <v>0.96150000000000002</v>
      </c>
    </row>
    <row r="5763" spans="1:12">
      <c r="A5763" t="s">
        <v>199</v>
      </c>
      <c r="B5763" t="s">
        <v>217</v>
      </c>
      <c r="C5763">
        <v>813</v>
      </c>
      <c r="D5763" t="s">
        <v>194</v>
      </c>
      <c r="E5763">
        <v>2675</v>
      </c>
      <c r="F5763" s="3">
        <v>2.0000000000000001E-4</v>
      </c>
      <c r="G5763" s="3">
        <v>5.0000000000000001E-4</v>
      </c>
      <c r="I5763" s="3">
        <v>1.4800000000000001E-2</v>
      </c>
      <c r="J5763" s="3">
        <v>0.98450000000000004</v>
      </c>
    </row>
    <row r="5764" spans="1:12">
      <c r="A5764" t="s">
        <v>199</v>
      </c>
      <c r="B5764" t="s">
        <v>219</v>
      </c>
      <c r="C5764">
        <v>451</v>
      </c>
      <c r="D5764" t="s">
        <v>194</v>
      </c>
      <c r="E5764">
        <v>2675</v>
      </c>
      <c r="F5764" s="3">
        <v>5.9999999999999995E-4</v>
      </c>
      <c r="G5764" s="3">
        <v>7.7000000000000002E-3</v>
      </c>
      <c r="I5764" s="3">
        <v>1.7899999999999999E-2</v>
      </c>
      <c r="J5764" s="3">
        <v>0.97389999999999999</v>
      </c>
    </row>
    <row r="5765" spans="1:12">
      <c r="A5765" t="s">
        <v>199</v>
      </c>
      <c r="B5765" t="s">
        <v>220</v>
      </c>
      <c r="C5765">
        <v>222</v>
      </c>
      <c r="D5765" t="s">
        <v>194</v>
      </c>
      <c r="E5765">
        <v>2675</v>
      </c>
      <c r="I5765" s="3">
        <v>1.9900000000000001E-2</v>
      </c>
      <c r="J5765" s="3">
        <v>0.98009999999999997</v>
      </c>
    </row>
    <row r="5766" spans="1:12">
      <c r="A5766" t="s">
        <v>200</v>
      </c>
      <c r="B5766" t="s">
        <v>200</v>
      </c>
      <c r="C5766">
        <v>2675</v>
      </c>
      <c r="D5766" t="s">
        <v>200</v>
      </c>
      <c r="E5766">
        <v>2675</v>
      </c>
      <c r="F5766" s="3">
        <v>2.0000000000000001E-4</v>
      </c>
      <c r="G5766" s="3">
        <v>1.9E-3</v>
      </c>
      <c r="H5766" s="3">
        <v>1E-4</v>
      </c>
      <c r="I5766" s="3">
        <v>3.78E-2</v>
      </c>
      <c r="J5766" s="3">
        <v>0.96</v>
      </c>
    </row>
    <row r="5768" spans="1:12" ht="30">
      <c r="A5768" s="22" t="s">
        <v>1322</v>
      </c>
    </row>
    <row r="5769" spans="1:12">
      <c r="A5769" t="s">
        <v>185</v>
      </c>
      <c r="B5769" t="s">
        <v>186</v>
      </c>
      <c r="C5769" t="s">
        <v>192</v>
      </c>
      <c r="D5769" t="s">
        <v>184</v>
      </c>
      <c r="E5769" t="s">
        <v>193</v>
      </c>
      <c r="F5769" t="s">
        <v>1323</v>
      </c>
      <c r="G5769" t="s">
        <v>1324</v>
      </c>
      <c r="H5769" t="s">
        <v>257</v>
      </c>
      <c r="I5769" t="s">
        <v>1325</v>
      </c>
      <c r="J5769" t="s">
        <v>1326</v>
      </c>
      <c r="K5769" t="s">
        <v>329</v>
      </c>
      <c r="L5769" t="s">
        <v>1327</v>
      </c>
    </row>
    <row r="5770" spans="1:12">
      <c r="A5770" t="s">
        <v>195</v>
      </c>
      <c r="B5770" t="s">
        <v>196</v>
      </c>
      <c r="C5770">
        <v>412</v>
      </c>
      <c r="D5770" t="s">
        <v>194</v>
      </c>
      <c r="E5770">
        <v>2676</v>
      </c>
      <c r="F5770" s="3">
        <v>1.09E-2</v>
      </c>
      <c r="G5770" s="3">
        <v>0.1731</v>
      </c>
      <c r="H5770" s="3">
        <v>1.6000000000000001E-3</v>
      </c>
      <c r="I5770" s="3">
        <v>7.3800000000000004E-2</v>
      </c>
      <c r="J5770" s="3">
        <v>0.42470000000000002</v>
      </c>
      <c r="L5770" s="3">
        <v>0.4919</v>
      </c>
    </row>
    <row r="5771" spans="1:12">
      <c r="A5771" t="s">
        <v>195</v>
      </c>
      <c r="B5771" t="s">
        <v>198</v>
      </c>
      <c r="C5771">
        <v>755</v>
      </c>
      <c r="D5771" t="s">
        <v>194</v>
      </c>
      <c r="E5771">
        <v>2676</v>
      </c>
      <c r="F5771" s="3">
        <v>3.0000000000000001E-3</v>
      </c>
      <c r="G5771" s="3">
        <v>0.67069999999999996</v>
      </c>
      <c r="H5771" s="3">
        <v>3.3E-3</v>
      </c>
      <c r="I5771" s="3">
        <v>7.2499999999999995E-2</v>
      </c>
      <c r="J5771" s="3">
        <v>0.2213</v>
      </c>
      <c r="K5771" s="3">
        <v>4.5999999999999999E-3</v>
      </c>
      <c r="L5771" s="3">
        <v>7.2400000000000006E-2</v>
      </c>
    </row>
    <row r="5772" spans="1:12">
      <c r="A5772" t="s">
        <v>199</v>
      </c>
      <c r="B5772" t="s">
        <v>196</v>
      </c>
      <c r="C5772">
        <v>525</v>
      </c>
      <c r="D5772" t="s">
        <v>194</v>
      </c>
      <c r="E5772">
        <v>2676</v>
      </c>
      <c r="F5772" s="3">
        <v>1.9099999999999999E-2</v>
      </c>
      <c r="G5772" s="3">
        <v>0.24660000000000001</v>
      </c>
      <c r="H5772" s="3">
        <v>5.9999999999999995E-4</v>
      </c>
      <c r="I5772" s="3">
        <v>8.5400000000000004E-2</v>
      </c>
      <c r="J5772" s="3">
        <v>0.41349999999999998</v>
      </c>
      <c r="L5772" s="3">
        <v>0.40039999999999998</v>
      </c>
    </row>
    <row r="5773" spans="1:12">
      <c r="A5773" t="s">
        <v>199</v>
      </c>
      <c r="B5773" t="s">
        <v>198</v>
      </c>
      <c r="C5773">
        <v>945</v>
      </c>
      <c r="D5773" t="s">
        <v>194</v>
      </c>
      <c r="E5773">
        <v>2676</v>
      </c>
      <c r="F5773" s="3">
        <v>4.8999999999999998E-3</v>
      </c>
      <c r="G5773" s="3">
        <v>0.70520000000000005</v>
      </c>
      <c r="H5773" s="3">
        <v>2.9999999999999997E-4</v>
      </c>
      <c r="I5773" s="3">
        <v>5.2499999999999998E-2</v>
      </c>
      <c r="J5773" s="3">
        <v>0.22639999999999999</v>
      </c>
      <c r="K5773" s="3">
        <v>2.8E-3</v>
      </c>
      <c r="L5773" s="3">
        <v>6.1899999999999997E-2</v>
      </c>
    </row>
    <row r="5774" spans="1:12">
      <c r="A5774" t="s">
        <v>200</v>
      </c>
      <c r="B5774" t="s">
        <v>200</v>
      </c>
      <c r="C5774">
        <v>2676</v>
      </c>
      <c r="D5774" t="s">
        <v>200</v>
      </c>
      <c r="E5774">
        <v>2676</v>
      </c>
      <c r="F5774" s="3">
        <v>6.4999999999999997E-3</v>
      </c>
      <c r="G5774" s="3">
        <v>0.58250000000000002</v>
      </c>
      <c r="H5774" s="3">
        <v>1.4E-3</v>
      </c>
      <c r="I5774" s="3">
        <v>6.4899999999999999E-2</v>
      </c>
      <c r="J5774" s="3">
        <v>0.2681</v>
      </c>
      <c r="K5774" s="3">
        <v>2.7000000000000001E-3</v>
      </c>
      <c r="L5774" s="3">
        <v>0.15160000000000001</v>
      </c>
    </row>
    <row r="5776" spans="1:12" ht="45">
      <c r="A5776" s="22" t="s">
        <v>1328</v>
      </c>
    </row>
    <row r="5777" spans="1:12">
      <c r="A5777" t="s">
        <v>185</v>
      </c>
      <c r="B5777" t="s">
        <v>186</v>
      </c>
      <c r="C5777" t="s">
        <v>192</v>
      </c>
      <c r="D5777" t="s">
        <v>184</v>
      </c>
      <c r="E5777" t="s">
        <v>193</v>
      </c>
      <c r="F5777" t="s">
        <v>1323</v>
      </c>
      <c r="G5777" t="s">
        <v>1324</v>
      </c>
      <c r="H5777" t="s">
        <v>257</v>
      </c>
      <c r="I5777" t="s">
        <v>1325</v>
      </c>
      <c r="J5777" t="s">
        <v>1326</v>
      </c>
      <c r="K5777" t="s">
        <v>329</v>
      </c>
      <c r="L5777" t="s">
        <v>1327</v>
      </c>
    </row>
    <row r="5778" spans="1:12">
      <c r="A5778" t="s">
        <v>195</v>
      </c>
      <c r="B5778" t="s">
        <v>202</v>
      </c>
      <c r="C5778">
        <v>533</v>
      </c>
      <c r="D5778" t="s">
        <v>194</v>
      </c>
      <c r="E5778">
        <v>2676</v>
      </c>
      <c r="F5778" s="3">
        <v>4.4000000000000003E-3</v>
      </c>
      <c r="G5778" s="3">
        <v>0.52459999999999996</v>
      </c>
      <c r="H5778" s="3">
        <v>1.6000000000000001E-3</v>
      </c>
      <c r="I5778" s="3">
        <v>8.6199999999999999E-2</v>
      </c>
      <c r="J5778" s="3">
        <v>0.30020000000000002</v>
      </c>
      <c r="K5778" s="3">
        <v>8.0000000000000004E-4</v>
      </c>
      <c r="L5778" s="3">
        <v>0.16370000000000001</v>
      </c>
    </row>
    <row r="5779" spans="1:12">
      <c r="A5779" t="s">
        <v>195</v>
      </c>
      <c r="B5779" t="s">
        <v>204</v>
      </c>
      <c r="C5779">
        <v>300</v>
      </c>
      <c r="D5779" t="s">
        <v>194</v>
      </c>
      <c r="E5779">
        <v>2676</v>
      </c>
      <c r="F5779" s="3">
        <v>3.3E-3</v>
      </c>
      <c r="G5779" s="3">
        <v>0.55000000000000004</v>
      </c>
      <c r="H5779" s="3">
        <v>6.1000000000000004E-3</v>
      </c>
      <c r="I5779" s="3">
        <v>4.5499999999999999E-2</v>
      </c>
      <c r="J5779" s="3">
        <v>0.25159999999999999</v>
      </c>
      <c r="K5779" s="3">
        <v>1.32E-2</v>
      </c>
      <c r="L5779" s="3">
        <v>0.22439999999999999</v>
      </c>
    </row>
    <row r="5780" spans="1:12">
      <c r="A5780" t="s">
        <v>195</v>
      </c>
      <c r="B5780" t="s">
        <v>205</v>
      </c>
      <c r="C5780">
        <v>334</v>
      </c>
      <c r="D5780" t="s">
        <v>194</v>
      </c>
      <c r="E5780">
        <v>2676</v>
      </c>
      <c r="F5780" s="3">
        <v>1.09E-2</v>
      </c>
      <c r="G5780" s="3">
        <v>0.58130000000000004</v>
      </c>
      <c r="H5780" s="3">
        <v>3.2000000000000002E-3</v>
      </c>
      <c r="I5780" s="3">
        <v>5.2299999999999999E-2</v>
      </c>
      <c r="J5780" s="3">
        <v>0.19589999999999999</v>
      </c>
      <c r="L5780" s="3">
        <v>0.2208</v>
      </c>
    </row>
    <row r="5781" spans="1:12">
      <c r="A5781" t="s">
        <v>199</v>
      </c>
      <c r="B5781" t="s">
        <v>202</v>
      </c>
      <c r="C5781">
        <v>538</v>
      </c>
      <c r="D5781" t="s">
        <v>194</v>
      </c>
      <c r="E5781">
        <v>2676</v>
      </c>
      <c r="F5781" s="3">
        <v>6.0000000000000001E-3</v>
      </c>
      <c r="G5781" s="3">
        <v>0.65080000000000005</v>
      </c>
      <c r="I5781" s="3">
        <v>6.6400000000000001E-2</v>
      </c>
      <c r="J5781" s="3">
        <v>0.23849999999999999</v>
      </c>
      <c r="K5781" s="3">
        <v>6.9999999999999999E-4</v>
      </c>
      <c r="L5781" s="3">
        <v>0.11269999999999999</v>
      </c>
    </row>
    <row r="5782" spans="1:12">
      <c r="A5782" t="s">
        <v>199</v>
      </c>
      <c r="B5782" t="s">
        <v>204</v>
      </c>
      <c r="C5782">
        <v>426</v>
      </c>
      <c r="D5782" t="s">
        <v>194</v>
      </c>
      <c r="E5782">
        <v>2676</v>
      </c>
      <c r="F5782" s="3">
        <v>1.0999999999999999E-2</v>
      </c>
      <c r="G5782" s="3">
        <v>0.46700000000000003</v>
      </c>
      <c r="H5782" s="3">
        <v>1.6000000000000001E-3</v>
      </c>
      <c r="I5782" s="3">
        <v>3.6600000000000001E-2</v>
      </c>
      <c r="J5782" s="3">
        <v>0.4037</v>
      </c>
      <c r="K5782" s="3">
        <v>8.8000000000000005E-3</v>
      </c>
      <c r="L5782" s="3">
        <v>0.1623</v>
      </c>
    </row>
    <row r="5783" spans="1:12">
      <c r="A5783" t="s">
        <v>199</v>
      </c>
      <c r="B5783" t="s">
        <v>205</v>
      </c>
      <c r="C5783">
        <v>506</v>
      </c>
      <c r="D5783" t="s">
        <v>194</v>
      </c>
      <c r="E5783">
        <v>2676</v>
      </c>
      <c r="F5783" s="3">
        <v>9.2999999999999992E-3</v>
      </c>
      <c r="G5783" s="3">
        <v>0.68049999999999999</v>
      </c>
      <c r="I5783" s="3">
        <v>5.4600000000000003E-2</v>
      </c>
      <c r="J5783" s="3">
        <v>0.18260000000000001</v>
      </c>
      <c r="K5783" s="3">
        <v>8.0000000000000004E-4</v>
      </c>
      <c r="L5783" s="3">
        <v>0.12640000000000001</v>
      </c>
    </row>
    <row r="5784" spans="1:12">
      <c r="A5784" t="s">
        <v>200</v>
      </c>
      <c r="B5784" t="s">
        <v>200</v>
      </c>
      <c r="C5784">
        <v>2676</v>
      </c>
      <c r="D5784" t="s">
        <v>200</v>
      </c>
      <c r="E5784">
        <v>2676</v>
      </c>
      <c r="F5784" s="3">
        <v>6.4999999999999997E-3</v>
      </c>
      <c r="G5784" s="3">
        <v>0.58250000000000002</v>
      </c>
      <c r="H5784" s="3">
        <v>1.4E-3</v>
      </c>
      <c r="I5784" s="3">
        <v>6.4899999999999999E-2</v>
      </c>
      <c r="J5784" s="3">
        <v>0.2681</v>
      </c>
      <c r="K5784" s="3">
        <v>2.7000000000000001E-3</v>
      </c>
      <c r="L5784" s="3">
        <v>0.15160000000000001</v>
      </c>
    </row>
    <row r="5786" spans="1:12" ht="45">
      <c r="A5786" s="22" t="s">
        <v>1329</v>
      </c>
    </row>
    <row r="5787" spans="1:12">
      <c r="A5787" t="s">
        <v>185</v>
      </c>
      <c r="B5787" t="s">
        <v>186</v>
      </c>
      <c r="C5787" t="s">
        <v>192</v>
      </c>
      <c r="D5787" t="s">
        <v>184</v>
      </c>
      <c r="E5787" t="s">
        <v>193</v>
      </c>
      <c r="F5787" t="s">
        <v>1323</v>
      </c>
      <c r="G5787" t="s">
        <v>1324</v>
      </c>
      <c r="H5787" t="s">
        <v>257</v>
      </c>
      <c r="I5787" t="s">
        <v>1325</v>
      </c>
      <c r="J5787" t="s">
        <v>1326</v>
      </c>
      <c r="K5787" t="s">
        <v>329</v>
      </c>
      <c r="L5787" t="s">
        <v>1327</v>
      </c>
    </row>
    <row r="5788" spans="1:12">
      <c r="A5788" t="s">
        <v>195</v>
      </c>
      <c r="B5788" t="s">
        <v>207</v>
      </c>
      <c r="C5788">
        <v>321</v>
      </c>
      <c r="D5788" t="s">
        <v>194</v>
      </c>
      <c r="E5788">
        <v>2676</v>
      </c>
      <c r="F5788" s="3">
        <v>1.8E-3</v>
      </c>
      <c r="G5788" s="3">
        <v>0.50090000000000001</v>
      </c>
      <c r="H5788" s="3">
        <v>7.7999999999999996E-3</v>
      </c>
      <c r="I5788" s="3">
        <v>9.3799999999999994E-2</v>
      </c>
      <c r="J5788" s="3">
        <v>0.29149999999999998</v>
      </c>
      <c r="K5788" s="3">
        <v>2E-3</v>
      </c>
      <c r="L5788" s="3">
        <v>0.2452</v>
      </c>
    </row>
    <row r="5789" spans="1:12">
      <c r="A5789" t="s">
        <v>195</v>
      </c>
      <c r="B5789" t="s">
        <v>209</v>
      </c>
      <c r="C5789">
        <v>867</v>
      </c>
      <c r="D5789" t="s">
        <v>194</v>
      </c>
      <c r="E5789">
        <v>2676</v>
      </c>
      <c r="F5789" s="3">
        <v>6.4000000000000003E-3</v>
      </c>
      <c r="G5789" s="3">
        <v>0.54810000000000003</v>
      </c>
      <c r="H5789" s="3">
        <v>1.1000000000000001E-3</v>
      </c>
      <c r="I5789" s="3">
        <v>6.5699999999999995E-2</v>
      </c>
      <c r="J5789" s="3">
        <v>0.27150000000000002</v>
      </c>
      <c r="K5789" s="3">
        <v>3.8E-3</v>
      </c>
      <c r="L5789" s="3">
        <v>0.16420000000000001</v>
      </c>
    </row>
    <row r="5790" spans="1:12">
      <c r="A5790" t="s">
        <v>199</v>
      </c>
      <c r="B5790" t="s">
        <v>207</v>
      </c>
      <c r="C5790">
        <v>283</v>
      </c>
      <c r="D5790" t="s">
        <v>194</v>
      </c>
      <c r="E5790">
        <v>2676</v>
      </c>
      <c r="F5790" s="3">
        <v>5.3E-3</v>
      </c>
      <c r="G5790" s="3">
        <v>0.64400000000000002</v>
      </c>
      <c r="H5790" s="3">
        <v>1E-3</v>
      </c>
      <c r="I5790" s="3">
        <v>3.0700000000000002E-2</v>
      </c>
      <c r="J5790" s="3">
        <v>0.1913</v>
      </c>
      <c r="K5790" s="3">
        <v>1.1999999999999999E-3</v>
      </c>
      <c r="L5790" s="3">
        <v>0.2205</v>
      </c>
    </row>
    <row r="5791" spans="1:12">
      <c r="A5791" t="s">
        <v>199</v>
      </c>
      <c r="B5791" t="s">
        <v>209</v>
      </c>
      <c r="C5791">
        <v>1205</v>
      </c>
      <c r="D5791" t="s">
        <v>194</v>
      </c>
      <c r="E5791">
        <v>2676</v>
      </c>
      <c r="F5791" s="3">
        <v>7.7999999999999996E-3</v>
      </c>
      <c r="G5791" s="3">
        <v>0.61639999999999995</v>
      </c>
      <c r="H5791" s="3">
        <v>2.0000000000000001E-4</v>
      </c>
      <c r="I5791" s="3">
        <v>6.2399999999999997E-2</v>
      </c>
      <c r="J5791" s="3">
        <v>0.27110000000000001</v>
      </c>
      <c r="K5791" s="3">
        <v>2.3999999999999998E-3</v>
      </c>
      <c r="L5791" s="3">
        <v>0.1116</v>
      </c>
    </row>
    <row r="5792" spans="1:12">
      <c r="A5792" t="s">
        <v>200</v>
      </c>
      <c r="B5792" t="s">
        <v>200</v>
      </c>
      <c r="C5792">
        <v>2676</v>
      </c>
      <c r="D5792" t="s">
        <v>200</v>
      </c>
      <c r="E5792">
        <v>2676</v>
      </c>
      <c r="F5792" s="3">
        <v>6.4999999999999997E-3</v>
      </c>
      <c r="G5792" s="3">
        <v>0.58250000000000002</v>
      </c>
      <c r="H5792" s="3">
        <v>1.4E-3</v>
      </c>
      <c r="I5792" s="3">
        <v>6.4899999999999999E-2</v>
      </c>
      <c r="J5792" s="3">
        <v>0.2681</v>
      </c>
      <c r="K5792" s="3">
        <v>2.7000000000000001E-3</v>
      </c>
      <c r="L5792" s="3">
        <v>0.15160000000000001</v>
      </c>
    </row>
    <row r="5794" spans="1:12" ht="45">
      <c r="A5794" s="22" t="s">
        <v>1330</v>
      </c>
    </row>
    <row r="5795" spans="1:12">
      <c r="A5795" t="s">
        <v>185</v>
      </c>
      <c r="B5795" t="s">
        <v>192</v>
      </c>
      <c r="C5795" t="s">
        <v>184</v>
      </c>
      <c r="D5795" t="s">
        <v>193</v>
      </c>
      <c r="E5795" t="s">
        <v>1323</v>
      </c>
      <c r="F5795" t="s">
        <v>1324</v>
      </c>
      <c r="G5795" t="s">
        <v>257</v>
      </c>
      <c r="H5795" t="s">
        <v>1325</v>
      </c>
      <c r="I5795" t="s">
        <v>1326</v>
      </c>
      <c r="J5795" t="s">
        <v>329</v>
      </c>
      <c r="K5795" t="s">
        <v>1327</v>
      </c>
    </row>
    <row r="5796" spans="1:12">
      <c r="A5796" t="s">
        <v>195</v>
      </c>
      <c r="B5796">
        <v>1188</v>
      </c>
      <c r="C5796" t="s">
        <v>194</v>
      </c>
      <c r="D5796">
        <v>2676</v>
      </c>
      <c r="E5796" s="3">
        <v>5.1999999999999998E-3</v>
      </c>
      <c r="F5796" s="3">
        <v>0.53600000000000003</v>
      </c>
      <c r="G5796" s="3">
        <v>2.8E-3</v>
      </c>
      <c r="H5796" s="3">
        <v>7.2900000000000006E-2</v>
      </c>
      <c r="I5796" s="3">
        <v>0.27660000000000001</v>
      </c>
      <c r="J5796" s="3">
        <v>3.3E-3</v>
      </c>
      <c r="K5796" s="3">
        <v>0.185</v>
      </c>
    </row>
    <row r="5797" spans="1:12">
      <c r="A5797" t="s">
        <v>199</v>
      </c>
      <c r="B5797">
        <v>1488</v>
      </c>
      <c r="C5797" t="s">
        <v>194</v>
      </c>
      <c r="D5797">
        <v>2676</v>
      </c>
      <c r="E5797" s="3">
        <v>7.4999999999999997E-3</v>
      </c>
      <c r="F5797" s="3">
        <v>0.61970000000000003</v>
      </c>
      <c r="G5797" s="3">
        <v>2.9999999999999997E-4</v>
      </c>
      <c r="H5797" s="3">
        <v>5.8500000000000003E-2</v>
      </c>
      <c r="I5797" s="3">
        <v>0.26140000000000002</v>
      </c>
      <c r="J5797" s="3">
        <v>2.3E-3</v>
      </c>
      <c r="K5797" s="3">
        <v>0.1249</v>
      </c>
    </row>
    <row r="5798" spans="1:12">
      <c r="A5798" t="s">
        <v>200</v>
      </c>
      <c r="B5798">
        <v>2676</v>
      </c>
      <c r="C5798" t="s">
        <v>200</v>
      </c>
      <c r="D5798">
        <v>2676</v>
      </c>
      <c r="E5798" s="3">
        <v>6.4999999999999997E-3</v>
      </c>
      <c r="F5798" s="3">
        <v>0.58250000000000002</v>
      </c>
      <c r="G5798" s="3">
        <v>1.4E-3</v>
      </c>
      <c r="H5798" s="3">
        <v>6.4899999999999999E-2</v>
      </c>
      <c r="I5798" s="3">
        <v>0.2681</v>
      </c>
      <c r="J5798" s="3">
        <v>2.7000000000000001E-3</v>
      </c>
      <c r="K5798" s="3">
        <v>0.15160000000000001</v>
      </c>
    </row>
    <row r="5800" spans="1:12" ht="30">
      <c r="A5800" s="22" t="s">
        <v>1331</v>
      </c>
    </row>
    <row r="5801" spans="1:12">
      <c r="A5801" t="s">
        <v>185</v>
      </c>
      <c r="B5801" t="s">
        <v>186</v>
      </c>
      <c r="C5801" t="s">
        <v>192</v>
      </c>
      <c r="D5801" t="s">
        <v>184</v>
      </c>
      <c r="E5801" t="s">
        <v>193</v>
      </c>
      <c r="F5801" t="s">
        <v>1323</v>
      </c>
      <c r="G5801" t="s">
        <v>1324</v>
      </c>
      <c r="H5801" t="s">
        <v>257</v>
      </c>
      <c r="I5801" t="s">
        <v>1325</v>
      </c>
      <c r="J5801" t="s">
        <v>1326</v>
      </c>
      <c r="K5801" t="s">
        <v>329</v>
      </c>
      <c r="L5801" t="s">
        <v>1327</v>
      </c>
    </row>
    <row r="5802" spans="1:12">
      <c r="A5802" t="s">
        <v>195</v>
      </c>
      <c r="B5802" t="s">
        <v>212</v>
      </c>
      <c r="C5802">
        <v>872</v>
      </c>
      <c r="D5802" t="s">
        <v>194</v>
      </c>
      <c r="E5802">
        <v>2676</v>
      </c>
      <c r="F5802" s="3">
        <v>5.5999999999999999E-3</v>
      </c>
      <c r="G5802" s="3">
        <v>0.56010000000000004</v>
      </c>
      <c r="H5802" s="3">
        <v>8.0000000000000004E-4</v>
      </c>
      <c r="I5802" s="3">
        <v>6.4799999999999996E-2</v>
      </c>
      <c r="J5802" s="3">
        <v>0.2732</v>
      </c>
      <c r="K5802" s="3">
        <v>3.5999999999999999E-3</v>
      </c>
      <c r="L5802" s="3">
        <v>0.17699999999999999</v>
      </c>
    </row>
    <row r="5803" spans="1:12">
      <c r="A5803" t="s">
        <v>195</v>
      </c>
      <c r="B5803" t="s">
        <v>214</v>
      </c>
      <c r="C5803">
        <v>181</v>
      </c>
      <c r="D5803" t="s">
        <v>194</v>
      </c>
      <c r="E5803">
        <v>2676</v>
      </c>
      <c r="F5803" s="3">
        <v>8.9999999999999998E-4</v>
      </c>
      <c r="G5803" s="3">
        <v>0.50360000000000005</v>
      </c>
      <c r="H5803" s="3">
        <v>1.35E-2</v>
      </c>
      <c r="I5803" s="3">
        <v>9.9000000000000005E-2</v>
      </c>
      <c r="J5803" s="3">
        <v>0.28029999999999999</v>
      </c>
      <c r="K5803" s="3">
        <v>3.2000000000000002E-3</v>
      </c>
      <c r="L5803" s="3">
        <v>0.1842</v>
      </c>
    </row>
    <row r="5804" spans="1:12">
      <c r="A5804" t="s">
        <v>195</v>
      </c>
      <c r="B5804" t="s">
        <v>215</v>
      </c>
      <c r="C5804">
        <v>135</v>
      </c>
      <c r="D5804" t="s">
        <v>194</v>
      </c>
      <c r="E5804">
        <v>2676</v>
      </c>
      <c r="F5804" s="3">
        <v>9.9000000000000008E-3</v>
      </c>
      <c r="G5804" s="3">
        <v>0.38400000000000001</v>
      </c>
      <c r="I5804" s="3">
        <v>9.4700000000000006E-2</v>
      </c>
      <c r="J5804" s="3">
        <v>0.30049999999999999</v>
      </c>
      <c r="K5804" s="3">
        <v>1.4E-3</v>
      </c>
      <c r="L5804" s="3">
        <v>0.25829999999999997</v>
      </c>
    </row>
    <row r="5805" spans="1:12">
      <c r="A5805" t="s">
        <v>199</v>
      </c>
      <c r="B5805" t="s">
        <v>212</v>
      </c>
      <c r="C5805">
        <v>1118</v>
      </c>
      <c r="D5805" t="s">
        <v>194</v>
      </c>
      <c r="E5805">
        <v>2676</v>
      </c>
      <c r="F5805" s="3">
        <v>8.5000000000000006E-3</v>
      </c>
      <c r="G5805" s="3">
        <v>0.61960000000000004</v>
      </c>
      <c r="H5805" s="3">
        <v>2.0000000000000001E-4</v>
      </c>
      <c r="I5805" s="3">
        <v>6.6400000000000001E-2</v>
      </c>
      <c r="J5805" s="3">
        <v>0.26450000000000001</v>
      </c>
      <c r="K5805" s="3">
        <v>2.2000000000000001E-3</v>
      </c>
      <c r="L5805" s="3">
        <v>0.1084</v>
      </c>
    </row>
    <row r="5806" spans="1:12">
      <c r="A5806" t="s">
        <v>199</v>
      </c>
      <c r="B5806" t="s">
        <v>214</v>
      </c>
      <c r="C5806">
        <v>197</v>
      </c>
      <c r="D5806" t="s">
        <v>194</v>
      </c>
      <c r="E5806">
        <v>2676</v>
      </c>
      <c r="F5806" s="3">
        <v>3.0999999999999999E-3</v>
      </c>
      <c r="G5806" s="3">
        <v>0.72789999999999999</v>
      </c>
      <c r="H5806" s="3">
        <v>1.2999999999999999E-3</v>
      </c>
      <c r="I5806" s="3">
        <v>2.0799999999999999E-2</v>
      </c>
      <c r="J5806" s="3">
        <v>0.2001</v>
      </c>
      <c r="K5806" s="3">
        <v>8.9999999999999998E-4</v>
      </c>
      <c r="L5806" s="3">
        <v>8.6400000000000005E-2</v>
      </c>
    </row>
    <row r="5807" spans="1:12">
      <c r="A5807" t="s">
        <v>199</v>
      </c>
      <c r="B5807" t="s">
        <v>215</v>
      </c>
      <c r="C5807">
        <v>173</v>
      </c>
      <c r="D5807" t="s">
        <v>194</v>
      </c>
      <c r="E5807">
        <v>2676</v>
      </c>
      <c r="F5807" s="3">
        <v>6.7000000000000002E-3</v>
      </c>
      <c r="G5807" s="3">
        <v>0.4254</v>
      </c>
      <c r="I5807" s="3">
        <v>5.4899999999999997E-2</v>
      </c>
      <c r="J5807" s="3">
        <v>0.34289999999999998</v>
      </c>
      <c r="K5807" s="3">
        <v>5.1999999999999998E-3</v>
      </c>
      <c r="L5807" s="3">
        <v>0.34399999999999997</v>
      </c>
    </row>
    <row r="5808" spans="1:12">
      <c r="A5808" t="s">
        <v>200</v>
      </c>
      <c r="B5808" t="s">
        <v>200</v>
      </c>
      <c r="C5808">
        <v>2676</v>
      </c>
      <c r="D5808" t="s">
        <v>200</v>
      </c>
      <c r="E5808">
        <v>2676</v>
      </c>
      <c r="F5808" s="3">
        <v>6.4999999999999997E-3</v>
      </c>
      <c r="G5808" s="3">
        <v>0.58250000000000002</v>
      </c>
      <c r="H5808" s="3">
        <v>1.4E-3</v>
      </c>
      <c r="I5808" s="3">
        <v>6.4899999999999999E-2</v>
      </c>
      <c r="J5808" s="3">
        <v>0.2681</v>
      </c>
      <c r="K5808" s="3">
        <v>2.7000000000000001E-3</v>
      </c>
      <c r="L5808" s="3">
        <v>0.15160000000000001</v>
      </c>
    </row>
    <row r="5810" spans="1:12" ht="45">
      <c r="A5810" s="22" t="s">
        <v>1332</v>
      </c>
    </row>
    <row r="5811" spans="1:12">
      <c r="A5811" t="s">
        <v>185</v>
      </c>
      <c r="B5811" t="s">
        <v>186</v>
      </c>
      <c r="C5811" t="s">
        <v>192</v>
      </c>
      <c r="D5811" t="s">
        <v>184</v>
      </c>
      <c r="E5811" t="s">
        <v>193</v>
      </c>
      <c r="F5811" t="s">
        <v>1323</v>
      </c>
      <c r="G5811" t="s">
        <v>1324</v>
      </c>
      <c r="H5811" t="s">
        <v>257</v>
      </c>
      <c r="I5811" t="s">
        <v>1325</v>
      </c>
      <c r="J5811" t="s">
        <v>1326</v>
      </c>
      <c r="K5811" t="s">
        <v>329</v>
      </c>
      <c r="L5811" t="s">
        <v>1327</v>
      </c>
    </row>
    <row r="5812" spans="1:12">
      <c r="A5812" t="s">
        <v>195</v>
      </c>
      <c r="B5812" t="s">
        <v>217</v>
      </c>
      <c r="C5812">
        <v>499</v>
      </c>
      <c r="D5812" t="s">
        <v>194</v>
      </c>
      <c r="E5812">
        <v>2676</v>
      </c>
      <c r="F5812" s="3">
        <v>5.0000000000000001E-3</v>
      </c>
      <c r="G5812" s="3">
        <v>0.5776</v>
      </c>
      <c r="H5812" s="3">
        <v>8.9999999999999998E-4</v>
      </c>
      <c r="I5812" s="3">
        <v>4.99E-2</v>
      </c>
      <c r="J5812" s="3">
        <v>0.2626</v>
      </c>
      <c r="L5812" s="3">
        <v>0.19919999999999999</v>
      </c>
    </row>
    <row r="5813" spans="1:12">
      <c r="A5813" t="s">
        <v>195</v>
      </c>
      <c r="B5813" t="s">
        <v>219</v>
      </c>
      <c r="C5813">
        <v>506</v>
      </c>
      <c r="D5813" t="s">
        <v>194</v>
      </c>
      <c r="E5813">
        <v>2676</v>
      </c>
      <c r="F5813" s="3">
        <v>7.6E-3</v>
      </c>
      <c r="G5813" s="3">
        <v>0.51339999999999997</v>
      </c>
      <c r="H5813" s="3">
        <v>3.3E-3</v>
      </c>
      <c r="I5813" s="3">
        <v>8.6900000000000005E-2</v>
      </c>
      <c r="J5813" s="3">
        <v>0.29049999999999998</v>
      </c>
      <c r="K5813" s="3">
        <v>4.1000000000000003E-3</v>
      </c>
      <c r="L5813" s="3">
        <v>0.1603</v>
      </c>
    </row>
    <row r="5814" spans="1:12">
      <c r="A5814" t="s">
        <v>195</v>
      </c>
      <c r="B5814" t="s">
        <v>220</v>
      </c>
      <c r="C5814">
        <v>182</v>
      </c>
      <c r="D5814" t="s">
        <v>194</v>
      </c>
      <c r="E5814">
        <v>2676</v>
      </c>
      <c r="F5814" s="3">
        <v>8.0000000000000004E-4</v>
      </c>
      <c r="G5814" s="3">
        <v>0.49020000000000002</v>
      </c>
      <c r="H5814" s="3">
        <v>6.1999999999999998E-3</v>
      </c>
      <c r="I5814" s="3">
        <v>9.5299999999999996E-2</v>
      </c>
      <c r="J5814" s="3">
        <v>0.2792</v>
      </c>
      <c r="K5814" s="3">
        <v>9.2999999999999992E-3</v>
      </c>
      <c r="L5814" s="3">
        <v>0.20449999999999999</v>
      </c>
    </row>
    <row r="5815" spans="1:12">
      <c r="A5815" t="s">
        <v>199</v>
      </c>
      <c r="B5815" t="s">
        <v>217</v>
      </c>
      <c r="C5815">
        <v>814</v>
      </c>
      <c r="D5815" t="s">
        <v>194</v>
      </c>
      <c r="E5815">
        <v>2676</v>
      </c>
      <c r="F5815" s="3">
        <v>9.1999999999999998E-3</v>
      </c>
      <c r="G5815" s="3">
        <v>0.60150000000000003</v>
      </c>
      <c r="I5815" s="3">
        <v>6.25E-2</v>
      </c>
      <c r="J5815" s="3">
        <v>0.27560000000000001</v>
      </c>
      <c r="K5815" s="3">
        <v>3.5999999999999999E-3</v>
      </c>
      <c r="L5815" s="3">
        <v>0.12590000000000001</v>
      </c>
    </row>
    <row r="5816" spans="1:12">
      <c r="A5816" t="s">
        <v>199</v>
      </c>
      <c r="B5816" t="s">
        <v>219</v>
      </c>
      <c r="C5816">
        <v>451</v>
      </c>
      <c r="D5816" t="s">
        <v>194</v>
      </c>
      <c r="E5816">
        <v>2676</v>
      </c>
      <c r="F5816" s="3">
        <v>3.5999999999999999E-3</v>
      </c>
      <c r="G5816" s="3">
        <v>0.65080000000000005</v>
      </c>
      <c r="H5816" s="3">
        <v>1.2999999999999999E-3</v>
      </c>
      <c r="I5816" s="3">
        <v>5.5500000000000001E-2</v>
      </c>
      <c r="J5816" s="3">
        <v>0.2268</v>
      </c>
      <c r="K5816" s="3">
        <v>5.9999999999999995E-4</v>
      </c>
      <c r="L5816" s="3">
        <v>0.13100000000000001</v>
      </c>
    </row>
    <row r="5817" spans="1:12">
      <c r="A5817" t="s">
        <v>199</v>
      </c>
      <c r="B5817" t="s">
        <v>220</v>
      </c>
      <c r="C5817">
        <v>223</v>
      </c>
      <c r="D5817" t="s">
        <v>194</v>
      </c>
      <c r="E5817">
        <v>2676</v>
      </c>
      <c r="F5817" s="3">
        <v>7.1999999999999998E-3</v>
      </c>
      <c r="G5817" s="3">
        <v>0.64029999999999998</v>
      </c>
      <c r="I5817" s="3">
        <v>4.8000000000000001E-2</v>
      </c>
      <c r="J5817" s="3">
        <v>0.26140000000000002</v>
      </c>
      <c r="L5817" s="3">
        <v>0.1111</v>
      </c>
    </row>
    <row r="5818" spans="1:12">
      <c r="A5818" t="s">
        <v>200</v>
      </c>
      <c r="B5818" t="s">
        <v>200</v>
      </c>
      <c r="C5818">
        <v>2676</v>
      </c>
      <c r="D5818" t="s">
        <v>200</v>
      </c>
      <c r="E5818">
        <v>2676</v>
      </c>
      <c r="F5818" s="3">
        <v>6.4999999999999997E-3</v>
      </c>
      <c r="G5818" s="3">
        <v>0.58250000000000002</v>
      </c>
      <c r="H5818" s="3">
        <v>1.4E-3</v>
      </c>
      <c r="I5818" s="3">
        <v>6.4899999999999999E-2</v>
      </c>
      <c r="J5818" s="3">
        <v>0.2681</v>
      </c>
      <c r="K5818" s="3">
        <v>2.7000000000000001E-3</v>
      </c>
      <c r="L5818" s="3">
        <v>0.15160000000000001</v>
      </c>
    </row>
    <row r="5820" spans="1:12" ht="30">
      <c r="A5820" s="22" t="s">
        <v>1322</v>
      </c>
    </row>
    <row r="5821" spans="1:12">
      <c r="A5821" t="s">
        <v>185</v>
      </c>
      <c r="B5821" t="s">
        <v>186</v>
      </c>
      <c r="C5821" t="s">
        <v>192</v>
      </c>
      <c r="D5821" t="s">
        <v>184</v>
      </c>
      <c r="E5821" t="s">
        <v>193</v>
      </c>
      <c r="F5821" t="s">
        <v>1323</v>
      </c>
      <c r="G5821" t="s">
        <v>1324</v>
      </c>
      <c r="H5821" t="s">
        <v>257</v>
      </c>
      <c r="I5821" t="s">
        <v>1325</v>
      </c>
      <c r="J5821" t="s">
        <v>1326</v>
      </c>
      <c r="K5821" t="s">
        <v>329</v>
      </c>
      <c r="L5821" t="s">
        <v>1327</v>
      </c>
    </row>
    <row r="5822" spans="1:12">
      <c r="A5822" t="s">
        <v>195</v>
      </c>
      <c r="B5822" t="s">
        <v>196</v>
      </c>
      <c r="C5822">
        <v>412</v>
      </c>
      <c r="D5822" t="s">
        <v>194</v>
      </c>
      <c r="E5822">
        <v>2676</v>
      </c>
      <c r="F5822" s="3">
        <v>1.09E-2</v>
      </c>
      <c r="G5822" s="3">
        <v>0.1731</v>
      </c>
      <c r="H5822" s="3">
        <v>1.6000000000000001E-3</v>
      </c>
      <c r="I5822" s="3">
        <v>7.3800000000000004E-2</v>
      </c>
      <c r="J5822" s="3">
        <v>0.42470000000000002</v>
      </c>
      <c r="L5822" s="3">
        <v>0.4919</v>
      </c>
    </row>
    <row r="5823" spans="1:12">
      <c r="A5823" t="s">
        <v>195</v>
      </c>
      <c r="B5823" t="s">
        <v>198</v>
      </c>
      <c r="C5823">
        <v>755</v>
      </c>
      <c r="D5823" t="s">
        <v>194</v>
      </c>
      <c r="E5823">
        <v>2676</v>
      </c>
      <c r="F5823" s="3">
        <v>3.0000000000000001E-3</v>
      </c>
      <c r="G5823" s="3">
        <v>0.67069999999999996</v>
      </c>
      <c r="H5823" s="3">
        <v>3.3E-3</v>
      </c>
      <c r="I5823" s="3">
        <v>7.2499999999999995E-2</v>
      </c>
      <c r="J5823" s="3">
        <v>0.2213</v>
      </c>
      <c r="K5823" s="3">
        <v>4.5999999999999999E-3</v>
      </c>
      <c r="L5823" s="3">
        <v>7.2400000000000006E-2</v>
      </c>
    </row>
    <row r="5824" spans="1:12">
      <c r="A5824" t="s">
        <v>199</v>
      </c>
      <c r="B5824" t="s">
        <v>196</v>
      </c>
      <c r="C5824">
        <v>525</v>
      </c>
      <c r="D5824" t="s">
        <v>194</v>
      </c>
      <c r="E5824">
        <v>2676</v>
      </c>
      <c r="F5824" s="3">
        <v>1.9099999999999999E-2</v>
      </c>
      <c r="G5824" s="3">
        <v>0.24660000000000001</v>
      </c>
      <c r="H5824" s="3">
        <v>5.9999999999999995E-4</v>
      </c>
      <c r="I5824" s="3">
        <v>8.5400000000000004E-2</v>
      </c>
      <c r="J5824" s="3">
        <v>0.41349999999999998</v>
      </c>
      <c r="L5824" s="3">
        <v>0.40039999999999998</v>
      </c>
    </row>
    <row r="5825" spans="1:12">
      <c r="A5825" t="s">
        <v>199</v>
      </c>
      <c r="B5825" t="s">
        <v>198</v>
      </c>
      <c r="C5825">
        <v>945</v>
      </c>
      <c r="D5825" t="s">
        <v>194</v>
      </c>
      <c r="E5825">
        <v>2676</v>
      </c>
      <c r="F5825" s="3">
        <v>4.8999999999999998E-3</v>
      </c>
      <c r="G5825" s="3">
        <v>0.70520000000000005</v>
      </c>
      <c r="H5825" s="3">
        <v>2.9999999999999997E-4</v>
      </c>
      <c r="I5825" s="3">
        <v>5.2499999999999998E-2</v>
      </c>
      <c r="J5825" s="3">
        <v>0.22639999999999999</v>
      </c>
      <c r="K5825" s="3">
        <v>2.8E-3</v>
      </c>
      <c r="L5825" s="3">
        <v>6.1899999999999997E-2</v>
      </c>
    </row>
    <row r="5826" spans="1:12">
      <c r="A5826" t="s">
        <v>200</v>
      </c>
      <c r="B5826" t="s">
        <v>200</v>
      </c>
      <c r="C5826">
        <v>2676</v>
      </c>
      <c r="D5826" t="s">
        <v>200</v>
      </c>
      <c r="E5826">
        <v>2676</v>
      </c>
      <c r="F5826" s="3">
        <v>6.4999999999999997E-3</v>
      </c>
      <c r="G5826" s="3">
        <v>0.58250000000000002</v>
      </c>
      <c r="H5826" s="3">
        <v>1.4E-3</v>
      </c>
      <c r="I5826" s="3">
        <v>6.4899999999999999E-2</v>
      </c>
      <c r="J5826" s="3">
        <v>0.2681</v>
      </c>
      <c r="K5826" s="3">
        <v>2.7000000000000001E-3</v>
      </c>
      <c r="L5826" s="3">
        <v>0.15160000000000001</v>
      </c>
    </row>
    <row r="5828" spans="1:12" ht="45">
      <c r="A5828" s="22" t="s">
        <v>1328</v>
      </c>
    </row>
    <row r="5829" spans="1:12">
      <c r="A5829" t="s">
        <v>185</v>
      </c>
      <c r="B5829" t="s">
        <v>186</v>
      </c>
      <c r="C5829" t="s">
        <v>192</v>
      </c>
      <c r="D5829" t="s">
        <v>184</v>
      </c>
      <c r="E5829" t="s">
        <v>193</v>
      </c>
      <c r="F5829" t="s">
        <v>1323</v>
      </c>
      <c r="G5829" t="s">
        <v>1324</v>
      </c>
      <c r="H5829" t="s">
        <v>257</v>
      </c>
      <c r="I5829" t="s">
        <v>1325</v>
      </c>
      <c r="J5829" t="s">
        <v>1326</v>
      </c>
      <c r="K5829" t="s">
        <v>329</v>
      </c>
      <c r="L5829" t="s">
        <v>1327</v>
      </c>
    </row>
    <row r="5830" spans="1:12">
      <c r="A5830" t="s">
        <v>195</v>
      </c>
      <c r="B5830" t="s">
        <v>202</v>
      </c>
      <c r="C5830">
        <v>533</v>
      </c>
      <c r="D5830" t="s">
        <v>194</v>
      </c>
      <c r="E5830">
        <v>2676</v>
      </c>
      <c r="F5830" s="3">
        <v>4.4000000000000003E-3</v>
      </c>
      <c r="G5830" s="3">
        <v>0.52459999999999996</v>
      </c>
      <c r="H5830" s="3">
        <v>1.6000000000000001E-3</v>
      </c>
      <c r="I5830" s="3">
        <v>8.6199999999999999E-2</v>
      </c>
      <c r="J5830" s="3">
        <v>0.30020000000000002</v>
      </c>
      <c r="K5830" s="3">
        <v>8.0000000000000004E-4</v>
      </c>
      <c r="L5830" s="3">
        <v>0.16370000000000001</v>
      </c>
    </row>
    <row r="5831" spans="1:12">
      <c r="A5831" t="s">
        <v>195</v>
      </c>
      <c r="B5831" t="s">
        <v>204</v>
      </c>
      <c r="C5831">
        <v>300</v>
      </c>
      <c r="D5831" t="s">
        <v>194</v>
      </c>
      <c r="E5831">
        <v>2676</v>
      </c>
      <c r="F5831" s="3">
        <v>3.3E-3</v>
      </c>
      <c r="G5831" s="3">
        <v>0.55000000000000004</v>
      </c>
      <c r="H5831" s="3">
        <v>6.1000000000000004E-3</v>
      </c>
      <c r="I5831" s="3">
        <v>4.5499999999999999E-2</v>
      </c>
      <c r="J5831" s="3">
        <v>0.25159999999999999</v>
      </c>
      <c r="K5831" s="3">
        <v>1.32E-2</v>
      </c>
      <c r="L5831" s="3">
        <v>0.22439999999999999</v>
      </c>
    </row>
    <row r="5832" spans="1:12">
      <c r="A5832" t="s">
        <v>195</v>
      </c>
      <c r="B5832" t="s">
        <v>205</v>
      </c>
      <c r="C5832">
        <v>334</v>
      </c>
      <c r="D5832" t="s">
        <v>194</v>
      </c>
      <c r="E5832">
        <v>2676</v>
      </c>
      <c r="F5832" s="3">
        <v>1.09E-2</v>
      </c>
      <c r="G5832" s="3">
        <v>0.58130000000000004</v>
      </c>
      <c r="H5832" s="3">
        <v>3.2000000000000002E-3</v>
      </c>
      <c r="I5832" s="3">
        <v>5.2299999999999999E-2</v>
      </c>
      <c r="J5832" s="3">
        <v>0.19589999999999999</v>
      </c>
      <c r="L5832" s="3">
        <v>0.2208</v>
      </c>
    </row>
    <row r="5833" spans="1:12">
      <c r="A5833" t="s">
        <v>199</v>
      </c>
      <c r="B5833" t="s">
        <v>202</v>
      </c>
      <c r="C5833">
        <v>538</v>
      </c>
      <c r="D5833" t="s">
        <v>194</v>
      </c>
      <c r="E5833">
        <v>2676</v>
      </c>
      <c r="F5833" s="3">
        <v>6.0000000000000001E-3</v>
      </c>
      <c r="G5833" s="3">
        <v>0.65080000000000005</v>
      </c>
      <c r="I5833" s="3">
        <v>6.6400000000000001E-2</v>
      </c>
      <c r="J5833" s="3">
        <v>0.23849999999999999</v>
      </c>
      <c r="K5833" s="3">
        <v>6.9999999999999999E-4</v>
      </c>
      <c r="L5833" s="3">
        <v>0.11269999999999999</v>
      </c>
    </row>
    <row r="5834" spans="1:12">
      <c r="A5834" t="s">
        <v>199</v>
      </c>
      <c r="B5834" t="s">
        <v>204</v>
      </c>
      <c r="C5834">
        <v>426</v>
      </c>
      <c r="D5834" t="s">
        <v>194</v>
      </c>
      <c r="E5834">
        <v>2676</v>
      </c>
      <c r="F5834" s="3">
        <v>1.0999999999999999E-2</v>
      </c>
      <c r="G5834" s="3">
        <v>0.46700000000000003</v>
      </c>
      <c r="H5834" s="3">
        <v>1.6000000000000001E-3</v>
      </c>
      <c r="I5834" s="3">
        <v>3.6600000000000001E-2</v>
      </c>
      <c r="J5834" s="3">
        <v>0.4037</v>
      </c>
      <c r="K5834" s="3">
        <v>8.8000000000000005E-3</v>
      </c>
      <c r="L5834" s="3">
        <v>0.1623</v>
      </c>
    </row>
    <row r="5835" spans="1:12">
      <c r="A5835" t="s">
        <v>199</v>
      </c>
      <c r="B5835" t="s">
        <v>205</v>
      </c>
      <c r="C5835">
        <v>506</v>
      </c>
      <c r="D5835" t="s">
        <v>194</v>
      </c>
      <c r="E5835">
        <v>2676</v>
      </c>
      <c r="F5835" s="3">
        <v>9.2999999999999992E-3</v>
      </c>
      <c r="G5835" s="3">
        <v>0.68049999999999999</v>
      </c>
      <c r="I5835" s="3">
        <v>5.4600000000000003E-2</v>
      </c>
      <c r="J5835" s="3">
        <v>0.18260000000000001</v>
      </c>
      <c r="K5835" s="3">
        <v>8.0000000000000004E-4</v>
      </c>
      <c r="L5835" s="3">
        <v>0.12640000000000001</v>
      </c>
    </row>
    <row r="5836" spans="1:12">
      <c r="A5836" t="s">
        <v>200</v>
      </c>
      <c r="B5836" t="s">
        <v>200</v>
      </c>
      <c r="C5836">
        <v>2676</v>
      </c>
      <c r="D5836" t="s">
        <v>200</v>
      </c>
      <c r="E5836">
        <v>2676</v>
      </c>
      <c r="F5836" s="3">
        <v>6.4999999999999997E-3</v>
      </c>
      <c r="G5836" s="3">
        <v>0.58250000000000002</v>
      </c>
      <c r="H5836" s="3">
        <v>1.4E-3</v>
      </c>
      <c r="I5836" s="3">
        <v>6.4899999999999999E-2</v>
      </c>
      <c r="J5836" s="3">
        <v>0.2681</v>
      </c>
      <c r="K5836" s="3">
        <v>2.7000000000000001E-3</v>
      </c>
      <c r="L5836" s="3">
        <v>0.15160000000000001</v>
      </c>
    </row>
    <row r="5838" spans="1:12" ht="45">
      <c r="A5838" s="22" t="s">
        <v>1329</v>
      </c>
    </row>
    <row r="5839" spans="1:12">
      <c r="A5839" t="s">
        <v>185</v>
      </c>
      <c r="B5839" t="s">
        <v>186</v>
      </c>
      <c r="C5839" t="s">
        <v>192</v>
      </c>
      <c r="D5839" t="s">
        <v>184</v>
      </c>
      <c r="E5839" t="s">
        <v>193</v>
      </c>
      <c r="F5839" t="s">
        <v>1323</v>
      </c>
      <c r="G5839" t="s">
        <v>1324</v>
      </c>
      <c r="H5839" t="s">
        <v>257</v>
      </c>
      <c r="I5839" t="s">
        <v>1325</v>
      </c>
      <c r="J5839" t="s">
        <v>1326</v>
      </c>
      <c r="K5839" t="s">
        <v>329</v>
      </c>
      <c r="L5839" t="s">
        <v>1327</v>
      </c>
    </row>
    <row r="5840" spans="1:12">
      <c r="A5840" t="s">
        <v>195</v>
      </c>
      <c r="B5840" t="s">
        <v>207</v>
      </c>
      <c r="C5840">
        <v>321</v>
      </c>
      <c r="D5840" t="s">
        <v>194</v>
      </c>
      <c r="E5840">
        <v>2676</v>
      </c>
      <c r="F5840" s="3">
        <v>1.8E-3</v>
      </c>
      <c r="G5840" s="3">
        <v>0.50090000000000001</v>
      </c>
      <c r="H5840" s="3">
        <v>7.7999999999999996E-3</v>
      </c>
      <c r="I5840" s="3">
        <v>9.3799999999999994E-2</v>
      </c>
      <c r="J5840" s="3">
        <v>0.29149999999999998</v>
      </c>
      <c r="K5840" s="3">
        <v>2E-3</v>
      </c>
      <c r="L5840" s="3">
        <v>0.2452</v>
      </c>
    </row>
    <row r="5841" spans="1:12">
      <c r="A5841" t="s">
        <v>195</v>
      </c>
      <c r="B5841" t="s">
        <v>209</v>
      </c>
      <c r="C5841">
        <v>867</v>
      </c>
      <c r="D5841" t="s">
        <v>194</v>
      </c>
      <c r="E5841">
        <v>2676</v>
      </c>
      <c r="F5841" s="3">
        <v>6.4000000000000003E-3</v>
      </c>
      <c r="G5841" s="3">
        <v>0.54810000000000003</v>
      </c>
      <c r="H5841" s="3">
        <v>1.1000000000000001E-3</v>
      </c>
      <c r="I5841" s="3">
        <v>6.5699999999999995E-2</v>
      </c>
      <c r="J5841" s="3">
        <v>0.27150000000000002</v>
      </c>
      <c r="K5841" s="3">
        <v>3.8E-3</v>
      </c>
      <c r="L5841" s="3">
        <v>0.16420000000000001</v>
      </c>
    </row>
    <row r="5842" spans="1:12">
      <c r="A5842" t="s">
        <v>199</v>
      </c>
      <c r="B5842" t="s">
        <v>207</v>
      </c>
      <c r="C5842">
        <v>283</v>
      </c>
      <c r="D5842" t="s">
        <v>194</v>
      </c>
      <c r="E5842">
        <v>2676</v>
      </c>
      <c r="F5842" s="3">
        <v>5.3E-3</v>
      </c>
      <c r="G5842" s="3">
        <v>0.64400000000000002</v>
      </c>
      <c r="H5842" s="3">
        <v>1E-3</v>
      </c>
      <c r="I5842" s="3">
        <v>3.0700000000000002E-2</v>
      </c>
      <c r="J5842" s="3">
        <v>0.1913</v>
      </c>
      <c r="K5842" s="3">
        <v>1.1999999999999999E-3</v>
      </c>
      <c r="L5842" s="3">
        <v>0.2205</v>
      </c>
    </row>
    <row r="5843" spans="1:12">
      <c r="A5843" t="s">
        <v>199</v>
      </c>
      <c r="B5843" t="s">
        <v>209</v>
      </c>
      <c r="C5843">
        <v>1205</v>
      </c>
      <c r="D5843" t="s">
        <v>194</v>
      </c>
      <c r="E5843">
        <v>2676</v>
      </c>
      <c r="F5843" s="3">
        <v>7.7999999999999996E-3</v>
      </c>
      <c r="G5843" s="3">
        <v>0.61639999999999995</v>
      </c>
      <c r="H5843" s="3">
        <v>2.0000000000000001E-4</v>
      </c>
      <c r="I5843" s="3">
        <v>6.2399999999999997E-2</v>
      </c>
      <c r="J5843" s="3">
        <v>0.27110000000000001</v>
      </c>
      <c r="K5843" s="3">
        <v>2.3999999999999998E-3</v>
      </c>
      <c r="L5843" s="3">
        <v>0.1116</v>
      </c>
    </row>
    <row r="5844" spans="1:12">
      <c r="A5844" t="s">
        <v>200</v>
      </c>
      <c r="B5844" t="s">
        <v>200</v>
      </c>
      <c r="C5844">
        <v>2676</v>
      </c>
      <c r="D5844" t="s">
        <v>200</v>
      </c>
      <c r="E5844">
        <v>2676</v>
      </c>
      <c r="F5844" s="3">
        <v>6.4999999999999997E-3</v>
      </c>
      <c r="G5844" s="3">
        <v>0.58250000000000002</v>
      </c>
      <c r="H5844" s="3">
        <v>1.4E-3</v>
      </c>
      <c r="I5844" s="3">
        <v>6.4899999999999999E-2</v>
      </c>
      <c r="J5844" s="3">
        <v>0.2681</v>
      </c>
      <c r="K5844" s="3">
        <v>2.7000000000000001E-3</v>
      </c>
      <c r="L5844" s="3">
        <v>0.15160000000000001</v>
      </c>
    </row>
    <row r="5846" spans="1:12" ht="45">
      <c r="A5846" s="22" t="s">
        <v>1330</v>
      </c>
    </row>
    <row r="5847" spans="1:12">
      <c r="A5847" t="s">
        <v>185</v>
      </c>
      <c r="B5847" t="s">
        <v>192</v>
      </c>
      <c r="C5847" t="s">
        <v>184</v>
      </c>
      <c r="D5847" t="s">
        <v>193</v>
      </c>
      <c r="E5847" t="s">
        <v>1323</v>
      </c>
      <c r="F5847" t="s">
        <v>1324</v>
      </c>
      <c r="G5847" t="s">
        <v>257</v>
      </c>
      <c r="H5847" t="s">
        <v>1325</v>
      </c>
      <c r="I5847" t="s">
        <v>1326</v>
      </c>
      <c r="J5847" t="s">
        <v>329</v>
      </c>
      <c r="K5847" t="s">
        <v>1327</v>
      </c>
    </row>
    <row r="5848" spans="1:12">
      <c r="A5848" t="s">
        <v>195</v>
      </c>
      <c r="B5848">
        <v>1188</v>
      </c>
      <c r="C5848" t="s">
        <v>194</v>
      </c>
      <c r="D5848">
        <v>2676</v>
      </c>
      <c r="E5848" s="3">
        <v>5.1999999999999998E-3</v>
      </c>
      <c r="F5848" s="3">
        <v>0.53600000000000003</v>
      </c>
      <c r="G5848" s="3">
        <v>2.8E-3</v>
      </c>
      <c r="H5848" s="3">
        <v>7.2900000000000006E-2</v>
      </c>
      <c r="I5848" s="3">
        <v>0.27660000000000001</v>
      </c>
      <c r="J5848" s="3">
        <v>3.3E-3</v>
      </c>
      <c r="K5848" s="3">
        <v>0.185</v>
      </c>
    </row>
    <row r="5849" spans="1:12">
      <c r="A5849" t="s">
        <v>199</v>
      </c>
      <c r="B5849">
        <v>1488</v>
      </c>
      <c r="C5849" t="s">
        <v>194</v>
      </c>
      <c r="D5849">
        <v>2676</v>
      </c>
      <c r="E5849" s="3">
        <v>7.4999999999999997E-3</v>
      </c>
      <c r="F5849" s="3">
        <v>0.61970000000000003</v>
      </c>
      <c r="G5849" s="3">
        <v>2.9999999999999997E-4</v>
      </c>
      <c r="H5849" s="3">
        <v>5.8500000000000003E-2</v>
      </c>
      <c r="I5849" s="3">
        <v>0.26140000000000002</v>
      </c>
      <c r="J5849" s="3">
        <v>2.3E-3</v>
      </c>
      <c r="K5849" s="3">
        <v>0.1249</v>
      </c>
    </row>
    <row r="5850" spans="1:12">
      <c r="A5850" t="s">
        <v>200</v>
      </c>
      <c r="B5850">
        <v>2676</v>
      </c>
      <c r="C5850" t="s">
        <v>200</v>
      </c>
      <c r="D5850">
        <v>2676</v>
      </c>
      <c r="E5850" s="3">
        <v>6.4999999999999997E-3</v>
      </c>
      <c r="F5850" s="3">
        <v>0.58250000000000002</v>
      </c>
      <c r="G5850" s="3">
        <v>1.4E-3</v>
      </c>
      <c r="H5850" s="3">
        <v>6.4899999999999999E-2</v>
      </c>
      <c r="I5850" s="3">
        <v>0.2681</v>
      </c>
      <c r="J5850" s="3">
        <v>2.7000000000000001E-3</v>
      </c>
      <c r="K5850" s="3">
        <v>0.15160000000000001</v>
      </c>
    </row>
    <row r="5852" spans="1:12" ht="30">
      <c r="A5852" s="22" t="s">
        <v>1331</v>
      </c>
    </row>
    <row r="5853" spans="1:12">
      <c r="A5853" t="s">
        <v>185</v>
      </c>
      <c r="B5853" t="s">
        <v>186</v>
      </c>
      <c r="C5853" t="s">
        <v>192</v>
      </c>
      <c r="D5853" t="s">
        <v>184</v>
      </c>
      <c r="E5853" t="s">
        <v>193</v>
      </c>
      <c r="F5853" t="s">
        <v>1323</v>
      </c>
      <c r="G5853" t="s">
        <v>1324</v>
      </c>
      <c r="H5853" t="s">
        <v>257</v>
      </c>
      <c r="I5853" t="s">
        <v>1325</v>
      </c>
      <c r="J5853" t="s">
        <v>1326</v>
      </c>
      <c r="K5853" t="s">
        <v>329</v>
      </c>
      <c r="L5853" t="s">
        <v>1327</v>
      </c>
    </row>
    <row r="5854" spans="1:12">
      <c r="A5854" t="s">
        <v>195</v>
      </c>
      <c r="B5854" t="s">
        <v>212</v>
      </c>
      <c r="C5854">
        <v>872</v>
      </c>
      <c r="D5854" t="s">
        <v>194</v>
      </c>
      <c r="E5854">
        <v>2676</v>
      </c>
      <c r="F5854" s="3">
        <v>5.5999999999999999E-3</v>
      </c>
      <c r="G5854" s="3">
        <v>0.56010000000000004</v>
      </c>
      <c r="H5854" s="3">
        <v>8.0000000000000004E-4</v>
      </c>
      <c r="I5854" s="3">
        <v>6.4799999999999996E-2</v>
      </c>
      <c r="J5854" s="3">
        <v>0.2732</v>
      </c>
      <c r="K5854" s="3">
        <v>3.5999999999999999E-3</v>
      </c>
      <c r="L5854" s="3">
        <v>0.17699999999999999</v>
      </c>
    </row>
    <row r="5855" spans="1:12">
      <c r="A5855" t="s">
        <v>195</v>
      </c>
      <c r="B5855" t="s">
        <v>214</v>
      </c>
      <c r="C5855">
        <v>181</v>
      </c>
      <c r="D5855" t="s">
        <v>194</v>
      </c>
      <c r="E5855">
        <v>2676</v>
      </c>
      <c r="F5855" s="3">
        <v>8.9999999999999998E-4</v>
      </c>
      <c r="G5855" s="3">
        <v>0.50360000000000005</v>
      </c>
      <c r="H5855" s="3">
        <v>1.35E-2</v>
      </c>
      <c r="I5855" s="3">
        <v>9.9000000000000005E-2</v>
      </c>
      <c r="J5855" s="3">
        <v>0.28029999999999999</v>
      </c>
      <c r="K5855" s="3">
        <v>3.2000000000000002E-3</v>
      </c>
      <c r="L5855" s="3">
        <v>0.1842</v>
      </c>
    </row>
    <row r="5856" spans="1:12">
      <c r="A5856" t="s">
        <v>195</v>
      </c>
      <c r="B5856" t="s">
        <v>215</v>
      </c>
      <c r="C5856">
        <v>135</v>
      </c>
      <c r="D5856" t="s">
        <v>194</v>
      </c>
      <c r="E5856">
        <v>2676</v>
      </c>
      <c r="F5856" s="3">
        <v>9.9000000000000008E-3</v>
      </c>
      <c r="G5856" s="3">
        <v>0.38400000000000001</v>
      </c>
      <c r="I5856" s="3">
        <v>9.4700000000000006E-2</v>
      </c>
      <c r="J5856" s="3">
        <v>0.30049999999999999</v>
      </c>
      <c r="K5856" s="3">
        <v>1.4E-3</v>
      </c>
      <c r="L5856" s="3">
        <v>0.25829999999999997</v>
      </c>
    </row>
    <row r="5857" spans="1:12">
      <c r="A5857" t="s">
        <v>199</v>
      </c>
      <c r="B5857" t="s">
        <v>212</v>
      </c>
      <c r="C5857">
        <v>1118</v>
      </c>
      <c r="D5857" t="s">
        <v>194</v>
      </c>
      <c r="E5857">
        <v>2676</v>
      </c>
      <c r="F5857" s="3">
        <v>8.5000000000000006E-3</v>
      </c>
      <c r="G5857" s="3">
        <v>0.61960000000000004</v>
      </c>
      <c r="H5857" s="3">
        <v>2.0000000000000001E-4</v>
      </c>
      <c r="I5857" s="3">
        <v>6.6400000000000001E-2</v>
      </c>
      <c r="J5857" s="3">
        <v>0.26450000000000001</v>
      </c>
      <c r="K5857" s="3">
        <v>2.2000000000000001E-3</v>
      </c>
      <c r="L5857" s="3">
        <v>0.1084</v>
      </c>
    </row>
    <row r="5858" spans="1:12">
      <c r="A5858" t="s">
        <v>199</v>
      </c>
      <c r="B5858" t="s">
        <v>214</v>
      </c>
      <c r="C5858">
        <v>197</v>
      </c>
      <c r="D5858" t="s">
        <v>194</v>
      </c>
      <c r="E5858">
        <v>2676</v>
      </c>
      <c r="F5858" s="3">
        <v>3.0999999999999999E-3</v>
      </c>
      <c r="G5858" s="3">
        <v>0.72789999999999999</v>
      </c>
      <c r="H5858" s="3">
        <v>1.2999999999999999E-3</v>
      </c>
      <c r="I5858" s="3">
        <v>2.0799999999999999E-2</v>
      </c>
      <c r="J5858" s="3">
        <v>0.2001</v>
      </c>
      <c r="K5858" s="3">
        <v>8.9999999999999998E-4</v>
      </c>
      <c r="L5858" s="3">
        <v>8.6400000000000005E-2</v>
      </c>
    </row>
    <row r="5859" spans="1:12">
      <c r="A5859" t="s">
        <v>199</v>
      </c>
      <c r="B5859" t="s">
        <v>215</v>
      </c>
      <c r="C5859">
        <v>173</v>
      </c>
      <c r="D5859" t="s">
        <v>194</v>
      </c>
      <c r="E5859">
        <v>2676</v>
      </c>
      <c r="F5859" s="3">
        <v>6.7000000000000002E-3</v>
      </c>
      <c r="G5859" s="3">
        <v>0.4254</v>
      </c>
      <c r="I5859" s="3">
        <v>5.4899999999999997E-2</v>
      </c>
      <c r="J5859" s="3">
        <v>0.34289999999999998</v>
      </c>
      <c r="K5859" s="3">
        <v>5.1999999999999998E-3</v>
      </c>
      <c r="L5859" s="3">
        <v>0.34399999999999997</v>
      </c>
    </row>
    <row r="5860" spans="1:12">
      <c r="A5860" t="s">
        <v>200</v>
      </c>
      <c r="B5860" t="s">
        <v>200</v>
      </c>
      <c r="C5860">
        <v>2676</v>
      </c>
      <c r="D5860" t="s">
        <v>200</v>
      </c>
      <c r="E5860">
        <v>2676</v>
      </c>
      <c r="F5860" s="3">
        <v>6.4999999999999997E-3</v>
      </c>
      <c r="G5860" s="3">
        <v>0.58250000000000002</v>
      </c>
      <c r="H5860" s="3">
        <v>1.4E-3</v>
      </c>
      <c r="I5860" s="3">
        <v>6.4899999999999999E-2</v>
      </c>
      <c r="J5860" s="3">
        <v>0.2681</v>
      </c>
      <c r="K5860" s="3">
        <v>2.7000000000000001E-3</v>
      </c>
      <c r="L5860" s="3">
        <v>0.15160000000000001</v>
      </c>
    </row>
    <row r="5862" spans="1:12" ht="45">
      <c r="A5862" s="22" t="s">
        <v>1332</v>
      </c>
    </row>
    <row r="5863" spans="1:12">
      <c r="A5863" t="s">
        <v>185</v>
      </c>
      <c r="B5863" t="s">
        <v>186</v>
      </c>
      <c r="C5863" t="s">
        <v>192</v>
      </c>
      <c r="D5863" t="s">
        <v>184</v>
      </c>
      <c r="E5863" t="s">
        <v>193</v>
      </c>
      <c r="F5863" t="s">
        <v>1323</v>
      </c>
      <c r="G5863" t="s">
        <v>1324</v>
      </c>
      <c r="H5863" t="s">
        <v>257</v>
      </c>
      <c r="I5863" t="s">
        <v>1325</v>
      </c>
      <c r="J5863" t="s">
        <v>1326</v>
      </c>
      <c r="K5863" t="s">
        <v>329</v>
      </c>
      <c r="L5863" t="s">
        <v>1327</v>
      </c>
    </row>
    <row r="5864" spans="1:12">
      <c r="A5864" t="s">
        <v>195</v>
      </c>
      <c r="B5864" t="s">
        <v>217</v>
      </c>
      <c r="C5864">
        <v>499</v>
      </c>
      <c r="D5864" t="s">
        <v>194</v>
      </c>
      <c r="E5864">
        <v>2676</v>
      </c>
      <c r="F5864" s="3">
        <v>5.0000000000000001E-3</v>
      </c>
      <c r="G5864" s="3">
        <v>0.5776</v>
      </c>
      <c r="H5864" s="3">
        <v>8.9999999999999998E-4</v>
      </c>
      <c r="I5864" s="3">
        <v>4.99E-2</v>
      </c>
      <c r="J5864" s="3">
        <v>0.2626</v>
      </c>
      <c r="L5864" s="3">
        <v>0.19919999999999999</v>
      </c>
    </row>
    <row r="5865" spans="1:12">
      <c r="A5865" t="s">
        <v>195</v>
      </c>
      <c r="B5865" t="s">
        <v>219</v>
      </c>
      <c r="C5865">
        <v>506</v>
      </c>
      <c r="D5865" t="s">
        <v>194</v>
      </c>
      <c r="E5865">
        <v>2676</v>
      </c>
      <c r="F5865" s="3">
        <v>7.6E-3</v>
      </c>
      <c r="G5865" s="3">
        <v>0.51339999999999997</v>
      </c>
      <c r="H5865" s="3">
        <v>3.3E-3</v>
      </c>
      <c r="I5865" s="3">
        <v>8.6900000000000005E-2</v>
      </c>
      <c r="J5865" s="3">
        <v>0.29049999999999998</v>
      </c>
      <c r="K5865" s="3">
        <v>4.1000000000000003E-3</v>
      </c>
      <c r="L5865" s="3">
        <v>0.1603</v>
      </c>
    </row>
    <row r="5866" spans="1:12">
      <c r="A5866" t="s">
        <v>195</v>
      </c>
      <c r="B5866" t="s">
        <v>220</v>
      </c>
      <c r="C5866">
        <v>182</v>
      </c>
      <c r="D5866" t="s">
        <v>194</v>
      </c>
      <c r="E5866">
        <v>2676</v>
      </c>
      <c r="F5866" s="3">
        <v>8.0000000000000004E-4</v>
      </c>
      <c r="G5866" s="3">
        <v>0.49020000000000002</v>
      </c>
      <c r="H5866" s="3">
        <v>6.1999999999999998E-3</v>
      </c>
      <c r="I5866" s="3">
        <v>9.5299999999999996E-2</v>
      </c>
      <c r="J5866" s="3">
        <v>0.2792</v>
      </c>
      <c r="K5866" s="3">
        <v>9.2999999999999992E-3</v>
      </c>
      <c r="L5866" s="3">
        <v>0.20449999999999999</v>
      </c>
    </row>
    <row r="5867" spans="1:12">
      <c r="A5867" t="s">
        <v>199</v>
      </c>
      <c r="B5867" t="s">
        <v>217</v>
      </c>
      <c r="C5867">
        <v>814</v>
      </c>
      <c r="D5867" t="s">
        <v>194</v>
      </c>
      <c r="E5867">
        <v>2676</v>
      </c>
      <c r="F5867" s="3">
        <v>9.1999999999999998E-3</v>
      </c>
      <c r="G5867" s="3">
        <v>0.60150000000000003</v>
      </c>
      <c r="I5867" s="3">
        <v>6.25E-2</v>
      </c>
      <c r="J5867" s="3">
        <v>0.27560000000000001</v>
      </c>
      <c r="K5867" s="3">
        <v>3.5999999999999999E-3</v>
      </c>
      <c r="L5867" s="3">
        <v>0.12590000000000001</v>
      </c>
    </row>
    <row r="5868" spans="1:12">
      <c r="A5868" t="s">
        <v>199</v>
      </c>
      <c r="B5868" t="s">
        <v>219</v>
      </c>
      <c r="C5868">
        <v>451</v>
      </c>
      <c r="D5868" t="s">
        <v>194</v>
      </c>
      <c r="E5868">
        <v>2676</v>
      </c>
      <c r="F5868" s="3">
        <v>3.5999999999999999E-3</v>
      </c>
      <c r="G5868" s="3">
        <v>0.65080000000000005</v>
      </c>
      <c r="H5868" s="3">
        <v>1.2999999999999999E-3</v>
      </c>
      <c r="I5868" s="3">
        <v>5.5500000000000001E-2</v>
      </c>
      <c r="J5868" s="3">
        <v>0.2268</v>
      </c>
      <c r="K5868" s="3">
        <v>5.9999999999999995E-4</v>
      </c>
      <c r="L5868" s="3">
        <v>0.13100000000000001</v>
      </c>
    </row>
    <row r="5869" spans="1:12">
      <c r="A5869" t="s">
        <v>199</v>
      </c>
      <c r="B5869" t="s">
        <v>220</v>
      </c>
      <c r="C5869">
        <v>223</v>
      </c>
      <c r="D5869" t="s">
        <v>194</v>
      </c>
      <c r="E5869">
        <v>2676</v>
      </c>
      <c r="F5869" s="3">
        <v>7.1999999999999998E-3</v>
      </c>
      <c r="G5869" s="3">
        <v>0.64029999999999998</v>
      </c>
      <c r="I5869" s="3">
        <v>4.8000000000000001E-2</v>
      </c>
      <c r="J5869" s="3">
        <v>0.26140000000000002</v>
      </c>
      <c r="L5869" s="3">
        <v>0.1111</v>
      </c>
    </row>
    <row r="5870" spans="1:12">
      <c r="A5870" t="s">
        <v>200</v>
      </c>
      <c r="B5870" t="s">
        <v>200</v>
      </c>
      <c r="C5870">
        <v>2676</v>
      </c>
      <c r="D5870" t="s">
        <v>200</v>
      </c>
      <c r="E5870">
        <v>2676</v>
      </c>
      <c r="F5870" s="3">
        <v>6.4999999999999997E-3</v>
      </c>
      <c r="G5870" s="3">
        <v>0.58250000000000002</v>
      </c>
      <c r="H5870" s="3">
        <v>1.4E-3</v>
      </c>
      <c r="I5870" s="3">
        <v>6.4899999999999999E-2</v>
      </c>
      <c r="J5870" s="3">
        <v>0.2681</v>
      </c>
      <c r="K5870" s="3">
        <v>2.7000000000000001E-3</v>
      </c>
      <c r="L5870" s="3">
        <v>0.15160000000000001</v>
      </c>
    </row>
    <row r="5872" spans="1:12" ht="30">
      <c r="A5872" s="22" t="s">
        <v>1333</v>
      </c>
    </row>
    <row r="5873" spans="1:9">
      <c r="A5873" t="s">
        <v>185</v>
      </c>
      <c r="B5873" t="s">
        <v>186</v>
      </c>
      <c r="C5873" t="s">
        <v>192</v>
      </c>
      <c r="D5873" t="s">
        <v>184</v>
      </c>
      <c r="E5873" t="s">
        <v>193</v>
      </c>
      <c r="F5873" t="s">
        <v>257</v>
      </c>
      <c r="G5873" t="s">
        <v>1307</v>
      </c>
      <c r="H5873" t="s">
        <v>1309</v>
      </c>
      <c r="I5873" t="s">
        <v>1310</v>
      </c>
    </row>
    <row r="5874" spans="1:9">
      <c r="A5874" t="s">
        <v>195</v>
      </c>
      <c r="B5874" t="s">
        <v>196</v>
      </c>
      <c r="C5874">
        <v>413</v>
      </c>
      <c r="D5874" t="s">
        <v>194</v>
      </c>
      <c r="E5874">
        <v>2675</v>
      </c>
      <c r="G5874" s="3">
        <v>1.4500000000000001E-2</v>
      </c>
      <c r="H5874" s="3">
        <v>0.12</v>
      </c>
      <c r="I5874" s="3">
        <v>0.86550000000000005</v>
      </c>
    </row>
    <row r="5875" spans="1:9">
      <c r="A5875" t="s">
        <v>195</v>
      </c>
      <c r="B5875" t="s">
        <v>198</v>
      </c>
      <c r="C5875">
        <v>755</v>
      </c>
      <c r="D5875" t="s">
        <v>194</v>
      </c>
      <c r="E5875">
        <v>2675</v>
      </c>
      <c r="F5875" s="3">
        <v>0</v>
      </c>
      <c r="G5875" s="3">
        <v>2.1600000000000001E-2</v>
      </c>
      <c r="H5875" s="3">
        <v>0.1053</v>
      </c>
      <c r="I5875" s="3">
        <v>0.873</v>
      </c>
    </row>
    <row r="5876" spans="1:9">
      <c r="A5876" t="s">
        <v>199</v>
      </c>
      <c r="B5876" t="s">
        <v>196</v>
      </c>
      <c r="C5876">
        <v>525</v>
      </c>
      <c r="D5876" t="s">
        <v>194</v>
      </c>
      <c r="E5876">
        <v>2675</v>
      </c>
      <c r="G5876" s="3">
        <v>8.2000000000000007E-3</v>
      </c>
      <c r="H5876" s="3">
        <v>0.14990000000000001</v>
      </c>
      <c r="I5876" s="3">
        <v>0.84189999999999998</v>
      </c>
    </row>
    <row r="5877" spans="1:9">
      <c r="A5877" t="s">
        <v>199</v>
      </c>
      <c r="B5877" t="s">
        <v>198</v>
      </c>
      <c r="C5877">
        <v>943</v>
      </c>
      <c r="D5877" t="s">
        <v>194</v>
      </c>
      <c r="E5877">
        <v>2675</v>
      </c>
      <c r="G5877" s="3">
        <v>2.0999999999999999E-3</v>
      </c>
      <c r="H5877" s="3">
        <v>0.1027</v>
      </c>
      <c r="I5877" s="3">
        <v>0.8952</v>
      </c>
    </row>
    <row r="5878" spans="1:9">
      <c r="A5878" t="s">
        <v>200</v>
      </c>
      <c r="B5878" t="s">
        <v>200</v>
      </c>
      <c r="C5878">
        <v>2675</v>
      </c>
      <c r="D5878" t="s">
        <v>200</v>
      </c>
      <c r="E5878">
        <v>2675</v>
      </c>
      <c r="F5878" s="3">
        <v>0</v>
      </c>
      <c r="G5878" s="3">
        <v>1.0500000000000001E-2</v>
      </c>
      <c r="H5878" s="3">
        <v>0.1103</v>
      </c>
      <c r="I5878" s="3">
        <v>0.87919999999999998</v>
      </c>
    </row>
    <row r="5880" spans="1:9" ht="45">
      <c r="A5880" s="22" t="s">
        <v>1334</v>
      </c>
    </row>
    <row r="5881" spans="1:9">
      <c r="A5881" t="s">
        <v>185</v>
      </c>
      <c r="B5881" t="s">
        <v>186</v>
      </c>
      <c r="C5881" t="s">
        <v>192</v>
      </c>
      <c r="D5881" t="s">
        <v>184</v>
      </c>
      <c r="E5881" t="s">
        <v>193</v>
      </c>
      <c r="F5881" t="s">
        <v>257</v>
      </c>
      <c r="G5881" t="s">
        <v>1307</v>
      </c>
      <c r="H5881" t="s">
        <v>1309</v>
      </c>
      <c r="I5881" t="s">
        <v>1310</v>
      </c>
    </row>
    <row r="5882" spans="1:9">
      <c r="A5882" t="s">
        <v>195</v>
      </c>
      <c r="B5882" t="s">
        <v>202</v>
      </c>
      <c r="C5882">
        <v>533</v>
      </c>
      <c r="D5882" t="s">
        <v>194</v>
      </c>
      <c r="E5882">
        <v>2675</v>
      </c>
      <c r="G5882" s="3">
        <v>2.58E-2</v>
      </c>
      <c r="H5882" s="3">
        <v>0.1232</v>
      </c>
      <c r="I5882" s="3">
        <v>0.85099999999999998</v>
      </c>
    </row>
    <row r="5883" spans="1:9">
      <c r="A5883" t="s">
        <v>195</v>
      </c>
      <c r="B5883" t="s">
        <v>204</v>
      </c>
      <c r="C5883">
        <v>301</v>
      </c>
      <c r="D5883" t="s">
        <v>194</v>
      </c>
      <c r="E5883">
        <v>2675</v>
      </c>
      <c r="G5883" s="3">
        <v>1.0200000000000001E-2</v>
      </c>
      <c r="H5883" s="3">
        <v>7.0300000000000001E-2</v>
      </c>
      <c r="I5883" s="3">
        <v>0.91949999999999998</v>
      </c>
    </row>
    <row r="5884" spans="1:9">
      <c r="A5884" t="s">
        <v>195</v>
      </c>
      <c r="B5884" t="s">
        <v>205</v>
      </c>
      <c r="C5884">
        <v>334</v>
      </c>
      <c r="D5884" t="s">
        <v>194</v>
      </c>
      <c r="E5884">
        <v>2675</v>
      </c>
      <c r="F5884" s="3">
        <v>2.0000000000000001E-4</v>
      </c>
      <c r="G5884" s="3">
        <v>5.3E-3</v>
      </c>
      <c r="H5884" s="3">
        <v>0.104</v>
      </c>
      <c r="I5884" s="3">
        <v>0.89039999999999997</v>
      </c>
    </row>
    <row r="5885" spans="1:9">
      <c r="A5885" t="s">
        <v>199</v>
      </c>
      <c r="B5885" t="s">
        <v>202</v>
      </c>
      <c r="C5885">
        <v>537</v>
      </c>
      <c r="D5885" t="s">
        <v>194</v>
      </c>
      <c r="E5885">
        <v>2675</v>
      </c>
      <c r="G5885" s="3">
        <v>2.0999999999999999E-3</v>
      </c>
      <c r="H5885" s="3">
        <v>0.1613</v>
      </c>
      <c r="I5885" s="3">
        <v>0.83650000000000002</v>
      </c>
    </row>
    <row r="5886" spans="1:9">
      <c r="A5886" t="s">
        <v>199</v>
      </c>
      <c r="B5886" t="s">
        <v>204</v>
      </c>
      <c r="C5886">
        <v>426</v>
      </c>
      <c r="D5886" t="s">
        <v>194</v>
      </c>
      <c r="E5886">
        <v>2675</v>
      </c>
      <c r="G5886" s="3">
        <v>7.6E-3</v>
      </c>
      <c r="H5886" s="3">
        <v>1.11E-2</v>
      </c>
      <c r="I5886" s="3">
        <v>0.98129999999999995</v>
      </c>
    </row>
    <row r="5887" spans="1:9">
      <c r="A5887" t="s">
        <v>199</v>
      </c>
      <c r="B5887" t="s">
        <v>205</v>
      </c>
      <c r="C5887">
        <v>505</v>
      </c>
      <c r="D5887" t="s">
        <v>194</v>
      </c>
      <c r="E5887">
        <v>2675</v>
      </c>
      <c r="G5887" s="3">
        <v>2.2000000000000001E-3</v>
      </c>
      <c r="H5887" s="3">
        <v>3.9100000000000003E-2</v>
      </c>
      <c r="I5887" s="3">
        <v>0.9587</v>
      </c>
    </row>
    <row r="5888" spans="1:9">
      <c r="A5888" t="s">
        <v>200</v>
      </c>
      <c r="B5888" t="s">
        <v>200</v>
      </c>
      <c r="C5888">
        <v>2675</v>
      </c>
      <c r="D5888" t="s">
        <v>200</v>
      </c>
      <c r="E5888">
        <v>2675</v>
      </c>
      <c r="F5888" s="3">
        <v>0</v>
      </c>
      <c r="G5888" s="3">
        <v>1.0500000000000001E-2</v>
      </c>
      <c r="H5888" s="3">
        <v>0.1103</v>
      </c>
      <c r="I5888" s="3">
        <v>0.87919999999999998</v>
      </c>
    </row>
    <row r="5890" spans="1:9" ht="45">
      <c r="A5890" s="22" t="s">
        <v>1335</v>
      </c>
    </row>
    <row r="5891" spans="1:9">
      <c r="A5891" t="s">
        <v>185</v>
      </c>
      <c r="B5891" t="s">
        <v>186</v>
      </c>
      <c r="C5891" t="s">
        <v>192</v>
      </c>
      <c r="D5891" t="s">
        <v>184</v>
      </c>
      <c r="E5891" t="s">
        <v>193</v>
      </c>
      <c r="F5891" t="s">
        <v>257</v>
      </c>
      <c r="G5891" t="s">
        <v>1307</v>
      </c>
      <c r="H5891" t="s">
        <v>1309</v>
      </c>
      <c r="I5891" t="s">
        <v>1310</v>
      </c>
    </row>
    <row r="5892" spans="1:9">
      <c r="A5892" t="s">
        <v>195</v>
      </c>
      <c r="B5892" t="s">
        <v>207</v>
      </c>
      <c r="C5892">
        <v>322</v>
      </c>
      <c r="D5892" t="s">
        <v>194</v>
      </c>
      <c r="E5892">
        <v>2675</v>
      </c>
      <c r="F5892" s="3">
        <v>1E-4</v>
      </c>
      <c r="G5892" s="3">
        <v>2.2499999999999999E-2</v>
      </c>
      <c r="H5892" s="3">
        <v>0.1246</v>
      </c>
      <c r="I5892" s="3">
        <v>0.8528</v>
      </c>
    </row>
    <row r="5893" spans="1:9">
      <c r="A5893" t="s">
        <v>195</v>
      </c>
      <c r="B5893" t="s">
        <v>209</v>
      </c>
      <c r="C5893">
        <v>867</v>
      </c>
      <c r="D5893" t="s">
        <v>194</v>
      </c>
      <c r="E5893">
        <v>2675</v>
      </c>
      <c r="G5893" s="3">
        <v>1.8599999999999998E-2</v>
      </c>
      <c r="H5893" s="3">
        <v>0.1036</v>
      </c>
      <c r="I5893" s="3">
        <v>0.87780000000000002</v>
      </c>
    </row>
    <row r="5894" spans="1:9">
      <c r="A5894" t="s">
        <v>199</v>
      </c>
      <c r="B5894" t="s">
        <v>207</v>
      </c>
      <c r="C5894">
        <v>283</v>
      </c>
      <c r="D5894" t="s">
        <v>194</v>
      </c>
      <c r="E5894">
        <v>2675</v>
      </c>
      <c r="G5894" s="3">
        <v>1.2999999999999999E-3</v>
      </c>
      <c r="H5894" s="3">
        <v>0.23050000000000001</v>
      </c>
      <c r="I5894" s="3">
        <v>0.7681</v>
      </c>
    </row>
    <row r="5895" spans="1:9">
      <c r="A5895" t="s">
        <v>199</v>
      </c>
      <c r="B5895" t="s">
        <v>209</v>
      </c>
      <c r="C5895">
        <v>1203</v>
      </c>
      <c r="D5895" t="s">
        <v>194</v>
      </c>
      <c r="E5895">
        <v>2675</v>
      </c>
      <c r="G5895" s="3">
        <v>3.5000000000000001E-3</v>
      </c>
      <c r="H5895" s="3">
        <v>9.4799999999999995E-2</v>
      </c>
      <c r="I5895" s="3">
        <v>0.90180000000000005</v>
      </c>
    </row>
    <row r="5896" spans="1:9">
      <c r="A5896" t="s">
        <v>200</v>
      </c>
      <c r="B5896" t="s">
        <v>200</v>
      </c>
      <c r="C5896">
        <v>2675</v>
      </c>
      <c r="D5896" t="s">
        <v>200</v>
      </c>
      <c r="E5896">
        <v>2675</v>
      </c>
      <c r="F5896" s="3">
        <v>0</v>
      </c>
      <c r="G5896" s="3">
        <v>1.0500000000000001E-2</v>
      </c>
      <c r="H5896" s="3">
        <v>0.1103</v>
      </c>
      <c r="I5896" s="3">
        <v>0.87919999999999998</v>
      </c>
    </row>
    <row r="5898" spans="1:9" ht="45">
      <c r="A5898" s="22" t="s">
        <v>1336</v>
      </c>
    </row>
    <row r="5899" spans="1:9">
      <c r="A5899" t="s">
        <v>185</v>
      </c>
      <c r="B5899" t="s">
        <v>192</v>
      </c>
      <c r="C5899" t="s">
        <v>184</v>
      </c>
      <c r="D5899" t="s">
        <v>193</v>
      </c>
      <c r="E5899" t="s">
        <v>257</v>
      </c>
      <c r="F5899" t="s">
        <v>1307</v>
      </c>
      <c r="G5899" t="s">
        <v>1309</v>
      </c>
      <c r="H5899" t="s">
        <v>1310</v>
      </c>
    </row>
    <row r="5900" spans="1:9">
      <c r="A5900" t="s">
        <v>195</v>
      </c>
      <c r="B5900">
        <v>1189</v>
      </c>
      <c r="C5900" t="s">
        <v>194</v>
      </c>
      <c r="D5900">
        <v>2675</v>
      </c>
      <c r="E5900" s="3">
        <v>0</v>
      </c>
      <c r="F5900" s="3">
        <v>1.9599999999999999E-2</v>
      </c>
      <c r="G5900" s="3">
        <v>0.109</v>
      </c>
      <c r="H5900" s="3">
        <v>0.87139999999999995</v>
      </c>
    </row>
    <row r="5901" spans="1:9">
      <c r="A5901" t="s">
        <v>199</v>
      </c>
      <c r="B5901">
        <v>1486</v>
      </c>
      <c r="C5901" t="s">
        <v>194</v>
      </c>
      <c r="D5901">
        <v>2675</v>
      </c>
      <c r="F5901" s="3">
        <v>3.2000000000000002E-3</v>
      </c>
      <c r="G5901" s="3">
        <v>0.1113</v>
      </c>
      <c r="H5901" s="3">
        <v>0.88549999999999995</v>
      </c>
    </row>
    <row r="5902" spans="1:9">
      <c r="A5902" t="s">
        <v>200</v>
      </c>
      <c r="B5902">
        <v>2675</v>
      </c>
      <c r="C5902" t="s">
        <v>200</v>
      </c>
      <c r="D5902">
        <v>2675</v>
      </c>
      <c r="E5902" s="3">
        <v>0</v>
      </c>
      <c r="F5902" s="3">
        <v>1.0500000000000001E-2</v>
      </c>
      <c r="G5902" s="3">
        <v>0.1103</v>
      </c>
      <c r="H5902" s="3">
        <v>0.87919999999999998</v>
      </c>
    </row>
    <row r="5904" spans="1:9" ht="45">
      <c r="A5904" s="22" t="s">
        <v>1337</v>
      </c>
    </row>
    <row r="5905" spans="1:9">
      <c r="A5905" t="s">
        <v>185</v>
      </c>
      <c r="B5905" t="s">
        <v>186</v>
      </c>
      <c r="C5905" t="s">
        <v>192</v>
      </c>
      <c r="D5905" t="s">
        <v>184</v>
      </c>
      <c r="E5905" t="s">
        <v>193</v>
      </c>
      <c r="F5905" t="s">
        <v>257</v>
      </c>
      <c r="G5905" t="s">
        <v>1307</v>
      </c>
      <c r="H5905" t="s">
        <v>1309</v>
      </c>
      <c r="I5905" t="s">
        <v>1310</v>
      </c>
    </row>
    <row r="5906" spans="1:9">
      <c r="A5906" t="s">
        <v>195</v>
      </c>
      <c r="B5906" t="s">
        <v>212</v>
      </c>
      <c r="C5906">
        <v>873</v>
      </c>
      <c r="D5906" t="s">
        <v>194</v>
      </c>
      <c r="E5906">
        <v>2675</v>
      </c>
      <c r="G5906" s="3">
        <v>1.7399999999999999E-2</v>
      </c>
      <c r="H5906" s="3">
        <v>0.11550000000000001</v>
      </c>
      <c r="I5906" s="3">
        <v>0.86709999999999998</v>
      </c>
    </row>
    <row r="5907" spans="1:9">
      <c r="A5907" t="s">
        <v>195</v>
      </c>
      <c r="B5907" t="s">
        <v>214</v>
      </c>
      <c r="C5907">
        <v>181</v>
      </c>
      <c r="D5907" t="s">
        <v>194</v>
      </c>
      <c r="E5907">
        <v>2675</v>
      </c>
      <c r="F5907" s="3">
        <v>2.0000000000000001E-4</v>
      </c>
      <c r="G5907" s="3">
        <v>3.39E-2</v>
      </c>
      <c r="H5907" s="3">
        <v>6.6900000000000001E-2</v>
      </c>
      <c r="I5907" s="3">
        <v>0.89900000000000002</v>
      </c>
    </row>
    <row r="5908" spans="1:9">
      <c r="A5908" t="s">
        <v>195</v>
      </c>
      <c r="B5908" t="s">
        <v>215</v>
      </c>
      <c r="C5908">
        <v>135</v>
      </c>
      <c r="D5908" t="s">
        <v>194</v>
      </c>
      <c r="E5908">
        <v>2675</v>
      </c>
      <c r="G5908" s="3">
        <v>1.1299999999999999E-2</v>
      </c>
      <c r="H5908" s="3">
        <v>0.13339999999999999</v>
      </c>
      <c r="I5908" s="3">
        <v>0.85529999999999995</v>
      </c>
    </row>
    <row r="5909" spans="1:9">
      <c r="A5909" t="s">
        <v>199</v>
      </c>
      <c r="B5909" t="s">
        <v>212</v>
      </c>
      <c r="C5909">
        <v>1117</v>
      </c>
      <c r="D5909" t="s">
        <v>194</v>
      </c>
      <c r="E5909">
        <v>2675</v>
      </c>
      <c r="G5909" s="3">
        <v>1E-3</v>
      </c>
      <c r="H5909" s="3">
        <v>0.10489999999999999</v>
      </c>
      <c r="I5909" s="3">
        <v>0.89410000000000001</v>
      </c>
    </row>
    <row r="5910" spans="1:9">
      <c r="A5910" t="s">
        <v>199</v>
      </c>
      <c r="B5910" t="s">
        <v>214</v>
      </c>
      <c r="C5910">
        <v>196</v>
      </c>
      <c r="D5910" t="s">
        <v>194</v>
      </c>
      <c r="E5910">
        <v>2675</v>
      </c>
      <c r="G5910" s="3">
        <v>1.43E-2</v>
      </c>
      <c r="H5910" s="3">
        <v>8.4099999999999994E-2</v>
      </c>
      <c r="I5910" s="3">
        <v>0.90159999999999996</v>
      </c>
    </row>
    <row r="5911" spans="1:9">
      <c r="A5911" t="s">
        <v>199</v>
      </c>
      <c r="B5911" t="s">
        <v>215</v>
      </c>
      <c r="C5911">
        <v>173</v>
      </c>
      <c r="D5911" t="s">
        <v>194</v>
      </c>
      <c r="E5911">
        <v>2675</v>
      </c>
      <c r="G5911" s="3">
        <v>3.5000000000000001E-3</v>
      </c>
      <c r="H5911" s="3">
        <v>0.21859999999999999</v>
      </c>
      <c r="I5911" s="3">
        <v>0.77790000000000004</v>
      </c>
    </row>
    <row r="5912" spans="1:9">
      <c r="A5912" t="s">
        <v>200</v>
      </c>
      <c r="B5912" t="s">
        <v>200</v>
      </c>
      <c r="C5912">
        <v>2675</v>
      </c>
      <c r="D5912" t="s">
        <v>200</v>
      </c>
      <c r="E5912">
        <v>2675</v>
      </c>
      <c r="F5912" s="3">
        <v>0</v>
      </c>
      <c r="G5912" s="3">
        <v>1.0500000000000001E-2</v>
      </c>
      <c r="H5912" s="3">
        <v>0.1103</v>
      </c>
      <c r="I5912" s="3">
        <v>0.87919999999999998</v>
      </c>
    </row>
    <row r="5914" spans="1:9" ht="45">
      <c r="A5914" s="22" t="s">
        <v>1338</v>
      </c>
    </row>
    <row r="5915" spans="1:9">
      <c r="A5915" t="s">
        <v>185</v>
      </c>
      <c r="B5915" t="s">
        <v>186</v>
      </c>
      <c r="C5915" t="s">
        <v>192</v>
      </c>
      <c r="D5915" t="s">
        <v>184</v>
      </c>
      <c r="E5915" t="s">
        <v>193</v>
      </c>
      <c r="F5915" t="s">
        <v>257</v>
      </c>
      <c r="G5915" t="s">
        <v>1307</v>
      </c>
      <c r="H5915" t="s">
        <v>1309</v>
      </c>
      <c r="I5915" t="s">
        <v>1310</v>
      </c>
    </row>
    <row r="5916" spans="1:9">
      <c r="A5916" t="s">
        <v>195</v>
      </c>
      <c r="B5916" t="s">
        <v>217</v>
      </c>
      <c r="C5916">
        <v>499</v>
      </c>
      <c r="D5916" t="s">
        <v>194</v>
      </c>
      <c r="E5916">
        <v>2675</v>
      </c>
      <c r="G5916" s="3">
        <v>5.1000000000000004E-3</v>
      </c>
      <c r="H5916" s="3">
        <v>0.1051</v>
      </c>
      <c r="I5916" s="3">
        <v>0.88980000000000004</v>
      </c>
    </row>
    <row r="5917" spans="1:9">
      <c r="A5917" t="s">
        <v>195</v>
      </c>
      <c r="B5917" t="s">
        <v>219</v>
      </c>
      <c r="C5917">
        <v>507</v>
      </c>
      <c r="D5917" t="s">
        <v>194</v>
      </c>
      <c r="E5917">
        <v>2675</v>
      </c>
      <c r="F5917" s="3">
        <v>1E-4</v>
      </c>
      <c r="G5917" s="3">
        <v>3.4700000000000002E-2</v>
      </c>
      <c r="H5917" s="3">
        <v>0.1084</v>
      </c>
      <c r="I5917" s="3">
        <v>0.8569</v>
      </c>
    </row>
    <row r="5918" spans="1:9">
      <c r="A5918" t="s">
        <v>195</v>
      </c>
      <c r="B5918" t="s">
        <v>220</v>
      </c>
      <c r="C5918">
        <v>182</v>
      </c>
      <c r="D5918" t="s">
        <v>194</v>
      </c>
      <c r="E5918">
        <v>2675</v>
      </c>
      <c r="G5918" s="3">
        <v>2.06E-2</v>
      </c>
      <c r="H5918" s="3">
        <v>0.1191</v>
      </c>
      <c r="I5918" s="3">
        <v>0.86040000000000005</v>
      </c>
    </row>
    <row r="5919" spans="1:9">
      <c r="A5919" t="s">
        <v>199</v>
      </c>
      <c r="B5919" t="s">
        <v>217</v>
      </c>
      <c r="C5919">
        <v>813</v>
      </c>
      <c r="D5919" t="s">
        <v>194</v>
      </c>
      <c r="E5919">
        <v>2675</v>
      </c>
      <c r="G5919" s="3">
        <v>8.9999999999999998E-4</v>
      </c>
      <c r="H5919" s="3">
        <v>0.12759999999999999</v>
      </c>
      <c r="I5919" s="3">
        <v>0.87139999999999995</v>
      </c>
    </row>
    <row r="5920" spans="1:9">
      <c r="A5920" t="s">
        <v>199</v>
      </c>
      <c r="B5920" t="s">
        <v>219</v>
      </c>
      <c r="C5920">
        <v>451</v>
      </c>
      <c r="D5920" t="s">
        <v>194</v>
      </c>
      <c r="E5920">
        <v>2675</v>
      </c>
      <c r="G5920" s="3">
        <v>6.7000000000000002E-3</v>
      </c>
      <c r="H5920" s="3">
        <v>5.2600000000000001E-2</v>
      </c>
      <c r="I5920" s="3">
        <v>0.94069999999999998</v>
      </c>
    </row>
    <row r="5921" spans="1:11">
      <c r="A5921" t="s">
        <v>199</v>
      </c>
      <c r="B5921" t="s">
        <v>220</v>
      </c>
      <c r="C5921">
        <v>222</v>
      </c>
      <c r="D5921" t="s">
        <v>194</v>
      </c>
      <c r="E5921">
        <v>2675</v>
      </c>
      <c r="G5921" s="3">
        <v>6.1999999999999998E-3</v>
      </c>
      <c r="H5921" s="3">
        <v>0.1419</v>
      </c>
      <c r="I5921" s="3">
        <v>0.85189999999999999</v>
      </c>
    </row>
    <row r="5922" spans="1:11">
      <c r="A5922" t="s">
        <v>200</v>
      </c>
      <c r="B5922" t="s">
        <v>200</v>
      </c>
      <c r="C5922">
        <v>2675</v>
      </c>
      <c r="D5922" t="s">
        <v>200</v>
      </c>
      <c r="E5922">
        <v>2675</v>
      </c>
      <c r="F5922" s="3">
        <v>0</v>
      </c>
      <c r="G5922" s="3">
        <v>1.0500000000000001E-2</v>
      </c>
      <c r="H5922" s="3">
        <v>0.1103</v>
      </c>
      <c r="I5922" s="3">
        <v>0.87919999999999998</v>
      </c>
    </row>
    <row r="5924" spans="1:11" ht="30">
      <c r="A5924" s="22" t="s">
        <v>1339</v>
      </c>
    </row>
    <row r="5925" spans="1:11">
      <c r="A5925" t="s">
        <v>185</v>
      </c>
      <c r="B5925" t="s">
        <v>186</v>
      </c>
      <c r="C5925" t="s">
        <v>192</v>
      </c>
      <c r="D5925" t="s">
        <v>184</v>
      </c>
      <c r="E5925" t="s">
        <v>193</v>
      </c>
      <c r="F5925" t="s">
        <v>257</v>
      </c>
      <c r="G5925" t="s">
        <v>1340</v>
      </c>
      <c r="H5925" t="s">
        <v>1341</v>
      </c>
      <c r="I5925" t="s">
        <v>1342</v>
      </c>
      <c r="J5925" t="s">
        <v>1343</v>
      </c>
      <c r="K5925" t="s">
        <v>274</v>
      </c>
    </row>
    <row r="5926" spans="1:11">
      <c r="A5926" t="s">
        <v>195</v>
      </c>
      <c r="B5926" t="s">
        <v>196</v>
      </c>
      <c r="C5926">
        <v>412</v>
      </c>
      <c r="D5926" t="s">
        <v>194</v>
      </c>
      <c r="E5926">
        <v>2674</v>
      </c>
      <c r="G5926" s="3">
        <v>8.3999999999999995E-3</v>
      </c>
      <c r="H5926" s="3">
        <v>0.76180000000000003</v>
      </c>
      <c r="I5926" s="3">
        <v>3.1099999999999999E-2</v>
      </c>
      <c r="J5926" s="3">
        <v>0.19869999999999999</v>
      </c>
    </row>
    <row r="5927" spans="1:11">
      <c r="A5927" t="s">
        <v>195</v>
      </c>
      <c r="B5927" t="s">
        <v>198</v>
      </c>
      <c r="C5927">
        <v>755</v>
      </c>
      <c r="D5927" t="s">
        <v>194</v>
      </c>
      <c r="E5927">
        <v>2674</v>
      </c>
      <c r="F5927" s="3">
        <v>1.2999999999999999E-3</v>
      </c>
      <c r="G5927" s="3">
        <v>5.5999999999999999E-3</v>
      </c>
      <c r="H5927" s="3">
        <v>0.77900000000000003</v>
      </c>
      <c r="I5927" s="3">
        <v>2.24E-2</v>
      </c>
      <c r="J5927" s="3">
        <v>0.19170000000000001</v>
      </c>
      <c r="K5927" s="3">
        <v>1E-4</v>
      </c>
    </row>
    <row r="5928" spans="1:11">
      <c r="A5928" t="s">
        <v>199</v>
      </c>
      <c r="B5928" t="s">
        <v>196</v>
      </c>
      <c r="C5928">
        <v>525</v>
      </c>
      <c r="D5928" t="s">
        <v>194</v>
      </c>
      <c r="E5928">
        <v>2674</v>
      </c>
      <c r="F5928" s="3">
        <v>1.8E-3</v>
      </c>
      <c r="G5928" s="3">
        <v>2.6700000000000002E-2</v>
      </c>
      <c r="H5928" s="3">
        <v>0.72570000000000001</v>
      </c>
      <c r="I5928" s="3">
        <v>1.37E-2</v>
      </c>
      <c r="J5928" s="3">
        <v>0.23200000000000001</v>
      </c>
      <c r="K5928" s="3">
        <v>1E-4</v>
      </c>
    </row>
    <row r="5929" spans="1:11">
      <c r="A5929" t="s">
        <v>199</v>
      </c>
      <c r="B5929" t="s">
        <v>198</v>
      </c>
      <c r="C5929">
        <v>943</v>
      </c>
      <c r="D5929" t="s">
        <v>194</v>
      </c>
      <c r="E5929">
        <v>2674</v>
      </c>
      <c r="F5929" s="3">
        <v>1E-4</v>
      </c>
      <c r="G5929" s="3">
        <v>9.4000000000000004E-3</v>
      </c>
      <c r="H5929" s="3">
        <v>0.74590000000000001</v>
      </c>
      <c r="I5929" s="3">
        <v>1.24E-2</v>
      </c>
      <c r="J5929" s="3">
        <v>0.2321</v>
      </c>
    </row>
    <row r="5930" spans="1:11">
      <c r="A5930" t="s">
        <v>200</v>
      </c>
      <c r="B5930" t="s">
        <v>200</v>
      </c>
      <c r="C5930">
        <v>2674</v>
      </c>
      <c r="D5930" t="s">
        <v>200</v>
      </c>
      <c r="E5930">
        <v>2674</v>
      </c>
      <c r="F5930" s="3">
        <v>6.9999999999999999E-4</v>
      </c>
      <c r="G5930" s="3">
        <v>9.9000000000000008E-3</v>
      </c>
      <c r="H5930" s="3">
        <v>0.75639999999999996</v>
      </c>
      <c r="I5930" s="3">
        <v>1.7999999999999999E-2</v>
      </c>
      <c r="J5930" s="3">
        <v>0.215</v>
      </c>
      <c r="K5930" s="3">
        <v>0</v>
      </c>
    </row>
    <row r="5932" spans="1:11" ht="45">
      <c r="A5932" s="22" t="s">
        <v>1344</v>
      </c>
    </row>
    <row r="5933" spans="1:11">
      <c r="A5933" t="s">
        <v>185</v>
      </c>
      <c r="B5933" t="s">
        <v>186</v>
      </c>
      <c r="C5933" t="s">
        <v>192</v>
      </c>
      <c r="D5933" t="s">
        <v>184</v>
      </c>
      <c r="E5933" t="s">
        <v>193</v>
      </c>
      <c r="F5933" t="s">
        <v>257</v>
      </c>
      <c r="G5933" t="s">
        <v>1340</v>
      </c>
      <c r="H5933" t="s">
        <v>1341</v>
      </c>
      <c r="I5933" t="s">
        <v>1342</v>
      </c>
      <c r="J5933" t="s">
        <v>1343</v>
      </c>
      <c r="K5933" t="s">
        <v>274</v>
      </c>
    </row>
    <row r="5934" spans="1:11">
      <c r="A5934" t="s">
        <v>195</v>
      </c>
      <c r="B5934" t="s">
        <v>202</v>
      </c>
      <c r="C5934">
        <v>532</v>
      </c>
      <c r="D5934" t="s">
        <v>194</v>
      </c>
      <c r="E5934">
        <v>2674</v>
      </c>
      <c r="G5934" s="3">
        <v>8.0000000000000004E-4</v>
      </c>
      <c r="H5934" s="3">
        <v>0.76700000000000002</v>
      </c>
      <c r="I5934" s="3">
        <v>3.1099999999999999E-2</v>
      </c>
      <c r="J5934" s="3">
        <v>0.2011</v>
      </c>
    </row>
    <row r="5935" spans="1:11">
      <c r="A5935" t="s">
        <v>195</v>
      </c>
      <c r="B5935" t="s">
        <v>204</v>
      </c>
      <c r="C5935">
        <v>301</v>
      </c>
      <c r="D5935" t="s">
        <v>194</v>
      </c>
      <c r="E5935">
        <v>2674</v>
      </c>
      <c r="F5935" s="3">
        <v>4.4000000000000003E-3</v>
      </c>
      <c r="G5935" s="3">
        <v>9.2999999999999992E-3</v>
      </c>
      <c r="H5935" s="3">
        <v>0.79749999999999999</v>
      </c>
      <c r="I5935" s="3">
        <v>1.47E-2</v>
      </c>
      <c r="J5935" s="3">
        <v>0.17369999999999999</v>
      </c>
      <c r="K5935" s="3">
        <v>2.9999999999999997E-4</v>
      </c>
    </row>
    <row r="5936" spans="1:11">
      <c r="A5936" t="s">
        <v>195</v>
      </c>
      <c r="B5936" t="s">
        <v>205</v>
      </c>
      <c r="C5936">
        <v>334</v>
      </c>
      <c r="D5936" t="s">
        <v>194</v>
      </c>
      <c r="E5936">
        <v>2674</v>
      </c>
      <c r="G5936" s="3">
        <v>2.81E-2</v>
      </c>
      <c r="H5936" s="3">
        <v>0.77329999999999999</v>
      </c>
      <c r="I5936" s="3">
        <v>9.9000000000000008E-3</v>
      </c>
      <c r="J5936" s="3">
        <v>0.18870000000000001</v>
      </c>
    </row>
    <row r="5937" spans="1:11">
      <c r="A5937" t="s">
        <v>199</v>
      </c>
      <c r="B5937" t="s">
        <v>202</v>
      </c>
      <c r="C5937">
        <v>537</v>
      </c>
      <c r="D5937" t="s">
        <v>194</v>
      </c>
      <c r="E5937">
        <v>2674</v>
      </c>
      <c r="F5937" s="3">
        <v>1E-4</v>
      </c>
      <c r="G5937" s="3">
        <v>5.4999999999999997E-3</v>
      </c>
      <c r="H5937" s="3">
        <v>0.74790000000000001</v>
      </c>
      <c r="I5937" s="3">
        <v>1.24E-2</v>
      </c>
      <c r="J5937" s="3">
        <v>0.2341</v>
      </c>
    </row>
    <row r="5938" spans="1:11">
      <c r="A5938" t="s">
        <v>199</v>
      </c>
      <c r="B5938" t="s">
        <v>204</v>
      </c>
      <c r="C5938">
        <v>426</v>
      </c>
      <c r="D5938" t="s">
        <v>194</v>
      </c>
      <c r="E5938">
        <v>2674</v>
      </c>
      <c r="F5938" s="3">
        <v>1.1000000000000001E-3</v>
      </c>
      <c r="G5938" s="3">
        <v>2.4299999999999999E-2</v>
      </c>
      <c r="H5938" s="3">
        <v>0.6371</v>
      </c>
      <c r="I5938" s="3">
        <v>4.4000000000000003E-3</v>
      </c>
      <c r="J5938" s="3">
        <v>0.33310000000000001</v>
      </c>
    </row>
    <row r="5939" spans="1:11">
      <c r="A5939" t="s">
        <v>199</v>
      </c>
      <c r="B5939" t="s">
        <v>205</v>
      </c>
      <c r="C5939">
        <v>505</v>
      </c>
      <c r="D5939" t="s">
        <v>194</v>
      </c>
      <c r="E5939">
        <v>2674</v>
      </c>
      <c r="F5939" s="3">
        <v>6.9999999999999999E-4</v>
      </c>
      <c r="G5939" s="3">
        <v>2.6100000000000002E-2</v>
      </c>
      <c r="H5939" s="3">
        <v>0.84119999999999995</v>
      </c>
      <c r="I5939" s="3">
        <v>2.3300000000000001E-2</v>
      </c>
      <c r="J5939" s="3">
        <v>0.1086</v>
      </c>
      <c r="K5939" s="3">
        <v>1E-4</v>
      </c>
    </row>
    <row r="5940" spans="1:11">
      <c r="A5940" t="s">
        <v>200</v>
      </c>
      <c r="B5940" t="s">
        <v>200</v>
      </c>
      <c r="C5940">
        <v>2674</v>
      </c>
      <c r="D5940" t="s">
        <v>200</v>
      </c>
      <c r="E5940">
        <v>2674</v>
      </c>
      <c r="F5940" s="3">
        <v>6.9999999999999999E-4</v>
      </c>
      <c r="G5940" s="3">
        <v>9.9000000000000008E-3</v>
      </c>
      <c r="H5940" s="3">
        <v>0.75639999999999996</v>
      </c>
      <c r="I5940" s="3">
        <v>1.7999999999999999E-2</v>
      </c>
      <c r="J5940" s="3">
        <v>0.215</v>
      </c>
      <c r="K5940" s="3">
        <v>0</v>
      </c>
    </row>
    <row r="5942" spans="1:11" ht="45">
      <c r="A5942" s="22" t="s">
        <v>1345</v>
      </c>
    </row>
    <row r="5943" spans="1:11">
      <c r="A5943" t="s">
        <v>185</v>
      </c>
      <c r="B5943" t="s">
        <v>186</v>
      </c>
      <c r="C5943" t="s">
        <v>192</v>
      </c>
      <c r="D5943" t="s">
        <v>184</v>
      </c>
      <c r="E5943" t="s">
        <v>193</v>
      </c>
      <c r="F5943" t="s">
        <v>257</v>
      </c>
      <c r="G5943" t="s">
        <v>1340</v>
      </c>
      <c r="H5943" t="s">
        <v>1341</v>
      </c>
      <c r="I5943" t="s">
        <v>1342</v>
      </c>
      <c r="J5943" t="s">
        <v>1343</v>
      </c>
      <c r="K5943" t="s">
        <v>274</v>
      </c>
    </row>
    <row r="5944" spans="1:11">
      <c r="A5944" t="s">
        <v>195</v>
      </c>
      <c r="B5944" t="s">
        <v>207</v>
      </c>
      <c r="C5944">
        <v>321</v>
      </c>
      <c r="D5944" t="s">
        <v>194</v>
      </c>
      <c r="E5944">
        <v>2674</v>
      </c>
      <c r="F5944" s="3">
        <v>3.7000000000000002E-3</v>
      </c>
      <c r="G5944" s="3">
        <v>1.3299999999999999E-2</v>
      </c>
      <c r="H5944" s="3">
        <v>0.74780000000000002</v>
      </c>
      <c r="I5944" s="3">
        <v>2.5399999999999999E-2</v>
      </c>
      <c r="J5944" s="3">
        <v>0.20979999999999999</v>
      </c>
    </row>
    <row r="5945" spans="1:11">
      <c r="A5945" t="s">
        <v>195</v>
      </c>
      <c r="B5945" t="s">
        <v>209</v>
      </c>
      <c r="C5945">
        <v>867</v>
      </c>
      <c r="D5945" t="s">
        <v>194</v>
      </c>
      <c r="E5945">
        <v>2674</v>
      </c>
      <c r="G5945" s="3">
        <v>4.1999999999999997E-3</v>
      </c>
      <c r="H5945" s="3">
        <v>0.78380000000000005</v>
      </c>
      <c r="I5945" s="3">
        <v>2.4299999999999999E-2</v>
      </c>
      <c r="J5945" s="3">
        <v>0.18759999999999999</v>
      </c>
      <c r="K5945" s="3">
        <v>1E-4</v>
      </c>
    </row>
    <row r="5946" spans="1:11">
      <c r="A5946" t="s">
        <v>199</v>
      </c>
      <c r="B5946" t="s">
        <v>207</v>
      </c>
      <c r="C5946">
        <v>283</v>
      </c>
      <c r="D5946" t="s">
        <v>194</v>
      </c>
      <c r="E5946">
        <v>2674</v>
      </c>
      <c r="G5946" s="3">
        <v>9.2999999999999992E-3</v>
      </c>
      <c r="H5946" s="3">
        <v>0.81610000000000005</v>
      </c>
      <c r="I5946" s="3">
        <v>2.29E-2</v>
      </c>
      <c r="J5946" s="3">
        <v>0.15160000000000001</v>
      </c>
      <c r="K5946" s="3">
        <v>2.0000000000000001E-4</v>
      </c>
    </row>
    <row r="5947" spans="1:11">
      <c r="A5947" t="s">
        <v>199</v>
      </c>
      <c r="B5947" t="s">
        <v>209</v>
      </c>
      <c r="C5947">
        <v>1203</v>
      </c>
      <c r="D5947" t="s">
        <v>194</v>
      </c>
      <c r="E5947">
        <v>2674</v>
      </c>
      <c r="F5947" s="3">
        <v>5.0000000000000001E-4</v>
      </c>
      <c r="G5947" s="3">
        <v>1.3100000000000001E-2</v>
      </c>
      <c r="H5947" s="3">
        <v>0.73160000000000003</v>
      </c>
      <c r="I5947" s="3">
        <v>1.12E-2</v>
      </c>
      <c r="J5947" s="3">
        <v>0.24360000000000001</v>
      </c>
    </row>
    <row r="5948" spans="1:11">
      <c r="A5948" t="s">
        <v>200</v>
      </c>
      <c r="B5948" t="s">
        <v>200</v>
      </c>
      <c r="C5948">
        <v>2674</v>
      </c>
      <c r="D5948" t="s">
        <v>200</v>
      </c>
      <c r="E5948">
        <v>2674</v>
      </c>
      <c r="F5948" s="3">
        <v>6.9999999999999999E-4</v>
      </c>
      <c r="G5948" s="3">
        <v>9.9000000000000008E-3</v>
      </c>
      <c r="H5948" s="3">
        <v>0.75639999999999996</v>
      </c>
      <c r="I5948" s="3">
        <v>1.7999999999999999E-2</v>
      </c>
      <c r="J5948" s="3">
        <v>0.215</v>
      </c>
      <c r="K5948" s="3">
        <v>0</v>
      </c>
    </row>
    <row r="5950" spans="1:11" ht="45">
      <c r="A5950" s="22" t="s">
        <v>1346</v>
      </c>
    </row>
    <row r="5951" spans="1:11">
      <c r="A5951" t="s">
        <v>185</v>
      </c>
      <c r="B5951" t="s">
        <v>192</v>
      </c>
      <c r="C5951" t="s">
        <v>184</v>
      </c>
      <c r="D5951" t="s">
        <v>193</v>
      </c>
      <c r="E5951" t="s">
        <v>257</v>
      </c>
      <c r="F5951" t="s">
        <v>1340</v>
      </c>
      <c r="G5951" t="s">
        <v>1341</v>
      </c>
      <c r="H5951" t="s">
        <v>1342</v>
      </c>
      <c r="I5951" t="s">
        <v>1343</v>
      </c>
      <c r="J5951" t="s">
        <v>274</v>
      </c>
    </row>
    <row r="5952" spans="1:11">
      <c r="A5952" t="s">
        <v>195</v>
      </c>
      <c r="B5952">
        <v>1188</v>
      </c>
      <c r="C5952" t="s">
        <v>194</v>
      </c>
      <c r="D5952">
        <v>2674</v>
      </c>
      <c r="E5952" s="3">
        <v>8.9999999999999998E-4</v>
      </c>
      <c r="F5952" s="3">
        <v>6.4999999999999997E-3</v>
      </c>
      <c r="G5952" s="3">
        <v>0.77449999999999997</v>
      </c>
      <c r="H5952" s="3">
        <v>2.46E-2</v>
      </c>
      <c r="I5952" s="3">
        <v>0.1933</v>
      </c>
      <c r="J5952" s="3">
        <v>1E-4</v>
      </c>
    </row>
    <row r="5953" spans="1:11">
      <c r="A5953" t="s">
        <v>199</v>
      </c>
      <c r="B5953">
        <v>1486</v>
      </c>
      <c r="C5953" t="s">
        <v>194</v>
      </c>
      <c r="D5953">
        <v>2674</v>
      </c>
      <c r="E5953" s="3">
        <v>4.0000000000000002E-4</v>
      </c>
      <c r="F5953" s="3">
        <v>1.26E-2</v>
      </c>
      <c r="G5953" s="3">
        <v>0.7419</v>
      </c>
      <c r="H5953" s="3">
        <v>1.26E-2</v>
      </c>
      <c r="I5953" s="3">
        <v>0.2324</v>
      </c>
      <c r="J5953" s="3">
        <v>0</v>
      </c>
    </row>
    <row r="5954" spans="1:11">
      <c r="A5954" t="s">
        <v>200</v>
      </c>
      <c r="B5954">
        <v>2674</v>
      </c>
      <c r="C5954" t="s">
        <v>200</v>
      </c>
      <c r="D5954">
        <v>2674</v>
      </c>
      <c r="E5954" s="3">
        <v>6.9999999999999999E-4</v>
      </c>
      <c r="F5954" s="3">
        <v>9.9000000000000008E-3</v>
      </c>
      <c r="G5954" s="3">
        <v>0.75639999999999996</v>
      </c>
      <c r="H5954" s="3">
        <v>1.7999999999999999E-2</v>
      </c>
      <c r="I5954" s="3">
        <v>0.215</v>
      </c>
      <c r="J5954" s="3">
        <v>0</v>
      </c>
    </row>
    <row r="5956" spans="1:11" ht="30">
      <c r="A5956" s="22" t="s">
        <v>1347</v>
      </c>
    </row>
    <row r="5957" spans="1:11">
      <c r="A5957" t="s">
        <v>185</v>
      </c>
      <c r="B5957" t="s">
        <v>186</v>
      </c>
      <c r="C5957" t="s">
        <v>192</v>
      </c>
      <c r="D5957" t="s">
        <v>184</v>
      </c>
      <c r="E5957" t="s">
        <v>193</v>
      </c>
      <c r="F5957" t="s">
        <v>257</v>
      </c>
      <c r="G5957" t="s">
        <v>1340</v>
      </c>
      <c r="H5957" t="s">
        <v>1341</v>
      </c>
      <c r="I5957" t="s">
        <v>1342</v>
      </c>
      <c r="J5957" t="s">
        <v>1343</v>
      </c>
      <c r="K5957" t="s">
        <v>274</v>
      </c>
    </row>
    <row r="5958" spans="1:11">
      <c r="A5958" t="s">
        <v>195</v>
      </c>
      <c r="B5958" t="s">
        <v>212</v>
      </c>
      <c r="C5958">
        <v>873</v>
      </c>
      <c r="D5958" t="s">
        <v>194</v>
      </c>
      <c r="E5958">
        <v>2674</v>
      </c>
      <c r="G5958" s="3">
        <v>6.8999999999999999E-3</v>
      </c>
      <c r="H5958" s="3">
        <v>0.79479999999999995</v>
      </c>
      <c r="I5958" s="3">
        <v>1.7399999999999999E-2</v>
      </c>
      <c r="J5958" s="3">
        <v>0.18079999999999999</v>
      </c>
      <c r="K5958" s="3">
        <v>1E-4</v>
      </c>
    </row>
    <row r="5959" spans="1:11">
      <c r="A5959" t="s">
        <v>195</v>
      </c>
      <c r="B5959" t="s">
        <v>214</v>
      </c>
      <c r="C5959">
        <v>181</v>
      </c>
      <c r="D5959" t="s">
        <v>194</v>
      </c>
      <c r="E5959">
        <v>2674</v>
      </c>
      <c r="F5959" s="3">
        <v>5.7000000000000002E-3</v>
      </c>
      <c r="G5959" s="3">
        <v>2.0000000000000001E-4</v>
      </c>
      <c r="H5959" s="3">
        <v>0.68520000000000003</v>
      </c>
      <c r="I5959" s="3">
        <v>6.0299999999999999E-2</v>
      </c>
      <c r="J5959" s="3">
        <v>0.2485</v>
      </c>
    </row>
    <row r="5960" spans="1:11">
      <c r="A5960" t="s">
        <v>195</v>
      </c>
      <c r="B5960" t="s">
        <v>215</v>
      </c>
      <c r="C5960">
        <v>134</v>
      </c>
      <c r="D5960" t="s">
        <v>194</v>
      </c>
      <c r="E5960">
        <v>2674</v>
      </c>
      <c r="G5960" s="3">
        <v>1.5699999999999999E-2</v>
      </c>
      <c r="H5960" s="3">
        <v>0.76870000000000005</v>
      </c>
      <c r="I5960" s="3">
        <v>1.9400000000000001E-2</v>
      </c>
      <c r="J5960" s="3">
        <v>0.19620000000000001</v>
      </c>
    </row>
    <row r="5961" spans="1:11">
      <c r="A5961" t="s">
        <v>199</v>
      </c>
      <c r="B5961" t="s">
        <v>212</v>
      </c>
      <c r="C5961">
        <v>1117</v>
      </c>
      <c r="D5961" t="s">
        <v>194</v>
      </c>
      <c r="E5961">
        <v>2674</v>
      </c>
      <c r="F5961" s="3">
        <v>5.9999999999999995E-4</v>
      </c>
      <c r="G5961" s="3">
        <v>1.1299999999999999E-2</v>
      </c>
      <c r="H5961" s="3">
        <v>0.73760000000000003</v>
      </c>
      <c r="I5961" s="3">
        <v>1.23E-2</v>
      </c>
      <c r="J5961" s="3">
        <v>0.2382</v>
      </c>
      <c r="K5961" s="3">
        <v>0</v>
      </c>
    </row>
    <row r="5962" spans="1:11">
      <c r="A5962" t="s">
        <v>199</v>
      </c>
      <c r="B5962" t="s">
        <v>214</v>
      </c>
      <c r="C5962">
        <v>196</v>
      </c>
      <c r="D5962" t="s">
        <v>194</v>
      </c>
      <c r="E5962">
        <v>2674</v>
      </c>
      <c r="G5962" s="3">
        <v>4.1999999999999997E-3</v>
      </c>
      <c r="H5962" s="3">
        <v>0.77510000000000001</v>
      </c>
      <c r="I5962" s="3">
        <v>1.6400000000000001E-2</v>
      </c>
      <c r="J5962" s="3">
        <v>0.2044</v>
      </c>
    </row>
    <row r="5963" spans="1:11">
      <c r="A5963" t="s">
        <v>199</v>
      </c>
      <c r="B5963" t="s">
        <v>215</v>
      </c>
      <c r="C5963">
        <v>173</v>
      </c>
      <c r="D5963" t="s">
        <v>194</v>
      </c>
      <c r="E5963">
        <v>2674</v>
      </c>
      <c r="G5963" s="3">
        <v>3.9699999999999999E-2</v>
      </c>
      <c r="H5963" s="3">
        <v>0.7218</v>
      </c>
      <c r="I5963" s="3">
        <v>8.8000000000000005E-3</v>
      </c>
      <c r="J5963" s="3">
        <v>0.2298</v>
      </c>
    </row>
    <row r="5964" spans="1:11">
      <c r="A5964" t="s">
        <v>200</v>
      </c>
      <c r="B5964" t="s">
        <v>200</v>
      </c>
      <c r="C5964">
        <v>2674</v>
      </c>
      <c r="D5964" t="s">
        <v>200</v>
      </c>
      <c r="E5964">
        <v>2674</v>
      </c>
      <c r="F5964" s="3">
        <v>6.9999999999999999E-4</v>
      </c>
      <c r="G5964" s="3">
        <v>9.9000000000000008E-3</v>
      </c>
      <c r="H5964" s="3">
        <v>0.75639999999999996</v>
      </c>
      <c r="I5964" s="3">
        <v>1.7999999999999999E-2</v>
      </c>
      <c r="J5964" s="3">
        <v>0.215</v>
      </c>
      <c r="K5964" s="3">
        <v>0</v>
      </c>
    </row>
    <row r="5966" spans="1:11" ht="45">
      <c r="A5966" s="22" t="s">
        <v>1348</v>
      </c>
    </row>
    <row r="5967" spans="1:11">
      <c r="A5967" t="s">
        <v>185</v>
      </c>
      <c r="B5967" t="s">
        <v>186</v>
      </c>
      <c r="C5967" t="s">
        <v>192</v>
      </c>
      <c r="D5967" t="s">
        <v>184</v>
      </c>
      <c r="E5967" t="s">
        <v>193</v>
      </c>
      <c r="F5967" t="s">
        <v>257</v>
      </c>
      <c r="G5967" t="s">
        <v>1340</v>
      </c>
      <c r="H5967" t="s">
        <v>1341</v>
      </c>
      <c r="I5967" t="s">
        <v>1342</v>
      </c>
      <c r="J5967" t="s">
        <v>1343</v>
      </c>
      <c r="K5967" t="s">
        <v>274</v>
      </c>
    </row>
    <row r="5968" spans="1:11">
      <c r="A5968" t="s">
        <v>195</v>
      </c>
      <c r="B5968" t="s">
        <v>217</v>
      </c>
      <c r="C5968">
        <v>498</v>
      </c>
      <c r="D5968" t="s">
        <v>194</v>
      </c>
      <c r="E5968">
        <v>2674</v>
      </c>
      <c r="G5968" s="3">
        <v>6.0000000000000001E-3</v>
      </c>
      <c r="H5968" s="3">
        <v>0.78220000000000001</v>
      </c>
      <c r="I5968" s="3">
        <v>1.26E-2</v>
      </c>
      <c r="J5968" s="3">
        <v>0.19900000000000001</v>
      </c>
      <c r="K5968" s="3">
        <v>2.0000000000000001E-4</v>
      </c>
    </row>
    <row r="5969" spans="1:14">
      <c r="A5969" t="s">
        <v>195</v>
      </c>
      <c r="B5969" t="s">
        <v>219</v>
      </c>
      <c r="C5969">
        <v>507</v>
      </c>
      <c r="D5969" t="s">
        <v>194</v>
      </c>
      <c r="E5969">
        <v>2674</v>
      </c>
      <c r="G5969" s="3">
        <v>9.1000000000000004E-3</v>
      </c>
      <c r="H5969" s="3">
        <v>0.74670000000000003</v>
      </c>
      <c r="I5969" s="3">
        <v>4.1399999999999999E-2</v>
      </c>
      <c r="J5969" s="3">
        <v>0.20280000000000001</v>
      </c>
    </row>
    <row r="5970" spans="1:14">
      <c r="A5970" t="s">
        <v>195</v>
      </c>
      <c r="B5970" t="s">
        <v>220</v>
      </c>
      <c r="C5970">
        <v>182</v>
      </c>
      <c r="D5970" t="s">
        <v>194</v>
      </c>
      <c r="E5970">
        <v>2674</v>
      </c>
      <c r="F5970" s="3">
        <v>5.0000000000000001E-3</v>
      </c>
      <c r="G5970" s="3">
        <v>2.3E-3</v>
      </c>
      <c r="H5970" s="3">
        <v>0.81530000000000002</v>
      </c>
      <c r="I5970" s="3">
        <v>1.6799999999999999E-2</v>
      </c>
      <c r="J5970" s="3">
        <v>0.1605</v>
      </c>
    </row>
    <row r="5971" spans="1:14">
      <c r="A5971" t="s">
        <v>199</v>
      </c>
      <c r="B5971" t="s">
        <v>217</v>
      </c>
      <c r="C5971">
        <v>813</v>
      </c>
      <c r="D5971" t="s">
        <v>194</v>
      </c>
      <c r="E5971">
        <v>2674</v>
      </c>
      <c r="F5971" s="3">
        <v>6.9999999999999999E-4</v>
      </c>
      <c r="G5971" s="3">
        <v>1.3299999999999999E-2</v>
      </c>
      <c r="H5971" s="3">
        <v>0.72109999999999996</v>
      </c>
      <c r="I5971" s="3">
        <v>1.14E-2</v>
      </c>
      <c r="J5971" s="3">
        <v>0.25340000000000001</v>
      </c>
      <c r="K5971" s="3">
        <v>0</v>
      </c>
    </row>
    <row r="5972" spans="1:14">
      <c r="A5972" t="s">
        <v>199</v>
      </c>
      <c r="B5972" t="s">
        <v>219</v>
      </c>
      <c r="C5972">
        <v>451</v>
      </c>
      <c r="D5972" t="s">
        <v>194</v>
      </c>
      <c r="E5972">
        <v>2674</v>
      </c>
      <c r="G5972" s="3">
        <v>1.18E-2</v>
      </c>
      <c r="H5972" s="3">
        <v>0.74450000000000005</v>
      </c>
      <c r="I5972" s="3">
        <v>1.1900000000000001E-2</v>
      </c>
      <c r="J5972" s="3">
        <v>0.23180000000000001</v>
      </c>
    </row>
    <row r="5973" spans="1:14">
      <c r="A5973" t="s">
        <v>199</v>
      </c>
      <c r="B5973" t="s">
        <v>220</v>
      </c>
      <c r="C5973">
        <v>222</v>
      </c>
      <c r="D5973" t="s">
        <v>194</v>
      </c>
      <c r="E5973">
        <v>2674</v>
      </c>
      <c r="G5973" s="3">
        <v>1.1299999999999999E-2</v>
      </c>
      <c r="H5973" s="3">
        <v>0.81730000000000003</v>
      </c>
      <c r="I5973" s="3">
        <v>1.8499999999999999E-2</v>
      </c>
      <c r="J5973" s="3">
        <v>0.15290000000000001</v>
      </c>
    </row>
    <row r="5974" spans="1:14">
      <c r="A5974" t="s">
        <v>200</v>
      </c>
      <c r="B5974" t="s">
        <v>200</v>
      </c>
      <c r="C5974">
        <v>2674</v>
      </c>
      <c r="D5974" t="s">
        <v>200</v>
      </c>
      <c r="E5974">
        <v>2674</v>
      </c>
      <c r="F5974" s="3">
        <v>6.9999999999999999E-4</v>
      </c>
      <c r="G5974" s="3">
        <v>9.9000000000000008E-3</v>
      </c>
      <c r="H5974" s="3">
        <v>0.75639999999999996</v>
      </c>
      <c r="I5974" s="3">
        <v>1.7999999999999999E-2</v>
      </c>
      <c r="J5974" s="3">
        <v>0.215</v>
      </c>
      <c r="K5974" s="3">
        <v>0</v>
      </c>
    </row>
    <row r="5976" spans="1:14" ht="30">
      <c r="A5976" s="22" t="s">
        <v>1349</v>
      </c>
    </row>
    <row r="5977" spans="1:14">
      <c r="A5977" t="s">
        <v>185</v>
      </c>
      <c r="B5977" t="s">
        <v>186</v>
      </c>
      <c r="C5977" t="s">
        <v>192</v>
      </c>
      <c r="D5977" t="s">
        <v>184</v>
      </c>
      <c r="E5977" t="s">
        <v>193</v>
      </c>
      <c r="F5977" t="s">
        <v>1350</v>
      </c>
      <c r="G5977" t="s">
        <v>257</v>
      </c>
      <c r="H5977" t="s">
        <v>1351</v>
      </c>
      <c r="I5977" t="s">
        <v>1352</v>
      </c>
      <c r="J5977" t="s">
        <v>1353</v>
      </c>
      <c r="K5977" t="s">
        <v>329</v>
      </c>
      <c r="L5977" t="s">
        <v>274</v>
      </c>
      <c r="M5977" t="s">
        <v>247</v>
      </c>
      <c r="N5977" t="s">
        <v>1354</v>
      </c>
    </row>
    <row r="5978" spans="1:14">
      <c r="A5978" t="s">
        <v>195</v>
      </c>
      <c r="B5978" t="s">
        <v>196</v>
      </c>
      <c r="C5978">
        <v>413</v>
      </c>
      <c r="D5978" t="s">
        <v>194</v>
      </c>
      <c r="E5978">
        <v>2675</v>
      </c>
      <c r="F5978" s="3">
        <v>0.15890000000000001</v>
      </c>
      <c r="G5978" s="3">
        <v>1.24E-2</v>
      </c>
      <c r="H5978" s="3">
        <v>1.89E-2</v>
      </c>
      <c r="I5978" s="3">
        <v>8.4099999999999994E-2</v>
      </c>
      <c r="J5978" s="3">
        <v>0.21640000000000001</v>
      </c>
      <c r="K5978" s="3">
        <v>0.60250000000000004</v>
      </c>
      <c r="L5978" s="3">
        <v>5.8400000000000001E-2</v>
      </c>
      <c r="N5978" s="3">
        <v>6.6100000000000006E-2</v>
      </c>
    </row>
    <row r="5979" spans="1:14">
      <c r="A5979" t="s">
        <v>195</v>
      </c>
      <c r="B5979" t="s">
        <v>198</v>
      </c>
      <c r="C5979">
        <v>755</v>
      </c>
      <c r="D5979" t="s">
        <v>194</v>
      </c>
      <c r="E5979">
        <v>2675</v>
      </c>
      <c r="F5979" s="3">
        <v>0.20530000000000001</v>
      </c>
      <c r="G5979" s="3">
        <v>9.1999999999999998E-3</v>
      </c>
      <c r="H5979" s="3">
        <v>8.0000000000000002E-3</v>
      </c>
      <c r="I5979" s="3">
        <v>0.1663</v>
      </c>
      <c r="J5979" s="3">
        <v>0.25590000000000002</v>
      </c>
      <c r="K5979" s="3">
        <v>0.5181</v>
      </c>
      <c r="L5979" s="3">
        <v>5.1700000000000003E-2</v>
      </c>
      <c r="N5979" s="3">
        <v>4.3499999999999997E-2</v>
      </c>
    </row>
    <row r="5980" spans="1:14">
      <c r="A5980" t="s">
        <v>199</v>
      </c>
      <c r="B5980" t="s">
        <v>196</v>
      </c>
      <c r="C5980">
        <v>525</v>
      </c>
      <c r="D5980" t="s">
        <v>194</v>
      </c>
      <c r="E5980">
        <v>2675</v>
      </c>
      <c r="F5980" s="3">
        <v>0.13750000000000001</v>
      </c>
      <c r="G5980" s="3">
        <v>6.0000000000000001E-3</v>
      </c>
      <c r="H5980" s="3">
        <v>6.8999999999999999E-3</v>
      </c>
      <c r="I5980" s="3">
        <v>9.1300000000000006E-2</v>
      </c>
      <c r="J5980" s="3">
        <v>0.27689999999999998</v>
      </c>
      <c r="K5980" s="3">
        <v>0.58020000000000005</v>
      </c>
      <c r="L5980" s="3">
        <v>2.6100000000000002E-2</v>
      </c>
      <c r="M5980" s="3">
        <v>1E-4</v>
      </c>
      <c r="N5980" s="3">
        <v>0.1103</v>
      </c>
    </row>
    <row r="5981" spans="1:14">
      <c r="A5981" t="s">
        <v>199</v>
      </c>
      <c r="B5981" t="s">
        <v>198</v>
      </c>
      <c r="C5981">
        <v>943</v>
      </c>
      <c r="D5981" t="s">
        <v>194</v>
      </c>
      <c r="E5981">
        <v>2675</v>
      </c>
      <c r="F5981" s="3">
        <v>0.21840000000000001</v>
      </c>
      <c r="G5981" s="3">
        <v>1E-3</v>
      </c>
      <c r="H5981" s="3">
        <v>7.0000000000000001E-3</v>
      </c>
      <c r="I5981" s="3">
        <v>0.25740000000000002</v>
      </c>
      <c r="J5981" s="3">
        <v>0.34060000000000001</v>
      </c>
      <c r="K5981" s="3">
        <v>0.46029999999999999</v>
      </c>
      <c r="L5981" s="3">
        <v>5.8700000000000002E-2</v>
      </c>
      <c r="M5981" s="3">
        <v>5.0000000000000001E-4</v>
      </c>
      <c r="N5981" s="3">
        <v>6.1800000000000001E-2</v>
      </c>
    </row>
    <row r="5982" spans="1:14">
      <c r="A5982" t="s">
        <v>200</v>
      </c>
      <c r="B5982" t="s">
        <v>200</v>
      </c>
      <c r="C5982">
        <v>2675</v>
      </c>
      <c r="D5982" t="s">
        <v>200</v>
      </c>
      <c r="E5982">
        <v>2675</v>
      </c>
      <c r="F5982" s="3">
        <v>0.19889999999999999</v>
      </c>
      <c r="G5982" s="3">
        <v>5.4999999999999997E-3</v>
      </c>
      <c r="H5982" s="3">
        <v>8.8999999999999999E-3</v>
      </c>
      <c r="I5982" s="3">
        <v>0.18970000000000001</v>
      </c>
      <c r="J5982" s="3">
        <v>0.29110000000000003</v>
      </c>
      <c r="K5982" s="3">
        <v>0.50870000000000004</v>
      </c>
      <c r="L5982" s="3">
        <v>5.3100000000000001E-2</v>
      </c>
      <c r="M5982" s="3">
        <v>2.9999999999999997E-4</v>
      </c>
      <c r="N5982" s="3">
        <v>6.1400000000000003E-2</v>
      </c>
    </row>
    <row r="5984" spans="1:14" ht="45">
      <c r="A5984" s="22" t="s">
        <v>1355</v>
      </c>
    </row>
    <row r="5985" spans="1:14">
      <c r="A5985" t="s">
        <v>185</v>
      </c>
      <c r="B5985" t="s">
        <v>186</v>
      </c>
      <c r="C5985" t="s">
        <v>192</v>
      </c>
      <c r="D5985" t="s">
        <v>184</v>
      </c>
      <c r="E5985" t="s">
        <v>193</v>
      </c>
      <c r="F5985" t="s">
        <v>1350</v>
      </c>
      <c r="G5985" t="s">
        <v>257</v>
      </c>
      <c r="H5985" t="s">
        <v>1351</v>
      </c>
      <c r="I5985" t="s">
        <v>1352</v>
      </c>
      <c r="J5985" t="s">
        <v>1353</v>
      </c>
      <c r="K5985" t="s">
        <v>329</v>
      </c>
      <c r="L5985" t="s">
        <v>274</v>
      </c>
      <c r="M5985" t="s">
        <v>247</v>
      </c>
      <c r="N5985" t="s">
        <v>1354</v>
      </c>
    </row>
    <row r="5986" spans="1:14">
      <c r="A5986" t="s">
        <v>195</v>
      </c>
      <c r="B5986" t="s">
        <v>202</v>
      </c>
      <c r="C5986">
        <v>533</v>
      </c>
      <c r="D5986" t="s">
        <v>194</v>
      </c>
      <c r="E5986">
        <v>2675</v>
      </c>
      <c r="F5986" s="3">
        <v>0.16209999999999999</v>
      </c>
      <c r="G5986" s="3">
        <v>1.34E-2</v>
      </c>
      <c r="H5986" s="3">
        <v>1.03E-2</v>
      </c>
      <c r="I5986" s="3">
        <v>0.1249</v>
      </c>
      <c r="J5986" s="3">
        <v>0.23719999999999999</v>
      </c>
      <c r="K5986" s="3">
        <v>0.57430000000000003</v>
      </c>
      <c r="L5986" s="3">
        <v>5.5500000000000001E-2</v>
      </c>
      <c r="N5986" s="3">
        <v>3.5700000000000003E-2</v>
      </c>
    </row>
    <row r="5987" spans="1:14">
      <c r="A5987" t="s">
        <v>195</v>
      </c>
      <c r="B5987" t="s">
        <v>204</v>
      </c>
      <c r="C5987">
        <v>301</v>
      </c>
      <c r="D5987" t="s">
        <v>194</v>
      </c>
      <c r="E5987">
        <v>2675</v>
      </c>
      <c r="F5987" s="3">
        <v>0.23669999999999999</v>
      </c>
      <c r="G5987" s="3">
        <v>4.4000000000000003E-3</v>
      </c>
      <c r="H5987" s="3">
        <v>1.09E-2</v>
      </c>
      <c r="I5987" s="3">
        <v>0.1053</v>
      </c>
      <c r="J5987" s="3">
        <v>0.20660000000000001</v>
      </c>
      <c r="K5987" s="3">
        <v>0.51590000000000003</v>
      </c>
      <c r="L5987" s="3">
        <v>6.4899999999999999E-2</v>
      </c>
      <c r="N5987" s="3">
        <v>7.3499999999999996E-2</v>
      </c>
    </row>
    <row r="5988" spans="1:14">
      <c r="A5988" t="s">
        <v>195</v>
      </c>
      <c r="B5988" t="s">
        <v>205</v>
      </c>
      <c r="C5988">
        <v>334</v>
      </c>
      <c r="D5988" t="s">
        <v>194</v>
      </c>
      <c r="E5988">
        <v>2675</v>
      </c>
      <c r="F5988" s="3">
        <v>0.27110000000000001</v>
      </c>
      <c r="G5988" s="3">
        <v>3.0999999999999999E-3</v>
      </c>
      <c r="H5988" s="3">
        <v>1.3899999999999999E-2</v>
      </c>
      <c r="I5988" s="3">
        <v>0.29870000000000002</v>
      </c>
      <c r="J5988" s="3">
        <v>0.3458</v>
      </c>
      <c r="K5988" s="3">
        <v>0.41870000000000002</v>
      </c>
      <c r="L5988" s="3">
        <v>2.58E-2</v>
      </c>
      <c r="N5988" s="3">
        <v>7.8200000000000006E-2</v>
      </c>
    </row>
    <row r="5989" spans="1:14">
      <c r="A5989" t="s">
        <v>199</v>
      </c>
      <c r="B5989" t="s">
        <v>202</v>
      </c>
      <c r="C5989">
        <v>537</v>
      </c>
      <c r="D5989" t="s">
        <v>194</v>
      </c>
      <c r="E5989">
        <v>2675</v>
      </c>
      <c r="F5989" s="3">
        <v>0.11550000000000001</v>
      </c>
      <c r="G5989" s="3">
        <v>1.6000000000000001E-3</v>
      </c>
      <c r="H5989" s="3">
        <v>4.1999999999999997E-3</v>
      </c>
      <c r="I5989" s="3">
        <v>0.21579999999999999</v>
      </c>
      <c r="J5989" s="3">
        <v>0.35249999999999998</v>
      </c>
      <c r="K5989" s="3">
        <v>0.51659999999999995</v>
      </c>
      <c r="L5989" s="3">
        <v>6.8400000000000002E-2</v>
      </c>
      <c r="M5989" s="3">
        <v>6.9999999999999999E-4</v>
      </c>
      <c r="N5989" s="3">
        <v>7.4899999999999994E-2</v>
      </c>
    </row>
    <row r="5990" spans="1:14">
      <c r="A5990" t="s">
        <v>199</v>
      </c>
      <c r="B5990" t="s">
        <v>204</v>
      </c>
      <c r="C5990">
        <v>426</v>
      </c>
      <c r="D5990" t="s">
        <v>194</v>
      </c>
      <c r="E5990">
        <v>2675</v>
      </c>
      <c r="F5990" s="3">
        <v>0.33279999999999998</v>
      </c>
      <c r="G5990" s="3">
        <v>2.0999999999999999E-3</v>
      </c>
      <c r="H5990" s="3">
        <v>6.1000000000000004E-3</v>
      </c>
      <c r="I5990" s="3">
        <v>0.15160000000000001</v>
      </c>
      <c r="J5990" s="3">
        <v>0.1986</v>
      </c>
      <c r="K5990" s="3">
        <v>0.46779999999999999</v>
      </c>
      <c r="L5990" s="3">
        <v>0.03</v>
      </c>
      <c r="M5990" s="3">
        <v>1E-4</v>
      </c>
      <c r="N5990" s="3">
        <v>3.4299999999999997E-2</v>
      </c>
    </row>
    <row r="5991" spans="1:14">
      <c r="A5991" t="s">
        <v>199</v>
      </c>
      <c r="B5991" t="s">
        <v>205</v>
      </c>
      <c r="C5991">
        <v>505</v>
      </c>
      <c r="D5991" t="s">
        <v>194</v>
      </c>
      <c r="E5991">
        <v>2675</v>
      </c>
      <c r="F5991" s="3">
        <v>0.38550000000000001</v>
      </c>
      <c r="G5991" s="3">
        <v>3.0000000000000001E-3</v>
      </c>
      <c r="H5991" s="3">
        <v>1.84E-2</v>
      </c>
      <c r="I5991" s="3">
        <v>0.3533</v>
      </c>
      <c r="J5991" s="3">
        <v>0.3891</v>
      </c>
      <c r="K5991" s="3">
        <v>0.37119999999999997</v>
      </c>
      <c r="L5991" s="3">
        <v>1.9599999999999999E-2</v>
      </c>
      <c r="N5991" s="3">
        <v>9.7299999999999998E-2</v>
      </c>
    </row>
    <row r="5992" spans="1:14">
      <c r="A5992" t="s">
        <v>200</v>
      </c>
      <c r="B5992" t="s">
        <v>200</v>
      </c>
      <c r="C5992">
        <v>2675</v>
      </c>
      <c r="D5992" t="s">
        <v>200</v>
      </c>
      <c r="E5992">
        <v>2675</v>
      </c>
      <c r="F5992" s="3">
        <v>0.19889999999999999</v>
      </c>
      <c r="G5992" s="3">
        <v>5.4999999999999997E-3</v>
      </c>
      <c r="H5992" s="3">
        <v>8.8999999999999999E-3</v>
      </c>
      <c r="I5992" s="3">
        <v>0.18970000000000001</v>
      </c>
      <c r="J5992" s="3">
        <v>0.29110000000000003</v>
      </c>
      <c r="K5992" s="3">
        <v>0.50870000000000004</v>
      </c>
      <c r="L5992" s="3">
        <v>5.3100000000000001E-2</v>
      </c>
      <c r="M5992" s="3">
        <v>2.9999999999999997E-4</v>
      </c>
      <c r="N5992" s="3">
        <v>6.1400000000000003E-2</v>
      </c>
    </row>
    <row r="5994" spans="1:14" ht="45">
      <c r="A5994" s="22" t="s">
        <v>1356</v>
      </c>
    </row>
    <row r="5995" spans="1:14">
      <c r="A5995" t="s">
        <v>185</v>
      </c>
      <c r="B5995" t="s">
        <v>186</v>
      </c>
      <c r="C5995" t="s">
        <v>192</v>
      </c>
      <c r="D5995" t="s">
        <v>184</v>
      </c>
      <c r="E5995" t="s">
        <v>193</v>
      </c>
      <c r="F5995" t="s">
        <v>1350</v>
      </c>
      <c r="G5995" t="s">
        <v>257</v>
      </c>
      <c r="H5995" t="s">
        <v>1351</v>
      </c>
      <c r="I5995" t="s">
        <v>1352</v>
      </c>
      <c r="J5995" t="s">
        <v>1353</v>
      </c>
      <c r="K5995" t="s">
        <v>329</v>
      </c>
      <c r="L5995" t="s">
        <v>274</v>
      </c>
      <c r="M5995" t="s">
        <v>247</v>
      </c>
      <c r="N5995" t="s">
        <v>1354</v>
      </c>
    </row>
    <row r="5996" spans="1:14">
      <c r="A5996" t="s">
        <v>195</v>
      </c>
      <c r="B5996" t="s">
        <v>207</v>
      </c>
      <c r="C5996">
        <v>322</v>
      </c>
      <c r="D5996" t="s">
        <v>194</v>
      </c>
      <c r="E5996">
        <v>2675</v>
      </c>
      <c r="F5996" s="3">
        <v>0.17460000000000001</v>
      </c>
      <c r="G5996" s="3">
        <v>4.0000000000000001E-3</v>
      </c>
      <c r="H5996" s="3">
        <v>8.2000000000000007E-3</v>
      </c>
      <c r="I5996" s="3">
        <v>0.13619999999999999</v>
      </c>
      <c r="J5996" s="3">
        <v>0.1641</v>
      </c>
      <c r="K5996" s="3">
        <v>0.59650000000000003</v>
      </c>
      <c r="L5996" s="3">
        <v>5.4199999999999998E-2</v>
      </c>
      <c r="N5996" s="3">
        <v>5.6099999999999997E-2</v>
      </c>
    </row>
    <row r="5997" spans="1:14">
      <c r="A5997" t="s">
        <v>195</v>
      </c>
      <c r="B5997" t="s">
        <v>209</v>
      </c>
      <c r="C5997">
        <v>867</v>
      </c>
      <c r="D5997" t="s">
        <v>194</v>
      </c>
      <c r="E5997">
        <v>2675</v>
      </c>
      <c r="F5997" s="3">
        <v>0.19900000000000001</v>
      </c>
      <c r="G5997" s="3">
        <v>1.21E-2</v>
      </c>
      <c r="H5997" s="3">
        <v>1.18E-2</v>
      </c>
      <c r="I5997" s="3">
        <v>0.14610000000000001</v>
      </c>
      <c r="J5997" s="3">
        <v>0.27179999999999999</v>
      </c>
      <c r="K5997" s="3">
        <v>0.52280000000000004</v>
      </c>
      <c r="L5997" s="3">
        <v>5.3499999999999999E-2</v>
      </c>
      <c r="N5997" s="3">
        <v>4.7E-2</v>
      </c>
    </row>
    <row r="5998" spans="1:14">
      <c r="A5998" t="s">
        <v>199</v>
      </c>
      <c r="B5998" t="s">
        <v>207</v>
      </c>
      <c r="C5998">
        <v>283</v>
      </c>
      <c r="D5998" t="s">
        <v>194</v>
      </c>
      <c r="E5998">
        <v>2675</v>
      </c>
      <c r="F5998" s="3">
        <v>0.1699</v>
      </c>
      <c r="G5998" s="3">
        <v>3.3E-3</v>
      </c>
      <c r="H5998" s="3">
        <v>4.1999999999999997E-3</v>
      </c>
      <c r="I5998" s="3">
        <v>0.2671</v>
      </c>
      <c r="J5998" s="3">
        <v>0.38779999999999998</v>
      </c>
      <c r="K5998" s="3">
        <v>0.38669999999999999</v>
      </c>
      <c r="L5998" s="3">
        <v>2.24E-2</v>
      </c>
      <c r="N5998" s="3">
        <v>0.16159999999999999</v>
      </c>
    </row>
    <row r="5999" spans="1:14">
      <c r="A5999" t="s">
        <v>199</v>
      </c>
      <c r="B5999" t="s">
        <v>209</v>
      </c>
      <c r="C5999">
        <v>1203</v>
      </c>
      <c r="D5999" t="s">
        <v>194</v>
      </c>
      <c r="E5999">
        <v>2675</v>
      </c>
      <c r="F5999" s="3">
        <v>0.20849999999999999</v>
      </c>
      <c r="G5999" s="3">
        <v>1.6999999999999999E-3</v>
      </c>
      <c r="H5999" s="3">
        <v>7.7000000000000002E-3</v>
      </c>
      <c r="I5999" s="3">
        <v>0.221</v>
      </c>
      <c r="J5999" s="3">
        <v>0.32040000000000002</v>
      </c>
      <c r="K5999" s="3">
        <v>0.49559999999999998</v>
      </c>
      <c r="L5999" s="3">
        <v>5.6800000000000003E-2</v>
      </c>
      <c r="M5999" s="3">
        <v>5.0000000000000001E-4</v>
      </c>
      <c r="N5999" s="3">
        <v>5.8400000000000001E-2</v>
      </c>
    </row>
    <row r="6000" spans="1:14">
      <c r="A6000" t="s">
        <v>200</v>
      </c>
      <c r="B6000" t="s">
        <v>200</v>
      </c>
      <c r="C6000">
        <v>2675</v>
      </c>
      <c r="D6000" t="s">
        <v>200</v>
      </c>
      <c r="E6000">
        <v>2675</v>
      </c>
      <c r="F6000" s="3">
        <v>0.19889999999999999</v>
      </c>
      <c r="G6000" s="3">
        <v>5.4999999999999997E-3</v>
      </c>
      <c r="H6000" s="3">
        <v>8.8999999999999999E-3</v>
      </c>
      <c r="I6000" s="3">
        <v>0.18970000000000001</v>
      </c>
      <c r="J6000" s="3">
        <v>0.29110000000000003</v>
      </c>
      <c r="K6000" s="3">
        <v>0.50870000000000004</v>
      </c>
      <c r="L6000" s="3">
        <v>5.3100000000000001E-2</v>
      </c>
      <c r="M6000" s="3">
        <v>2.9999999999999997E-4</v>
      </c>
      <c r="N6000" s="3">
        <v>6.1400000000000003E-2</v>
      </c>
    </row>
    <row r="6002" spans="1:14" ht="45">
      <c r="A6002" s="22" t="s">
        <v>1357</v>
      </c>
    </row>
    <row r="6003" spans="1:14">
      <c r="A6003" t="s">
        <v>185</v>
      </c>
      <c r="B6003" t="s">
        <v>192</v>
      </c>
      <c r="C6003" t="s">
        <v>184</v>
      </c>
      <c r="D6003" t="s">
        <v>193</v>
      </c>
      <c r="E6003" t="s">
        <v>1350</v>
      </c>
      <c r="F6003" t="s">
        <v>257</v>
      </c>
      <c r="G6003" t="s">
        <v>1351</v>
      </c>
      <c r="H6003" t="s">
        <v>1352</v>
      </c>
      <c r="I6003" t="s">
        <v>1353</v>
      </c>
      <c r="J6003" t="s">
        <v>329</v>
      </c>
      <c r="K6003" t="s">
        <v>274</v>
      </c>
      <c r="L6003" t="s">
        <v>247</v>
      </c>
      <c r="M6003" t="s">
        <v>1354</v>
      </c>
    </row>
    <row r="6004" spans="1:14">
      <c r="A6004" t="s">
        <v>195</v>
      </c>
      <c r="B6004">
        <v>1189</v>
      </c>
      <c r="C6004" t="s">
        <v>194</v>
      </c>
      <c r="D6004">
        <v>2675</v>
      </c>
      <c r="E6004" s="3">
        <v>0.19270000000000001</v>
      </c>
      <c r="F6004" s="3">
        <v>0.01</v>
      </c>
      <c r="G6004" s="3">
        <v>1.0800000000000001E-2</v>
      </c>
      <c r="H6004" s="3">
        <v>0.14360000000000001</v>
      </c>
      <c r="I6004" s="3">
        <v>0.24410000000000001</v>
      </c>
      <c r="J6004" s="3">
        <v>0.54169999999999996</v>
      </c>
      <c r="K6004" s="3">
        <v>5.3699999999999998E-2</v>
      </c>
      <c r="M6004" s="3">
        <v>4.9399999999999999E-2</v>
      </c>
    </row>
    <row r="6005" spans="1:14">
      <c r="A6005" t="s">
        <v>199</v>
      </c>
      <c r="B6005">
        <v>1486</v>
      </c>
      <c r="C6005" t="s">
        <v>194</v>
      </c>
      <c r="D6005">
        <v>2675</v>
      </c>
      <c r="E6005" s="3">
        <v>0.20380000000000001</v>
      </c>
      <c r="F6005" s="3">
        <v>1.9E-3</v>
      </c>
      <c r="G6005" s="3">
        <v>7.3000000000000001E-3</v>
      </c>
      <c r="H6005" s="3">
        <v>0.2266</v>
      </c>
      <c r="I6005" s="3">
        <v>0.3286</v>
      </c>
      <c r="J6005" s="3">
        <v>0.48230000000000001</v>
      </c>
      <c r="K6005" s="3">
        <v>5.2600000000000001E-2</v>
      </c>
      <c r="L6005" s="3">
        <v>5.0000000000000001E-4</v>
      </c>
      <c r="M6005" s="3">
        <v>7.0999999999999994E-2</v>
      </c>
    </row>
    <row r="6006" spans="1:14">
      <c r="A6006" t="s">
        <v>200</v>
      </c>
      <c r="B6006">
        <v>2675</v>
      </c>
      <c r="C6006" t="s">
        <v>200</v>
      </c>
      <c r="D6006">
        <v>2675</v>
      </c>
      <c r="E6006" s="3">
        <v>0.19889999999999999</v>
      </c>
      <c r="F6006" s="3">
        <v>5.4999999999999997E-3</v>
      </c>
      <c r="G6006" s="3">
        <v>8.8999999999999999E-3</v>
      </c>
      <c r="H6006" s="3">
        <v>0.18970000000000001</v>
      </c>
      <c r="I6006" s="3">
        <v>0.29110000000000003</v>
      </c>
      <c r="J6006" s="3">
        <v>0.50870000000000004</v>
      </c>
      <c r="K6006" s="3">
        <v>5.3100000000000001E-2</v>
      </c>
      <c r="L6006" s="3">
        <v>2.9999999999999997E-4</v>
      </c>
      <c r="M6006" s="3">
        <v>6.1400000000000003E-2</v>
      </c>
    </row>
    <row r="6008" spans="1:14" ht="30">
      <c r="A6008" s="22" t="s">
        <v>1358</v>
      </c>
    </row>
    <row r="6009" spans="1:14">
      <c r="A6009" t="s">
        <v>185</v>
      </c>
      <c r="B6009" t="s">
        <v>186</v>
      </c>
      <c r="C6009" t="s">
        <v>192</v>
      </c>
      <c r="D6009" t="s">
        <v>184</v>
      </c>
      <c r="E6009" t="s">
        <v>193</v>
      </c>
      <c r="F6009" t="s">
        <v>1350</v>
      </c>
      <c r="G6009" t="s">
        <v>257</v>
      </c>
      <c r="H6009" t="s">
        <v>1351</v>
      </c>
      <c r="I6009" t="s">
        <v>1352</v>
      </c>
      <c r="J6009" t="s">
        <v>1353</v>
      </c>
      <c r="K6009" t="s">
        <v>329</v>
      </c>
      <c r="L6009" t="s">
        <v>274</v>
      </c>
      <c r="M6009" t="s">
        <v>247</v>
      </c>
      <c r="N6009" t="s">
        <v>1354</v>
      </c>
    </row>
    <row r="6010" spans="1:14">
      <c r="A6010" t="s">
        <v>195</v>
      </c>
      <c r="B6010" t="s">
        <v>212</v>
      </c>
      <c r="C6010">
        <v>873</v>
      </c>
      <c r="D6010" t="s">
        <v>194</v>
      </c>
      <c r="E6010">
        <v>2675</v>
      </c>
      <c r="F6010" s="3">
        <v>0.19109999999999999</v>
      </c>
      <c r="G6010" s="3">
        <v>5.1000000000000004E-3</v>
      </c>
      <c r="H6010" s="3">
        <v>1.15E-2</v>
      </c>
      <c r="I6010" s="3">
        <v>0.13450000000000001</v>
      </c>
      <c r="J6010" s="3">
        <v>0.24690000000000001</v>
      </c>
      <c r="K6010" s="3">
        <v>0.54349999999999998</v>
      </c>
      <c r="L6010" s="3">
        <v>5.0200000000000002E-2</v>
      </c>
      <c r="N6010" s="3">
        <v>4.9000000000000002E-2</v>
      </c>
    </row>
    <row r="6011" spans="1:14">
      <c r="A6011" t="s">
        <v>195</v>
      </c>
      <c r="B6011" t="s">
        <v>214</v>
      </c>
      <c r="C6011">
        <v>181</v>
      </c>
      <c r="D6011" t="s">
        <v>194</v>
      </c>
      <c r="E6011">
        <v>2675</v>
      </c>
      <c r="F6011" s="3">
        <v>0.19170000000000001</v>
      </c>
      <c r="G6011" s="3">
        <v>3.7400000000000003E-2</v>
      </c>
      <c r="H6011" s="3">
        <v>3.2000000000000002E-3</v>
      </c>
      <c r="I6011" s="3">
        <v>0.21060000000000001</v>
      </c>
      <c r="J6011" s="3">
        <v>0.19539999999999999</v>
      </c>
      <c r="K6011" s="3">
        <v>0.56979999999999997</v>
      </c>
      <c r="L6011" s="3">
        <v>4.65E-2</v>
      </c>
      <c r="N6011" s="3">
        <v>3.7199999999999997E-2</v>
      </c>
    </row>
    <row r="6012" spans="1:14">
      <c r="A6012" t="s">
        <v>195</v>
      </c>
      <c r="B6012" t="s">
        <v>215</v>
      </c>
      <c r="C6012">
        <v>135</v>
      </c>
      <c r="D6012" t="s">
        <v>194</v>
      </c>
      <c r="E6012">
        <v>2675</v>
      </c>
      <c r="F6012" s="3">
        <v>0.20979999999999999</v>
      </c>
      <c r="H6012" s="3">
        <v>1.9599999999999999E-2</v>
      </c>
      <c r="I6012" s="3">
        <v>9.2399999999999996E-2</v>
      </c>
      <c r="J6012" s="3">
        <v>0.31559999999999999</v>
      </c>
      <c r="K6012" s="3">
        <v>0.47039999999999998</v>
      </c>
      <c r="L6012" s="3">
        <v>9.8500000000000004E-2</v>
      </c>
      <c r="N6012" s="3">
        <v>7.6499999999999999E-2</v>
      </c>
    </row>
    <row r="6013" spans="1:14">
      <c r="A6013" t="s">
        <v>199</v>
      </c>
      <c r="B6013" t="s">
        <v>212</v>
      </c>
      <c r="C6013">
        <v>1117</v>
      </c>
      <c r="D6013" t="s">
        <v>194</v>
      </c>
      <c r="E6013">
        <v>2675</v>
      </c>
      <c r="F6013" s="3">
        <v>0.21460000000000001</v>
      </c>
      <c r="G6013" s="3">
        <v>2E-3</v>
      </c>
      <c r="H6013" s="3">
        <v>5.8999999999999999E-3</v>
      </c>
      <c r="I6013" s="3">
        <v>0.20119999999999999</v>
      </c>
      <c r="J6013" s="3">
        <v>0.30640000000000001</v>
      </c>
      <c r="K6013" s="3">
        <v>0.4924</v>
      </c>
      <c r="L6013" s="3">
        <v>5.2900000000000003E-2</v>
      </c>
      <c r="N6013" s="3">
        <v>6.7000000000000004E-2</v>
      </c>
    </row>
    <row r="6014" spans="1:14">
      <c r="A6014" t="s">
        <v>199</v>
      </c>
      <c r="B6014" t="s">
        <v>214</v>
      </c>
      <c r="C6014">
        <v>196</v>
      </c>
      <c r="D6014" t="s">
        <v>194</v>
      </c>
      <c r="E6014">
        <v>2675</v>
      </c>
      <c r="F6014" s="3">
        <v>0.1507</v>
      </c>
      <c r="G6014" s="3">
        <v>8.0000000000000004E-4</v>
      </c>
      <c r="H6014" s="3">
        <v>1.4800000000000001E-2</v>
      </c>
      <c r="I6014" s="3">
        <v>0.36130000000000001</v>
      </c>
      <c r="J6014" s="3">
        <v>0.4088</v>
      </c>
      <c r="K6014" s="3">
        <v>0.44269999999999998</v>
      </c>
      <c r="L6014" s="3">
        <v>7.2999999999999995E-2</v>
      </c>
      <c r="M6014" s="3">
        <v>1E-4</v>
      </c>
      <c r="N6014" s="3">
        <v>3.8800000000000001E-2</v>
      </c>
    </row>
    <row r="6015" spans="1:14">
      <c r="A6015" t="s">
        <v>199</v>
      </c>
      <c r="B6015" t="s">
        <v>215</v>
      </c>
      <c r="C6015">
        <v>173</v>
      </c>
      <c r="D6015" t="s">
        <v>194</v>
      </c>
      <c r="E6015">
        <v>2675</v>
      </c>
      <c r="F6015" s="3">
        <v>0.2009</v>
      </c>
      <c r="G6015" s="3">
        <v>3.3E-3</v>
      </c>
      <c r="H6015" s="3">
        <v>6.4000000000000003E-3</v>
      </c>
      <c r="I6015" s="3">
        <v>0.217</v>
      </c>
      <c r="J6015" s="3">
        <v>0.38740000000000002</v>
      </c>
      <c r="K6015" s="3">
        <v>0.46160000000000001</v>
      </c>
      <c r="L6015" s="3">
        <v>1.32E-2</v>
      </c>
      <c r="M6015" s="3">
        <v>5.1999999999999998E-3</v>
      </c>
      <c r="N6015" s="3">
        <v>0.1646</v>
      </c>
    </row>
    <row r="6016" spans="1:14">
      <c r="A6016" t="s">
        <v>200</v>
      </c>
      <c r="B6016" t="s">
        <v>200</v>
      </c>
      <c r="C6016">
        <v>2675</v>
      </c>
      <c r="D6016" t="s">
        <v>200</v>
      </c>
      <c r="E6016">
        <v>2675</v>
      </c>
      <c r="F6016" s="3">
        <v>0.19889999999999999</v>
      </c>
      <c r="G6016" s="3">
        <v>5.4999999999999997E-3</v>
      </c>
      <c r="H6016" s="3">
        <v>8.8999999999999999E-3</v>
      </c>
      <c r="I6016" s="3">
        <v>0.18970000000000001</v>
      </c>
      <c r="J6016" s="3">
        <v>0.29110000000000003</v>
      </c>
      <c r="K6016" s="3">
        <v>0.50870000000000004</v>
      </c>
      <c r="L6016" s="3">
        <v>5.3100000000000001E-2</v>
      </c>
      <c r="M6016" s="3">
        <v>2.9999999999999997E-4</v>
      </c>
      <c r="N6016" s="3">
        <v>6.1400000000000003E-2</v>
      </c>
    </row>
    <row r="6018" spans="1:14" ht="45">
      <c r="A6018" s="22" t="s">
        <v>1359</v>
      </c>
    </row>
    <row r="6019" spans="1:14">
      <c r="A6019" t="s">
        <v>185</v>
      </c>
      <c r="B6019" t="s">
        <v>186</v>
      </c>
      <c r="C6019" t="s">
        <v>192</v>
      </c>
      <c r="D6019" t="s">
        <v>184</v>
      </c>
      <c r="E6019" t="s">
        <v>193</v>
      </c>
      <c r="F6019" t="s">
        <v>1350</v>
      </c>
      <c r="G6019" t="s">
        <v>257</v>
      </c>
      <c r="H6019" t="s">
        <v>1351</v>
      </c>
      <c r="I6019" t="s">
        <v>1352</v>
      </c>
      <c r="J6019" t="s">
        <v>1353</v>
      </c>
      <c r="K6019" t="s">
        <v>329</v>
      </c>
      <c r="L6019" t="s">
        <v>274</v>
      </c>
      <c r="M6019" t="s">
        <v>247</v>
      </c>
      <c r="N6019" t="s">
        <v>1354</v>
      </c>
    </row>
    <row r="6020" spans="1:14">
      <c r="A6020" t="s">
        <v>195</v>
      </c>
      <c r="B6020" t="s">
        <v>217</v>
      </c>
      <c r="C6020">
        <v>499</v>
      </c>
      <c r="D6020" t="s">
        <v>194</v>
      </c>
      <c r="E6020">
        <v>2675</v>
      </c>
      <c r="F6020" s="3">
        <v>0.20610000000000001</v>
      </c>
      <c r="G6020" s="3">
        <v>9.1999999999999998E-3</v>
      </c>
      <c r="H6020" s="3">
        <v>9.1999999999999998E-3</v>
      </c>
      <c r="I6020" s="3">
        <v>0.1472</v>
      </c>
      <c r="J6020" s="3">
        <v>0.26729999999999998</v>
      </c>
      <c r="K6020" s="3">
        <v>0.51400000000000001</v>
      </c>
      <c r="L6020" s="3">
        <v>5.6899999999999999E-2</v>
      </c>
      <c r="N6020" s="3">
        <v>5.45E-2</v>
      </c>
    </row>
    <row r="6021" spans="1:14">
      <c r="A6021" t="s">
        <v>195</v>
      </c>
      <c r="B6021" t="s">
        <v>219</v>
      </c>
      <c r="C6021">
        <v>507</v>
      </c>
      <c r="D6021" t="s">
        <v>194</v>
      </c>
      <c r="E6021">
        <v>2675</v>
      </c>
      <c r="F6021" s="3">
        <v>0.1467</v>
      </c>
      <c r="G6021" s="3">
        <v>1.34E-2</v>
      </c>
      <c r="H6021" s="3">
        <v>1.5100000000000001E-2</v>
      </c>
      <c r="I6021" s="3">
        <v>0.1154</v>
      </c>
      <c r="J6021" s="3">
        <v>0.20269999999999999</v>
      </c>
      <c r="K6021" s="3">
        <v>0.61609999999999998</v>
      </c>
      <c r="L6021" s="3">
        <v>2.46E-2</v>
      </c>
      <c r="N6021" s="3">
        <v>4.8599999999999997E-2</v>
      </c>
    </row>
    <row r="6022" spans="1:14">
      <c r="A6022" t="s">
        <v>195</v>
      </c>
      <c r="B6022" t="s">
        <v>220</v>
      </c>
      <c r="C6022">
        <v>182</v>
      </c>
      <c r="D6022" t="s">
        <v>194</v>
      </c>
      <c r="E6022">
        <v>2675</v>
      </c>
      <c r="F6022" s="3">
        <v>0.25800000000000001</v>
      </c>
      <c r="G6022" s="3">
        <v>5.0000000000000001E-3</v>
      </c>
      <c r="H6022" s="3">
        <v>5.5999999999999999E-3</v>
      </c>
      <c r="I6022" s="3">
        <v>0.19400000000000001</v>
      </c>
      <c r="J6022" s="3">
        <v>0.27829999999999999</v>
      </c>
      <c r="K6022" s="3">
        <v>0.44940000000000002</v>
      </c>
      <c r="L6022" s="3">
        <v>0.1067</v>
      </c>
      <c r="N6022" s="3">
        <v>3.95E-2</v>
      </c>
    </row>
    <row r="6023" spans="1:14">
      <c r="A6023" t="s">
        <v>199</v>
      </c>
      <c r="B6023" t="s">
        <v>217</v>
      </c>
      <c r="C6023">
        <v>813</v>
      </c>
      <c r="D6023" t="s">
        <v>194</v>
      </c>
      <c r="E6023">
        <v>2675</v>
      </c>
      <c r="F6023" s="3">
        <v>0.22459999999999999</v>
      </c>
      <c r="G6023" s="3">
        <v>1.1000000000000001E-3</v>
      </c>
      <c r="H6023" s="3">
        <v>5.4999999999999997E-3</v>
      </c>
      <c r="I6023" s="3">
        <v>0.19400000000000001</v>
      </c>
      <c r="J6023" s="3">
        <v>0.3337</v>
      </c>
      <c r="K6023" s="3">
        <v>0.49170000000000003</v>
      </c>
      <c r="L6023" s="3">
        <v>5.21E-2</v>
      </c>
      <c r="M6023" s="3">
        <v>6.9999999999999999E-4</v>
      </c>
      <c r="N6023" s="3">
        <v>8.2500000000000004E-2</v>
      </c>
    </row>
    <row r="6024" spans="1:14">
      <c r="A6024" t="s">
        <v>199</v>
      </c>
      <c r="B6024" t="s">
        <v>219</v>
      </c>
      <c r="C6024">
        <v>451</v>
      </c>
      <c r="D6024" t="s">
        <v>194</v>
      </c>
      <c r="E6024">
        <v>2675</v>
      </c>
      <c r="F6024" s="3">
        <v>0.19170000000000001</v>
      </c>
      <c r="G6024" s="3">
        <v>5.0000000000000001E-3</v>
      </c>
      <c r="H6024" s="3">
        <v>1.14E-2</v>
      </c>
      <c r="I6024" s="3">
        <v>0.29160000000000003</v>
      </c>
      <c r="J6024" s="3">
        <v>0.34860000000000002</v>
      </c>
      <c r="K6024" s="3">
        <v>0.48599999999999999</v>
      </c>
      <c r="L6024" s="3">
        <v>1.8200000000000001E-2</v>
      </c>
      <c r="N6024" s="3">
        <v>3.9199999999999999E-2</v>
      </c>
    </row>
    <row r="6025" spans="1:14">
      <c r="A6025" t="s">
        <v>199</v>
      </c>
      <c r="B6025" t="s">
        <v>220</v>
      </c>
      <c r="C6025">
        <v>222</v>
      </c>
      <c r="D6025" t="s">
        <v>194</v>
      </c>
      <c r="E6025">
        <v>2675</v>
      </c>
      <c r="F6025" s="3">
        <v>0.14349999999999999</v>
      </c>
      <c r="H6025" s="3">
        <v>7.7999999999999996E-3</v>
      </c>
      <c r="I6025" s="3">
        <v>0.2487</v>
      </c>
      <c r="J6025" s="3">
        <v>0.27750000000000002</v>
      </c>
      <c r="K6025" s="3">
        <v>0.44059999999999999</v>
      </c>
      <c r="L6025" s="3">
        <v>0.10920000000000001</v>
      </c>
      <c r="M6025" s="3">
        <v>1E-4</v>
      </c>
      <c r="N6025" s="3">
        <v>7.6999999999999999E-2</v>
      </c>
    </row>
    <row r="6026" spans="1:14">
      <c r="A6026" t="s">
        <v>200</v>
      </c>
      <c r="B6026" t="s">
        <v>200</v>
      </c>
      <c r="C6026">
        <v>2675</v>
      </c>
      <c r="D6026" t="s">
        <v>200</v>
      </c>
      <c r="E6026">
        <v>2675</v>
      </c>
      <c r="F6026" s="3">
        <v>0.19889999999999999</v>
      </c>
      <c r="G6026" s="3">
        <v>5.4999999999999997E-3</v>
      </c>
      <c r="H6026" s="3">
        <v>8.8999999999999999E-3</v>
      </c>
      <c r="I6026" s="3">
        <v>0.18970000000000001</v>
      </c>
      <c r="J6026" s="3">
        <v>0.29110000000000003</v>
      </c>
      <c r="K6026" s="3">
        <v>0.50870000000000004</v>
      </c>
      <c r="L6026" s="3">
        <v>5.3100000000000001E-2</v>
      </c>
      <c r="M6026" s="3">
        <v>2.9999999999999997E-4</v>
      </c>
      <c r="N6026" s="3">
        <v>6.1400000000000003E-2</v>
      </c>
    </row>
    <row r="6028" spans="1:14" ht="30">
      <c r="A6028" s="22" t="s">
        <v>1360</v>
      </c>
    </row>
    <row r="6029" spans="1:14">
      <c r="A6029" t="s">
        <v>185</v>
      </c>
      <c r="B6029" t="s">
        <v>186</v>
      </c>
      <c r="C6029" t="s">
        <v>192</v>
      </c>
      <c r="D6029" t="s">
        <v>184</v>
      </c>
      <c r="E6029" t="s">
        <v>193</v>
      </c>
      <c r="F6029" t="s">
        <v>257</v>
      </c>
      <c r="G6029" t="s">
        <v>226</v>
      </c>
      <c r="H6029" t="s">
        <v>227</v>
      </c>
    </row>
    <row r="6030" spans="1:14">
      <c r="A6030" t="s">
        <v>195</v>
      </c>
      <c r="B6030" t="s">
        <v>196</v>
      </c>
      <c r="C6030">
        <v>413</v>
      </c>
      <c r="D6030" t="s">
        <v>194</v>
      </c>
      <c r="E6030">
        <v>2675</v>
      </c>
      <c r="F6030" s="3">
        <v>4.5999999999999999E-3</v>
      </c>
      <c r="G6030" s="3">
        <v>0.76570000000000005</v>
      </c>
      <c r="H6030" s="3">
        <v>0.22969999999999999</v>
      </c>
    </row>
    <row r="6031" spans="1:14">
      <c r="A6031" t="s">
        <v>195</v>
      </c>
      <c r="B6031" t="s">
        <v>198</v>
      </c>
      <c r="C6031">
        <v>755</v>
      </c>
      <c r="D6031" t="s">
        <v>194</v>
      </c>
      <c r="E6031">
        <v>2675</v>
      </c>
      <c r="F6031" s="3">
        <v>7.0000000000000001E-3</v>
      </c>
      <c r="G6031" s="3">
        <v>0.82879999999999998</v>
      </c>
      <c r="H6031" s="3">
        <v>0.16420000000000001</v>
      </c>
    </row>
    <row r="6032" spans="1:14">
      <c r="A6032" t="s">
        <v>199</v>
      </c>
      <c r="B6032" t="s">
        <v>196</v>
      </c>
      <c r="C6032">
        <v>525</v>
      </c>
      <c r="D6032" t="s">
        <v>194</v>
      </c>
      <c r="E6032">
        <v>2675</v>
      </c>
      <c r="F6032" s="3">
        <v>1E-4</v>
      </c>
      <c r="G6032" s="3">
        <v>0.61119999999999997</v>
      </c>
      <c r="H6032" s="3">
        <v>0.38869999999999999</v>
      </c>
    </row>
    <row r="6033" spans="1:8">
      <c r="A6033" t="s">
        <v>199</v>
      </c>
      <c r="B6033" t="s">
        <v>198</v>
      </c>
      <c r="C6033">
        <v>943</v>
      </c>
      <c r="D6033" t="s">
        <v>194</v>
      </c>
      <c r="E6033">
        <v>2675</v>
      </c>
      <c r="F6033" s="3">
        <v>2.0000000000000001E-4</v>
      </c>
      <c r="G6033" s="3">
        <v>0.7046</v>
      </c>
      <c r="H6033" s="3">
        <v>0.29530000000000001</v>
      </c>
    </row>
    <row r="6034" spans="1:8">
      <c r="A6034" t="s">
        <v>200</v>
      </c>
      <c r="B6034" t="s">
        <v>200</v>
      </c>
      <c r="C6034">
        <v>2675</v>
      </c>
      <c r="D6034" t="s">
        <v>200</v>
      </c>
      <c r="E6034">
        <v>2675</v>
      </c>
      <c r="F6034" s="3">
        <v>2.8999999999999998E-3</v>
      </c>
      <c r="G6034" s="3">
        <v>0.74280000000000002</v>
      </c>
      <c r="H6034" s="3">
        <v>0.25430000000000003</v>
      </c>
    </row>
    <row r="6036" spans="1:8" ht="45">
      <c r="A6036" s="22" t="s">
        <v>1361</v>
      </c>
    </row>
    <row r="6037" spans="1:8">
      <c r="A6037" t="s">
        <v>185</v>
      </c>
      <c r="B6037" t="s">
        <v>186</v>
      </c>
      <c r="C6037" t="s">
        <v>192</v>
      </c>
      <c r="D6037" t="s">
        <v>184</v>
      </c>
      <c r="E6037" t="s">
        <v>193</v>
      </c>
      <c r="F6037" t="s">
        <v>257</v>
      </c>
      <c r="G6037" t="s">
        <v>226</v>
      </c>
      <c r="H6037" t="s">
        <v>227</v>
      </c>
    </row>
    <row r="6038" spans="1:8">
      <c r="A6038" t="s">
        <v>195</v>
      </c>
      <c r="B6038" t="s">
        <v>202</v>
      </c>
      <c r="C6038">
        <v>533</v>
      </c>
      <c r="D6038" t="s">
        <v>194</v>
      </c>
      <c r="E6038">
        <v>2675</v>
      </c>
      <c r="F6038" s="3">
        <v>6.1999999999999998E-3</v>
      </c>
      <c r="G6038" s="3">
        <v>0.80010000000000003</v>
      </c>
      <c r="H6038" s="3">
        <v>0.1938</v>
      </c>
    </row>
    <row r="6039" spans="1:8">
      <c r="A6039" t="s">
        <v>195</v>
      </c>
      <c r="B6039" t="s">
        <v>204</v>
      </c>
      <c r="C6039">
        <v>301</v>
      </c>
      <c r="D6039" t="s">
        <v>194</v>
      </c>
      <c r="E6039">
        <v>2675</v>
      </c>
      <c r="F6039" s="3">
        <v>4.7999999999999996E-3</v>
      </c>
      <c r="G6039" s="3">
        <v>0.8135</v>
      </c>
      <c r="H6039" s="3">
        <v>0.1817</v>
      </c>
    </row>
    <row r="6040" spans="1:8">
      <c r="A6040" t="s">
        <v>195</v>
      </c>
      <c r="B6040" t="s">
        <v>205</v>
      </c>
      <c r="C6040">
        <v>334</v>
      </c>
      <c r="D6040" t="s">
        <v>194</v>
      </c>
      <c r="E6040">
        <v>2675</v>
      </c>
      <c r="F6040" s="3">
        <v>9.7000000000000003E-3</v>
      </c>
      <c r="G6040" s="3">
        <v>0.86619999999999997</v>
      </c>
      <c r="H6040" s="3">
        <v>0.1241</v>
      </c>
    </row>
    <row r="6041" spans="1:8">
      <c r="A6041" t="s">
        <v>199</v>
      </c>
      <c r="B6041" t="s">
        <v>202</v>
      </c>
      <c r="C6041">
        <v>537</v>
      </c>
      <c r="D6041" t="s">
        <v>194</v>
      </c>
      <c r="E6041">
        <v>2675</v>
      </c>
      <c r="G6041" s="3">
        <v>0.64400000000000002</v>
      </c>
      <c r="H6041" s="3">
        <v>0.35599999999999998</v>
      </c>
    </row>
    <row r="6042" spans="1:8">
      <c r="A6042" t="s">
        <v>199</v>
      </c>
      <c r="B6042" t="s">
        <v>204</v>
      </c>
      <c r="C6042">
        <v>426</v>
      </c>
      <c r="D6042" t="s">
        <v>194</v>
      </c>
      <c r="E6042">
        <v>2675</v>
      </c>
      <c r="F6042" s="3">
        <v>5.9999999999999995E-4</v>
      </c>
      <c r="G6042" s="3">
        <v>0.79710000000000003</v>
      </c>
      <c r="H6042" s="3">
        <v>0.20230000000000001</v>
      </c>
    </row>
    <row r="6043" spans="1:8">
      <c r="A6043" t="s">
        <v>199</v>
      </c>
      <c r="B6043" t="s">
        <v>205</v>
      </c>
      <c r="C6043">
        <v>505</v>
      </c>
      <c r="D6043" t="s">
        <v>194</v>
      </c>
      <c r="E6043">
        <v>2675</v>
      </c>
      <c r="F6043" s="3">
        <v>1E-4</v>
      </c>
      <c r="G6043" s="3">
        <v>0.7238</v>
      </c>
      <c r="H6043" s="3">
        <v>0.27610000000000001</v>
      </c>
    </row>
    <row r="6044" spans="1:8">
      <c r="A6044" t="s">
        <v>200</v>
      </c>
      <c r="B6044" t="s">
        <v>200</v>
      </c>
      <c r="C6044">
        <v>2675</v>
      </c>
      <c r="D6044" t="s">
        <v>200</v>
      </c>
      <c r="E6044">
        <v>2675</v>
      </c>
      <c r="F6044" s="3">
        <v>2.8999999999999998E-3</v>
      </c>
      <c r="G6044" s="3">
        <v>0.74280000000000002</v>
      </c>
      <c r="H6044" s="3">
        <v>0.25430000000000003</v>
      </c>
    </row>
    <row r="6046" spans="1:8" ht="45">
      <c r="A6046" s="22" t="s">
        <v>1362</v>
      </c>
    </row>
    <row r="6047" spans="1:8">
      <c r="A6047" t="s">
        <v>185</v>
      </c>
      <c r="B6047" t="s">
        <v>186</v>
      </c>
      <c r="C6047" t="s">
        <v>192</v>
      </c>
      <c r="D6047" t="s">
        <v>184</v>
      </c>
      <c r="E6047" t="s">
        <v>193</v>
      </c>
      <c r="F6047" t="s">
        <v>257</v>
      </c>
      <c r="G6047" t="s">
        <v>226</v>
      </c>
      <c r="H6047" t="s">
        <v>227</v>
      </c>
    </row>
    <row r="6048" spans="1:8">
      <c r="A6048" t="s">
        <v>195</v>
      </c>
      <c r="B6048" t="s">
        <v>207</v>
      </c>
      <c r="C6048">
        <v>322</v>
      </c>
      <c r="D6048" t="s">
        <v>194</v>
      </c>
      <c r="E6048">
        <v>2675</v>
      </c>
      <c r="F6048" s="3">
        <v>1.26E-2</v>
      </c>
      <c r="G6048" s="3">
        <v>0.86450000000000005</v>
      </c>
      <c r="H6048" s="3">
        <v>0.1229</v>
      </c>
    </row>
    <row r="6049" spans="1:8">
      <c r="A6049" t="s">
        <v>195</v>
      </c>
      <c r="B6049" t="s">
        <v>209</v>
      </c>
      <c r="C6049">
        <v>867</v>
      </c>
      <c r="D6049" t="s">
        <v>194</v>
      </c>
      <c r="E6049">
        <v>2675</v>
      </c>
      <c r="F6049" s="3">
        <v>4.1999999999999997E-3</v>
      </c>
      <c r="G6049" s="3">
        <v>0.79459999999999997</v>
      </c>
      <c r="H6049" s="3">
        <v>0.20130000000000001</v>
      </c>
    </row>
    <row r="6050" spans="1:8">
      <c r="A6050" t="s">
        <v>199</v>
      </c>
      <c r="B6050" t="s">
        <v>207</v>
      </c>
      <c r="C6050">
        <v>283</v>
      </c>
      <c r="D6050" t="s">
        <v>194</v>
      </c>
      <c r="E6050">
        <v>2675</v>
      </c>
      <c r="G6050" s="3">
        <v>0.81340000000000001</v>
      </c>
      <c r="H6050" s="3">
        <v>0.18659999999999999</v>
      </c>
    </row>
    <row r="6051" spans="1:8">
      <c r="A6051" t="s">
        <v>199</v>
      </c>
      <c r="B6051" t="s">
        <v>209</v>
      </c>
      <c r="C6051">
        <v>1203</v>
      </c>
      <c r="D6051" t="s">
        <v>194</v>
      </c>
      <c r="E6051">
        <v>2675</v>
      </c>
      <c r="F6051" s="3">
        <v>2.0000000000000001E-4</v>
      </c>
      <c r="G6051" s="3">
        <v>0.66949999999999998</v>
      </c>
      <c r="H6051" s="3">
        <v>0.33029999999999998</v>
      </c>
    </row>
    <row r="6052" spans="1:8">
      <c r="A6052" t="s">
        <v>200</v>
      </c>
      <c r="B6052" t="s">
        <v>200</v>
      </c>
      <c r="C6052">
        <v>2675</v>
      </c>
      <c r="D6052" t="s">
        <v>200</v>
      </c>
      <c r="E6052">
        <v>2675</v>
      </c>
      <c r="F6052" s="3">
        <v>2.8999999999999998E-3</v>
      </c>
      <c r="G6052" s="3">
        <v>0.74280000000000002</v>
      </c>
      <c r="H6052" s="3">
        <v>0.25430000000000003</v>
      </c>
    </row>
    <row r="6054" spans="1:8" ht="45">
      <c r="A6054" s="22" t="s">
        <v>1363</v>
      </c>
    </row>
    <row r="6055" spans="1:8">
      <c r="A6055" t="s">
        <v>185</v>
      </c>
      <c r="B6055" t="s">
        <v>192</v>
      </c>
      <c r="C6055" t="s">
        <v>184</v>
      </c>
      <c r="D6055" t="s">
        <v>193</v>
      </c>
      <c r="E6055" t="s">
        <v>257</v>
      </c>
      <c r="F6055" t="s">
        <v>226</v>
      </c>
      <c r="G6055" t="s">
        <v>227</v>
      </c>
    </row>
    <row r="6056" spans="1:8">
      <c r="A6056" t="s">
        <v>195</v>
      </c>
      <c r="B6056">
        <v>1189</v>
      </c>
      <c r="C6056" t="s">
        <v>194</v>
      </c>
      <c r="D6056">
        <v>2675</v>
      </c>
      <c r="E6056" s="3">
        <v>6.3E-3</v>
      </c>
      <c r="F6056" s="3">
        <v>0.81259999999999999</v>
      </c>
      <c r="G6056" s="3">
        <v>0.18110000000000001</v>
      </c>
    </row>
    <row r="6057" spans="1:8">
      <c r="A6057" t="s">
        <v>199</v>
      </c>
      <c r="B6057">
        <v>1486</v>
      </c>
      <c r="C6057" t="s">
        <v>194</v>
      </c>
      <c r="D6057">
        <v>2675</v>
      </c>
      <c r="E6057" s="3">
        <v>1E-4</v>
      </c>
      <c r="F6057" s="3">
        <v>0.68710000000000004</v>
      </c>
      <c r="G6057" s="3">
        <v>0.31280000000000002</v>
      </c>
    </row>
    <row r="6058" spans="1:8">
      <c r="A6058" t="s">
        <v>200</v>
      </c>
      <c r="B6058">
        <v>2675</v>
      </c>
      <c r="C6058" t="s">
        <v>200</v>
      </c>
      <c r="D6058">
        <v>2675</v>
      </c>
      <c r="E6058" s="3">
        <v>2.8999999999999998E-3</v>
      </c>
      <c r="F6058" s="3">
        <v>0.74280000000000002</v>
      </c>
      <c r="G6058" s="3">
        <v>0.25430000000000003</v>
      </c>
    </row>
    <row r="6060" spans="1:8" ht="30">
      <c r="A6060" s="22" t="s">
        <v>1364</v>
      </c>
    </row>
    <row r="6061" spans="1:8">
      <c r="A6061" t="s">
        <v>185</v>
      </c>
      <c r="B6061" t="s">
        <v>186</v>
      </c>
      <c r="C6061" t="s">
        <v>192</v>
      </c>
      <c r="D6061" t="s">
        <v>184</v>
      </c>
      <c r="E6061" t="s">
        <v>193</v>
      </c>
      <c r="F6061" t="s">
        <v>257</v>
      </c>
      <c r="G6061" t="s">
        <v>226</v>
      </c>
      <c r="H6061" t="s">
        <v>227</v>
      </c>
    </row>
    <row r="6062" spans="1:8">
      <c r="A6062" t="s">
        <v>195</v>
      </c>
      <c r="B6062" t="s">
        <v>212</v>
      </c>
      <c r="C6062">
        <v>873</v>
      </c>
      <c r="D6062" t="s">
        <v>194</v>
      </c>
      <c r="E6062">
        <v>2675</v>
      </c>
      <c r="F6062" s="3">
        <v>7.1999999999999998E-3</v>
      </c>
      <c r="G6062" s="3">
        <v>0.80679999999999996</v>
      </c>
      <c r="H6062" s="3">
        <v>0.186</v>
      </c>
    </row>
    <row r="6063" spans="1:8">
      <c r="A6063" t="s">
        <v>195</v>
      </c>
      <c r="B6063" t="s">
        <v>214</v>
      </c>
      <c r="C6063">
        <v>181</v>
      </c>
      <c r="D6063" t="s">
        <v>194</v>
      </c>
      <c r="E6063">
        <v>2675</v>
      </c>
      <c r="F6063" s="3">
        <v>5.7000000000000002E-3</v>
      </c>
      <c r="G6063" s="3">
        <v>0.82720000000000005</v>
      </c>
      <c r="H6063" s="3">
        <v>0.16700000000000001</v>
      </c>
    </row>
    <row r="6064" spans="1:8">
      <c r="A6064" t="s">
        <v>195</v>
      </c>
      <c r="B6064" t="s">
        <v>215</v>
      </c>
      <c r="C6064">
        <v>135</v>
      </c>
      <c r="D6064" t="s">
        <v>194</v>
      </c>
      <c r="E6064">
        <v>2675</v>
      </c>
      <c r="G6064" s="3">
        <v>0.83499999999999996</v>
      </c>
      <c r="H6064" s="3">
        <v>0.16500000000000001</v>
      </c>
    </row>
    <row r="6065" spans="1:8">
      <c r="A6065" t="s">
        <v>199</v>
      </c>
      <c r="B6065" t="s">
        <v>212</v>
      </c>
      <c r="C6065">
        <v>1117</v>
      </c>
      <c r="D6065" t="s">
        <v>194</v>
      </c>
      <c r="E6065">
        <v>2675</v>
      </c>
      <c r="F6065" s="3">
        <v>2.0000000000000001E-4</v>
      </c>
      <c r="G6065" s="3">
        <v>0.66149999999999998</v>
      </c>
      <c r="H6065" s="3">
        <v>0.33829999999999999</v>
      </c>
    </row>
    <row r="6066" spans="1:8">
      <c r="A6066" t="s">
        <v>199</v>
      </c>
      <c r="B6066" t="s">
        <v>214</v>
      </c>
      <c r="C6066">
        <v>196</v>
      </c>
      <c r="D6066" t="s">
        <v>194</v>
      </c>
      <c r="E6066">
        <v>2675</v>
      </c>
      <c r="G6066" s="3">
        <v>0.8508</v>
      </c>
      <c r="H6066" s="3">
        <v>0.1492</v>
      </c>
    </row>
    <row r="6067" spans="1:8">
      <c r="A6067" t="s">
        <v>199</v>
      </c>
      <c r="B6067" t="s">
        <v>215</v>
      </c>
      <c r="C6067">
        <v>173</v>
      </c>
      <c r="D6067" t="s">
        <v>194</v>
      </c>
      <c r="E6067">
        <v>2675</v>
      </c>
      <c r="G6067" s="3">
        <v>0.62670000000000003</v>
      </c>
      <c r="H6067" s="3">
        <v>0.37330000000000002</v>
      </c>
    </row>
    <row r="6068" spans="1:8">
      <c r="A6068" t="s">
        <v>200</v>
      </c>
      <c r="B6068" t="s">
        <v>200</v>
      </c>
      <c r="C6068">
        <v>2675</v>
      </c>
      <c r="D6068" t="s">
        <v>200</v>
      </c>
      <c r="E6068">
        <v>2675</v>
      </c>
      <c r="F6068" s="3">
        <v>2.8999999999999998E-3</v>
      </c>
      <c r="G6068" s="3">
        <v>0.74280000000000002</v>
      </c>
      <c r="H6068" s="3">
        <v>0.25430000000000003</v>
      </c>
    </row>
    <row r="6070" spans="1:8" ht="45">
      <c r="A6070" s="22" t="s">
        <v>1365</v>
      </c>
    </row>
    <row r="6071" spans="1:8">
      <c r="A6071" t="s">
        <v>185</v>
      </c>
      <c r="B6071" t="s">
        <v>186</v>
      </c>
      <c r="C6071" t="s">
        <v>192</v>
      </c>
      <c r="D6071" t="s">
        <v>184</v>
      </c>
      <c r="E6071" t="s">
        <v>193</v>
      </c>
      <c r="F6071" t="s">
        <v>257</v>
      </c>
      <c r="G6071" t="s">
        <v>226</v>
      </c>
      <c r="H6071" t="s">
        <v>227</v>
      </c>
    </row>
    <row r="6072" spans="1:8">
      <c r="A6072" t="s">
        <v>195</v>
      </c>
      <c r="B6072" t="s">
        <v>217</v>
      </c>
      <c r="C6072">
        <v>499</v>
      </c>
      <c r="D6072" t="s">
        <v>194</v>
      </c>
      <c r="E6072">
        <v>2675</v>
      </c>
      <c r="F6072" s="3">
        <v>3.8E-3</v>
      </c>
      <c r="G6072" s="3">
        <v>0.82430000000000003</v>
      </c>
      <c r="H6072" s="3">
        <v>0.1719</v>
      </c>
    </row>
    <row r="6073" spans="1:8">
      <c r="A6073" t="s">
        <v>195</v>
      </c>
      <c r="B6073" t="s">
        <v>219</v>
      </c>
      <c r="C6073">
        <v>507</v>
      </c>
      <c r="D6073" t="s">
        <v>194</v>
      </c>
      <c r="E6073">
        <v>2675</v>
      </c>
      <c r="F6073" s="3">
        <v>9.7000000000000003E-3</v>
      </c>
      <c r="G6073" s="3">
        <v>0.83779999999999999</v>
      </c>
      <c r="H6073" s="3">
        <v>0.1525</v>
      </c>
    </row>
    <row r="6074" spans="1:8">
      <c r="A6074" t="s">
        <v>195</v>
      </c>
      <c r="B6074" t="s">
        <v>220</v>
      </c>
      <c r="C6074">
        <v>182</v>
      </c>
      <c r="D6074" t="s">
        <v>194</v>
      </c>
      <c r="E6074">
        <v>2675</v>
      </c>
      <c r="F6074" s="3">
        <v>5.0000000000000001E-3</v>
      </c>
      <c r="G6074" s="3">
        <v>0.73399999999999999</v>
      </c>
      <c r="H6074" s="3">
        <v>0.26100000000000001</v>
      </c>
    </row>
    <row r="6075" spans="1:8">
      <c r="A6075" t="s">
        <v>199</v>
      </c>
      <c r="B6075" t="s">
        <v>217</v>
      </c>
      <c r="C6075">
        <v>813</v>
      </c>
      <c r="D6075" t="s">
        <v>194</v>
      </c>
      <c r="E6075">
        <v>2675</v>
      </c>
      <c r="G6075" s="3">
        <v>0.65480000000000005</v>
      </c>
      <c r="H6075" s="3">
        <v>0.34520000000000001</v>
      </c>
    </row>
    <row r="6076" spans="1:8">
      <c r="A6076" t="s">
        <v>199</v>
      </c>
      <c r="B6076" t="s">
        <v>219</v>
      </c>
      <c r="C6076">
        <v>451</v>
      </c>
      <c r="D6076" t="s">
        <v>194</v>
      </c>
      <c r="E6076">
        <v>2675</v>
      </c>
      <c r="G6076" s="3">
        <v>0.85509999999999997</v>
      </c>
      <c r="H6076" s="3">
        <v>0.1449</v>
      </c>
    </row>
    <row r="6077" spans="1:8">
      <c r="A6077" t="s">
        <v>199</v>
      </c>
      <c r="B6077" t="s">
        <v>220</v>
      </c>
      <c r="C6077">
        <v>222</v>
      </c>
      <c r="D6077" t="s">
        <v>194</v>
      </c>
      <c r="E6077">
        <v>2675</v>
      </c>
      <c r="F6077" s="3">
        <v>8.9999999999999998E-4</v>
      </c>
      <c r="G6077" s="3">
        <v>0.54459999999999997</v>
      </c>
      <c r="H6077" s="3">
        <v>0.45450000000000002</v>
      </c>
    </row>
    <row r="6078" spans="1:8">
      <c r="A6078" t="s">
        <v>200</v>
      </c>
      <c r="B6078" t="s">
        <v>200</v>
      </c>
      <c r="C6078">
        <v>2675</v>
      </c>
      <c r="D6078" t="s">
        <v>200</v>
      </c>
      <c r="E6078">
        <v>2675</v>
      </c>
      <c r="F6078" s="3">
        <v>2.8999999999999998E-3</v>
      </c>
      <c r="G6078" s="3">
        <v>0.74280000000000002</v>
      </c>
      <c r="H6078" s="3">
        <v>0.25430000000000003</v>
      </c>
    </row>
    <row r="6080" spans="1:8" ht="30">
      <c r="A6080" s="22" t="s">
        <v>1366</v>
      </c>
    </row>
    <row r="6081" spans="1:10">
      <c r="A6081" t="s">
        <v>185</v>
      </c>
      <c r="B6081" t="s">
        <v>186</v>
      </c>
      <c r="C6081" t="s">
        <v>192</v>
      </c>
      <c r="D6081" t="s">
        <v>184</v>
      </c>
      <c r="E6081" t="s">
        <v>193</v>
      </c>
      <c r="F6081" t="s">
        <v>1367</v>
      </c>
      <c r="G6081" t="s">
        <v>257</v>
      </c>
      <c r="H6081" t="s">
        <v>1368</v>
      </c>
      <c r="I6081" t="s">
        <v>1369</v>
      </c>
      <c r="J6081" t="s">
        <v>1370</v>
      </c>
    </row>
    <row r="6082" spans="1:10">
      <c r="A6082" t="s">
        <v>195</v>
      </c>
      <c r="B6082" t="s">
        <v>196</v>
      </c>
      <c r="C6082">
        <v>413</v>
      </c>
      <c r="D6082" t="s">
        <v>194</v>
      </c>
      <c r="E6082">
        <v>2677</v>
      </c>
      <c r="F6082" s="3">
        <v>0.39350000000000002</v>
      </c>
      <c r="G6082" s="3">
        <v>3.1099999999999999E-2</v>
      </c>
      <c r="H6082" s="3">
        <v>5.4899999999999997E-2</v>
      </c>
      <c r="I6082" s="3">
        <v>0.40300000000000002</v>
      </c>
      <c r="J6082" s="3">
        <v>0.11749999999999999</v>
      </c>
    </row>
    <row r="6083" spans="1:10">
      <c r="A6083" t="s">
        <v>195</v>
      </c>
      <c r="B6083" t="s">
        <v>198</v>
      </c>
      <c r="C6083">
        <v>755</v>
      </c>
      <c r="D6083" t="s">
        <v>194</v>
      </c>
      <c r="E6083">
        <v>2677</v>
      </c>
      <c r="F6083" s="3">
        <v>0.42080000000000001</v>
      </c>
      <c r="G6083" s="3">
        <v>2.3699999999999999E-2</v>
      </c>
      <c r="H6083" s="3">
        <v>2.7099999999999999E-2</v>
      </c>
      <c r="I6083" s="3">
        <v>0.44340000000000002</v>
      </c>
      <c r="J6083" s="3">
        <v>8.5000000000000006E-2</v>
      </c>
    </row>
    <row r="6084" spans="1:10">
      <c r="A6084" t="s">
        <v>199</v>
      </c>
      <c r="B6084" t="s">
        <v>196</v>
      </c>
      <c r="C6084">
        <v>525</v>
      </c>
      <c r="D6084" t="s">
        <v>194</v>
      </c>
      <c r="E6084">
        <v>2677</v>
      </c>
      <c r="F6084" s="3">
        <v>0.40760000000000002</v>
      </c>
      <c r="G6084" s="3">
        <v>2.3699999999999999E-2</v>
      </c>
      <c r="H6084" s="3">
        <v>4.8399999999999999E-2</v>
      </c>
      <c r="I6084" s="3">
        <v>0.40760000000000002</v>
      </c>
      <c r="J6084" s="3">
        <v>0.11269999999999999</v>
      </c>
    </row>
    <row r="6085" spans="1:10">
      <c r="A6085" t="s">
        <v>199</v>
      </c>
      <c r="B6085" t="s">
        <v>198</v>
      </c>
      <c r="C6085">
        <v>945</v>
      </c>
      <c r="D6085" t="s">
        <v>194</v>
      </c>
      <c r="E6085">
        <v>2677</v>
      </c>
      <c r="F6085" s="3">
        <v>0.46460000000000001</v>
      </c>
      <c r="G6085" s="3">
        <v>1.5E-3</v>
      </c>
      <c r="H6085" s="3">
        <v>2.7699999999999999E-2</v>
      </c>
      <c r="I6085" s="3">
        <v>0.41909999999999997</v>
      </c>
      <c r="J6085" s="3">
        <v>8.6999999999999994E-2</v>
      </c>
    </row>
    <row r="6086" spans="1:10">
      <c r="A6086" t="s">
        <v>200</v>
      </c>
      <c r="B6086" t="s">
        <v>200</v>
      </c>
      <c r="C6086">
        <v>2677</v>
      </c>
      <c r="D6086" t="s">
        <v>200</v>
      </c>
      <c r="E6086">
        <v>2677</v>
      </c>
      <c r="F6086" s="3">
        <v>0.43630000000000002</v>
      </c>
      <c r="G6086" s="3">
        <v>1.4500000000000001E-2</v>
      </c>
      <c r="H6086" s="3">
        <v>3.2800000000000003E-2</v>
      </c>
      <c r="I6086" s="3">
        <v>0.42380000000000001</v>
      </c>
      <c r="J6086" s="3">
        <v>9.2600000000000002E-2</v>
      </c>
    </row>
    <row r="6088" spans="1:10" ht="45">
      <c r="A6088" s="22" t="s">
        <v>1371</v>
      </c>
    </row>
    <row r="6089" spans="1:10">
      <c r="A6089" t="s">
        <v>185</v>
      </c>
      <c r="B6089" t="s">
        <v>186</v>
      </c>
      <c r="C6089" t="s">
        <v>192</v>
      </c>
      <c r="D6089" t="s">
        <v>184</v>
      </c>
      <c r="E6089" t="s">
        <v>193</v>
      </c>
      <c r="F6089" t="s">
        <v>1367</v>
      </c>
      <c r="G6089" t="s">
        <v>257</v>
      </c>
      <c r="H6089" t="s">
        <v>1368</v>
      </c>
      <c r="I6089" t="s">
        <v>1369</v>
      </c>
      <c r="J6089" t="s">
        <v>1370</v>
      </c>
    </row>
    <row r="6090" spans="1:10">
      <c r="A6090" t="s">
        <v>195</v>
      </c>
      <c r="B6090" t="s">
        <v>202</v>
      </c>
      <c r="C6090">
        <v>533</v>
      </c>
      <c r="D6090" t="s">
        <v>194</v>
      </c>
      <c r="E6090">
        <v>2677</v>
      </c>
      <c r="F6090" s="3">
        <v>0.41189999999999999</v>
      </c>
      <c r="G6090" s="3">
        <v>2.5100000000000001E-2</v>
      </c>
      <c r="H6090" s="3">
        <v>2.5999999999999999E-2</v>
      </c>
      <c r="I6090" s="3">
        <v>0.44359999999999999</v>
      </c>
      <c r="J6090" s="3">
        <v>9.35E-2</v>
      </c>
    </row>
    <row r="6091" spans="1:10">
      <c r="A6091" t="s">
        <v>195</v>
      </c>
      <c r="B6091" t="s">
        <v>204</v>
      </c>
      <c r="C6091">
        <v>301</v>
      </c>
      <c r="D6091" t="s">
        <v>194</v>
      </c>
      <c r="E6091">
        <v>2677</v>
      </c>
      <c r="F6091" s="3">
        <v>0.51060000000000005</v>
      </c>
      <c r="G6091" s="3">
        <v>4.0399999999999998E-2</v>
      </c>
      <c r="H6091" s="3">
        <v>4.9099999999999998E-2</v>
      </c>
      <c r="I6091" s="3">
        <v>0.34210000000000002</v>
      </c>
      <c r="J6091" s="3">
        <v>5.7799999999999997E-2</v>
      </c>
    </row>
    <row r="6092" spans="1:10">
      <c r="A6092" t="s">
        <v>195</v>
      </c>
      <c r="B6092" t="s">
        <v>205</v>
      </c>
      <c r="C6092">
        <v>334</v>
      </c>
      <c r="D6092" t="s">
        <v>194</v>
      </c>
      <c r="E6092">
        <v>2677</v>
      </c>
      <c r="F6092" s="3">
        <v>0.26750000000000002</v>
      </c>
      <c r="G6092" s="3">
        <v>5.1000000000000004E-3</v>
      </c>
      <c r="H6092" s="3">
        <v>5.2299999999999999E-2</v>
      </c>
      <c r="I6092" s="3">
        <v>0.52339999999999998</v>
      </c>
      <c r="J6092" s="3">
        <v>0.1517</v>
      </c>
    </row>
    <row r="6093" spans="1:10">
      <c r="A6093" t="s">
        <v>199</v>
      </c>
      <c r="B6093" t="s">
        <v>202</v>
      </c>
      <c r="C6093">
        <v>538</v>
      </c>
      <c r="D6093" t="s">
        <v>194</v>
      </c>
      <c r="E6093">
        <v>2677</v>
      </c>
      <c r="F6093" s="3">
        <v>0.42359999999999998</v>
      </c>
      <c r="G6093" s="3">
        <v>6.3E-3</v>
      </c>
      <c r="H6093" s="3">
        <v>2.8799999999999999E-2</v>
      </c>
      <c r="I6093" s="3">
        <v>0.43890000000000001</v>
      </c>
      <c r="J6093" s="3">
        <v>0.1024</v>
      </c>
    </row>
    <row r="6094" spans="1:10">
      <c r="A6094" t="s">
        <v>199</v>
      </c>
      <c r="B6094" t="s">
        <v>204</v>
      </c>
      <c r="C6094">
        <v>426</v>
      </c>
      <c r="D6094" t="s">
        <v>194</v>
      </c>
      <c r="E6094">
        <v>2677</v>
      </c>
      <c r="F6094" s="3">
        <v>0.61729999999999996</v>
      </c>
      <c r="G6094" s="3">
        <v>5.1000000000000004E-3</v>
      </c>
      <c r="H6094" s="3">
        <v>2.81E-2</v>
      </c>
      <c r="I6094" s="3">
        <v>0.27979999999999999</v>
      </c>
      <c r="J6094" s="3">
        <v>6.9699999999999998E-2</v>
      </c>
    </row>
    <row r="6095" spans="1:10">
      <c r="A6095" t="s">
        <v>199</v>
      </c>
      <c r="B6095" t="s">
        <v>205</v>
      </c>
      <c r="C6095">
        <v>506</v>
      </c>
      <c r="D6095" t="s">
        <v>194</v>
      </c>
      <c r="E6095">
        <v>2677</v>
      </c>
      <c r="F6095" s="3">
        <v>0.38109999999999999</v>
      </c>
      <c r="G6095" s="3">
        <v>3.8E-3</v>
      </c>
      <c r="H6095" s="3">
        <v>4.5999999999999999E-2</v>
      </c>
      <c r="I6095" s="3">
        <v>0.49199999999999999</v>
      </c>
      <c r="J6095" s="3">
        <v>7.6999999999999999E-2</v>
      </c>
    </row>
    <row r="6096" spans="1:10">
      <c r="A6096" t="s">
        <v>200</v>
      </c>
      <c r="B6096" t="s">
        <v>200</v>
      </c>
      <c r="C6096">
        <v>2677</v>
      </c>
      <c r="D6096" t="s">
        <v>200</v>
      </c>
      <c r="E6096">
        <v>2677</v>
      </c>
      <c r="F6096" s="3">
        <v>0.43630000000000002</v>
      </c>
      <c r="G6096" s="3">
        <v>1.4500000000000001E-2</v>
      </c>
      <c r="H6096" s="3">
        <v>3.2800000000000003E-2</v>
      </c>
      <c r="I6096" s="3">
        <v>0.42380000000000001</v>
      </c>
      <c r="J6096" s="3">
        <v>9.2600000000000002E-2</v>
      </c>
    </row>
    <row r="6098" spans="1:10" ht="45">
      <c r="A6098" s="22" t="s">
        <v>1372</v>
      </c>
    </row>
    <row r="6099" spans="1:10">
      <c r="A6099" t="s">
        <v>185</v>
      </c>
      <c r="B6099" t="s">
        <v>186</v>
      </c>
      <c r="C6099" t="s">
        <v>192</v>
      </c>
      <c r="D6099" t="s">
        <v>184</v>
      </c>
      <c r="E6099" t="s">
        <v>193</v>
      </c>
      <c r="F6099" t="s">
        <v>1367</v>
      </c>
      <c r="G6099" t="s">
        <v>257</v>
      </c>
      <c r="H6099" t="s">
        <v>1368</v>
      </c>
      <c r="I6099" t="s">
        <v>1369</v>
      </c>
      <c r="J6099" t="s">
        <v>1370</v>
      </c>
    </row>
    <row r="6100" spans="1:10">
      <c r="A6100" t="s">
        <v>195</v>
      </c>
      <c r="B6100" t="s">
        <v>207</v>
      </c>
      <c r="C6100">
        <v>322</v>
      </c>
      <c r="D6100" t="s">
        <v>194</v>
      </c>
      <c r="E6100">
        <v>2677</v>
      </c>
      <c r="F6100" s="3">
        <v>0.3614</v>
      </c>
      <c r="G6100" s="3">
        <v>0.03</v>
      </c>
      <c r="H6100" s="3">
        <v>4.9399999999999999E-2</v>
      </c>
      <c r="I6100" s="3">
        <v>0.45540000000000003</v>
      </c>
      <c r="J6100" s="3">
        <v>0.10390000000000001</v>
      </c>
    </row>
    <row r="6101" spans="1:10">
      <c r="A6101" t="s">
        <v>195</v>
      </c>
      <c r="B6101" t="s">
        <v>209</v>
      </c>
      <c r="C6101">
        <v>867</v>
      </c>
      <c r="D6101" t="s">
        <v>194</v>
      </c>
      <c r="E6101">
        <v>2677</v>
      </c>
      <c r="F6101" s="3">
        <v>0.43240000000000001</v>
      </c>
      <c r="G6101" s="3">
        <v>2.4E-2</v>
      </c>
      <c r="H6101" s="3">
        <v>2.92E-2</v>
      </c>
      <c r="I6101" s="3">
        <v>0.4244</v>
      </c>
      <c r="J6101" s="3">
        <v>0.09</v>
      </c>
    </row>
    <row r="6102" spans="1:10">
      <c r="A6102" t="s">
        <v>199</v>
      </c>
      <c r="B6102" t="s">
        <v>207</v>
      </c>
      <c r="C6102">
        <v>283</v>
      </c>
      <c r="D6102" t="s">
        <v>194</v>
      </c>
      <c r="E6102">
        <v>2677</v>
      </c>
      <c r="F6102" s="3">
        <v>0.31440000000000001</v>
      </c>
      <c r="G6102" s="3">
        <v>8.0999999999999996E-3</v>
      </c>
      <c r="H6102" s="3">
        <v>5.6399999999999999E-2</v>
      </c>
      <c r="I6102" s="3">
        <v>0.45800000000000002</v>
      </c>
      <c r="J6102" s="3">
        <v>0.16309999999999999</v>
      </c>
    </row>
    <row r="6103" spans="1:10">
      <c r="A6103" t="s">
        <v>199</v>
      </c>
      <c r="B6103" t="s">
        <v>209</v>
      </c>
      <c r="C6103">
        <v>1205</v>
      </c>
      <c r="D6103" t="s">
        <v>194</v>
      </c>
      <c r="E6103">
        <v>2677</v>
      </c>
      <c r="F6103" s="3">
        <v>0.47339999999999999</v>
      </c>
      <c r="G6103" s="3">
        <v>5.3E-3</v>
      </c>
      <c r="H6103" s="3">
        <v>2.81E-2</v>
      </c>
      <c r="I6103" s="3">
        <v>0.4113</v>
      </c>
      <c r="J6103" s="3">
        <v>8.1900000000000001E-2</v>
      </c>
    </row>
    <row r="6104" spans="1:10">
      <c r="A6104" t="s">
        <v>200</v>
      </c>
      <c r="B6104" t="s">
        <v>200</v>
      </c>
      <c r="C6104">
        <v>2677</v>
      </c>
      <c r="D6104" t="s">
        <v>200</v>
      </c>
      <c r="E6104">
        <v>2677</v>
      </c>
      <c r="F6104" s="3">
        <v>0.43630000000000002</v>
      </c>
      <c r="G6104" s="3">
        <v>1.4500000000000001E-2</v>
      </c>
      <c r="H6104" s="3">
        <v>3.2800000000000003E-2</v>
      </c>
      <c r="I6104" s="3">
        <v>0.42380000000000001</v>
      </c>
      <c r="J6104" s="3">
        <v>9.2600000000000002E-2</v>
      </c>
    </row>
    <row r="6106" spans="1:10" ht="45">
      <c r="A6106" s="22" t="s">
        <v>1373</v>
      </c>
    </row>
    <row r="6107" spans="1:10">
      <c r="A6107" t="s">
        <v>185</v>
      </c>
      <c r="B6107" t="s">
        <v>192</v>
      </c>
      <c r="C6107" t="s">
        <v>184</v>
      </c>
      <c r="D6107" t="s">
        <v>193</v>
      </c>
      <c r="E6107" t="s">
        <v>1367</v>
      </c>
      <c r="F6107" t="s">
        <v>257</v>
      </c>
      <c r="G6107" t="s">
        <v>1368</v>
      </c>
      <c r="H6107" t="s">
        <v>1369</v>
      </c>
      <c r="I6107" t="s">
        <v>1370</v>
      </c>
    </row>
    <row r="6108" spans="1:10">
      <c r="A6108" t="s">
        <v>195</v>
      </c>
      <c r="B6108">
        <v>1189</v>
      </c>
      <c r="C6108" t="s">
        <v>194</v>
      </c>
      <c r="D6108">
        <v>2677</v>
      </c>
      <c r="E6108" s="3">
        <v>0.41420000000000001</v>
      </c>
      <c r="F6108" s="3">
        <v>2.5499999999999998E-2</v>
      </c>
      <c r="G6108" s="3">
        <v>3.44E-2</v>
      </c>
      <c r="H6108" s="3">
        <v>0.43240000000000001</v>
      </c>
      <c r="I6108" s="3">
        <v>9.3600000000000003E-2</v>
      </c>
    </row>
    <row r="6109" spans="1:10">
      <c r="A6109" t="s">
        <v>199</v>
      </c>
      <c r="B6109">
        <v>1488</v>
      </c>
      <c r="C6109" t="s">
        <v>194</v>
      </c>
      <c r="D6109">
        <v>2677</v>
      </c>
      <c r="E6109" s="3">
        <v>0.4541</v>
      </c>
      <c r="F6109" s="3">
        <v>5.5999999999999999E-3</v>
      </c>
      <c r="G6109" s="3">
        <v>3.15E-2</v>
      </c>
      <c r="H6109" s="3">
        <v>0.41699999999999998</v>
      </c>
      <c r="I6109" s="3">
        <v>9.1800000000000007E-2</v>
      </c>
    </row>
    <row r="6110" spans="1:10">
      <c r="A6110" t="s">
        <v>200</v>
      </c>
      <c r="B6110">
        <v>2677</v>
      </c>
      <c r="C6110" t="s">
        <v>200</v>
      </c>
      <c r="D6110">
        <v>2677</v>
      </c>
      <c r="E6110" s="3">
        <v>0.43630000000000002</v>
      </c>
      <c r="F6110" s="3">
        <v>1.4500000000000001E-2</v>
      </c>
      <c r="G6110" s="3">
        <v>3.2800000000000003E-2</v>
      </c>
      <c r="H6110" s="3">
        <v>0.42380000000000001</v>
      </c>
      <c r="I6110" s="3">
        <v>9.2600000000000002E-2</v>
      </c>
    </row>
    <row r="6112" spans="1:10" ht="30">
      <c r="A6112" s="22" t="s">
        <v>1374</v>
      </c>
    </row>
    <row r="6113" spans="1:10">
      <c r="A6113" t="s">
        <v>185</v>
      </c>
      <c r="B6113" t="s">
        <v>186</v>
      </c>
      <c r="C6113" t="s">
        <v>192</v>
      </c>
      <c r="D6113" t="s">
        <v>184</v>
      </c>
      <c r="E6113" t="s">
        <v>193</v>
      </c>
      <c r="F6113" t="s">
        <v>1367</v>
      </c>
      <c r="G6113" t="s">
        <v>257</v>
      </c>
      <c r="H6113" t="s">
        <v>1368</v>
      </c>
      <c r="I6113" t="s">
        <v>1369</v>
      </c>
      <c r="J6113" t="s">
        <v>1370</v>
      </c>
    </row>
    <row r="6114" spans="1:10">
      <c r="A6114" t="s">
        <v>195</v>
      </c>
      <c r="B6114" t="s">
        <v>212</v>
      </c>
      <c r="C6114">
        <v>873</v>
      </c>
      <c r="D6114" t="s">
        <v>194</v>
      </c>
      <c r="E6114">
        <v>2677</v>
      </c>
      <c r="F6114" s="3">
        <v>0.42</v>
      </c>
      <c r="G6114" s="3">
        <v>2.7699999999999999E-2</v>
      </c>
      <c r="H6114" s="3">
        <v>1.6400000000000001E-2</v>
      </c>
      <c r="I6114" s="3">
        <v>0.44800000000000001</v>
      </c>
      <c r="J6114" s="3">
        <v>8.7900000000000006E-2</v>
      </c>
    </row>
    <row r="6115" spans="1:10">
      <c r="A6115" t="s">
        <v>195</v>
      </c>
      <c r="B6115" t="s">
        <v>214</v>
      </c>
      <c r="C6115">
        <v>181</v>
      </c>
      <c r="D6115" t="s">
        <v>194</v>
      </c>
      <c r="E6115">
        <v>2677</v>
      </c>
      <c r="F6115" s="3">
        <v>0.4173</v>
      </c>
      <c r="G6115" s="3">
        <v>2.5600000000000001E-2</v>
      </c>
      <c r="H6115" s="3">
        <v>0.13009999999999999</v>
      </c>
      <c r="I6115" s="3">
        <v>0.33100000000000002</v>
      </c>
      <c r="J6115" s="3">
        <v>9.6000000000000002E-2</v>
      </c>
    </row>
    <row r="6116" spans="1:10">
      <c r="A6116" t="s">
        <v>195</v>
      </c>
      <c r="B6116" t="s">
        <v>215</v>
      </c>
      <c r="C6116">
        <v>135</v>
      </c>
      <c r="D6116" t="s">
        <v>194</v>
      </c>
      <c r="E6116">
        <v>2677</v>
      </c>
      <c r="F6116" s="3">
        <v>0.35570000000000002</v>
      </c>
      <c r="G6116" s="3">
        <v>6.3E-3</v>
      </c>
      <c r="H6116" s="3">
        <v>6.4000000000000003E-3</v>
      </c>
      <c r="I6116" s="3">
        <v>0.49159999999999998</v>
      </c>
      <c r="J6116" s="3">
        <v>0.14000000000000001</v>
      </c>
    </row>
    <row r="6117" spans="1:10">
      <c r="A6117" t="s">
        <v>199</v>
      </c>
      <c r="B6117" t="s">
        <v>212</v>
      </c>
      <c r="C6117">
        <v>1118</v>
      </c>
      <c r="D6117" t="s">
        <v>194</v>
      </c>
      <c r="E6117">
        <v>2677</v>
      </c>
      <c r="F6117" s="3">
        <v>0.4834</v>
      </c>
      <c r="G6117" s="3">
        <v>3.0999999999999999E-3</v>
      </c>
      <c r="H6117" s="3">
        <v>1.55E-2</v>
      </c>
      <c r="I6117" s="3">
        <v>0.40310000000000001</v>
      </c>
      <c r="J6117" s="3">
        <v>9.5000000000000001E-2</v>
      </c>
    </row>
    <row r="6118" spans="1:10">
      <c r="A6118" t="s">
        <v>199</v>
      </c>
      <c r="B6118" t="s">
        <v>214</v>
      </c>
      <c r="C6118">
        <v>197</v>
      </c>
      <c r="D6118" t="s">
        <v>194</v>
      </c>
      <c r="E6118">
        <v>2677</v>
      </c>
      <c r="F6118" s="3">
        <v>0.31130000000000002</v>
      </c>
      <c r="G6118" s="3">
        <v>7.9000000000000008E-3</v>
      </c>
      <c r="H6118" s="3">
        <v>0.12690000000000001</v>
      </c>
      <c r="I6118" s="3">
        <v>0.4955</v>
      </c>
      <c r="J6118" s="3">
        <v>5.8400000000000001E-2</v>
      </c>
    </row>
    <row r="6119" spans="1:10">
      <c r="A6119" t="s">
        <v>199</v>
      </c>
      <c r="B6119" t="s">
        <v>215</v>
      </c>
      <c r="C6119">
        <v>173</v>
      </c>
      <c r="D6119" t="s">
        <v>194</v>
      </c>
      <c r="E6119">
        <v>2677</v>
      </c>
      <c r="F6119" s="3">
        <v>0.44440000000000002</v>
      </c>
      <c r="G6119" s="3">
        <v>2.47E-2</v>
      </c>
      <c r="H6119" s="3">
        <v>5.4000000000000003E-3</v>
      </c>
      <c r="I6119" s="3">
        <v>0.40250000000000002</v>
      </c>
      <c r="J6119" s="3">
        <v>0.123</v>
      </c>
    </row>
    <row r="6120" spans="1:10">
      <c r="A6120" t="s">
        <v>200</v>
      </c>
      <c r="B6120" t="s">
        <v>200</v>
      </c>
      <c r="C6120">
        <v>2677</v>
      </c>
      <c r="D6120" t="s">
        <v>200</v>
      </c>
      <c r="E6120">
        <v>2677</v>
      </c>
      <c r="F6120" s="3">
        <v>0.43630000000000002</v>
      </c>
      <c r="G6120" s="3">
        <v>1.4500000000000001E-2</v>
      </c>
      <c r="H6120" s="3">
        <v>3.2800000000000003E-2</v>
      </c>
      <c r="I6120" s="3">
        <v>0.42380000000000001</v>
      </c>
      <c r="J6120" s="3">
        <v>9.2600000000000002E-2</v>
      </c>
    </row>
    <row r="6122" spans="1:10" ht="30">
      <c r="A6122" s="22" t="s">
        <v>1375</v>
      </c>
    </row>
    <row r="6123" spans="1:10">
      <c r="A6123" t="s">
        <v>185</v>
      </c>
      <c r="B6123" t="s">
        <v>186</v>
      </c>
      <c r="C6123" t="s">
        <v>192</v>
      </c>
      <c r="D6123" t="s">
        <v>184</v>
      </c>
      <c r="E6123" t="s">
        <v>193</v>
      </c>
      <c r="F6123" t="s">
        <v>1367</v>
      </c>
      <c r="G6123" t="s">
        <v>257</v>
      </c>
      <c r="H6123" t="s">
        <v>1368</v>
      </c>
      <c r="I6123" t="s">
        <v>1369</v>
      </c>
      <c r="J6123" t="s">
        <v>1370</v>
      </c>
    </row>
    <row r="6124" spans="1:10">
      <c r="A6124" t="s">
        <v>195</v>
      </c>
      <c r="B6124" t="s">
        <v>217</v>
      </c>
      <c r="C6124">
        <v>499</v>
      </c>
      <c r="D6124" t="s">
        <v>194</v>
      </c>
      <c r="E6124">
        <v>2677</v>
      </c>
      <c r="F6124" s="3">
        <v>0.44729999999999998</v>
      </c>
      <c r="G6124" s="3">
        <v>2.1000000000000001E-2</v>
      </c>
      <c r="H6124" s="3">
        <v>1.7299999999999999E-2</v>
      </c>
      <c r="I6124" s="3">
        <v>0.43509999999999999</v>
      </c>
      <c r="J6124" s="3">
        <v>7.9399999999999998E-2</v>
      </c>
    </row>
    <row r="6125" spans="1:10">
      <c r="A6125" t="s">
        <v>195</v>
      </c>
      <c r="B6125" t="s">
        <v>219</v>
      </c>
      <c r="C6125">
        <v>507</v>
      </c>
      <c r="D6125" t="s">
        <v>194</v>
      </c>
      <c r="E6125">
        <v>2677</v>
      </c>
      <c r="F6125" s="3">
        <v>0.39610000000000001</v>
      </c>
      <c r="G6125" s="3">
        <v>2.2499999999999999E-2</v>
      </c>
      <c r="H6125" s="3">
        <v>5.4300000000000001E-2</v>
      </c>
      <c r="I6125" s="3">
        <v>0.4078</v>
      </c>
      <c r="J6125" s="3">
        <v>0.1193</v>
      </c>
    </row>
    <row r="6126" spans="1:10">
      <c r="A6126" t="s">
        <v>195</v>
      </c>
      <c r="B6126" t="s">
        <v>220</v>
      </c>
      <c r="C6126">
        <v>182</v>
      </c>
      <c r="D6126" t="s">
        <v>194</v>
      </c>
      <c r="E6126">
        <v>2677</v>
      </c>
      <c r="F6126" s="3">
        <v>0.37759999999999999</v>
      </c>
      <c r="G6126" s="3">
        <v>4.2000000000000003E-2</v>
      </c>
      <c r="H6126" s="3">
        <v>3.1099999999999999E-2</v>
      </c>
      <c r="I6126" s="3">
        <v>0.4773</v>
      </c>
      <c r="J6126" s="3">
        <v>7.1999999999999995E-2</v>
      </c>
    </row>
    <row r="6127" spans="1:10">
      <c r="A6127" t="s">
        <v>199</v>
      </c>
      <c r="B6127" t="s">
        <v>217</v>
      </c>
      <c r="C6127">
        <v>814</v>
      </c>
      <c r="D6127" t="s">
        <v>194</v>
      </c>
      <c r="E6127">
        <v>2677</v>
      </c>
      <c r="F6127" s="3">
        <v>0.4672</v>
      </c>
      <c r="G6127" s="3">
        <v>6.4000000000000003E-3</v>
      </c>
      <c r="H6127" s="3">
        <v>9.7999999999999997E-3</v>
      </c>
      <c r="I6127" s="3">
        <v>0.42430000000000001</v>
      </c>
      <c r="J6127" s="3">
        <v>9.2299999999999993E-2</v>
      </c>
    </row>
    <row r="6128" spans="1:10">
      <c r="A6128" t="s">
        <v>199</v>
      </c>
      <c r="B6128" t="s">
        <v>219</v>
      </c>
      <c r="C6128">
        <v>451</v>
      </c>
      <c r="D6128" t="s">
        <v>194</v>
      </c>
      <c r="E6128">
        <v>2677</v>
      </c>
      <c r="F6128" s="3">
        <v>0.37440000000000001</v>
      </c>
      <c r="G6128" s="3">
        <v>6.8999999999999999E-3</v>
      </c>
      <c r="H6128" s="3">
        <v>8.8800000000000004E-2</v>
      </c>
      <c r="I6128" s="3">
        <v>0.44950000000000001</v>
      </c>
      <c r="J6128" s="3">
        <v>8.0299999999999996E-2</v>
      </c>
    </row>
    <row r="6129" spans="1:14">
      <c r="A6129" t="s">
        <v>199</v>
      </c>
      <c r="B6129" t="s">
        <v>220</v>
      </c>
      <c r="C6129">
        <v>223</v>
      </c>
      <c r="D6129" t="s">
        <v>194</v>
      </c>
      <c r="E6129">
        <v>2677</v>
      </c>
      <c r="F6129" s="3">
        <v>0.52939999999999998</v>
      </c>
      <c r="G6129" s="3">
        <v>5.9999999999999995E-4</v>
      </c>
      <c r="H6129" s="3">
        <v>2.4199999999999999E-2</v>
      </c>
      <c r="I6129" s="3">
        <v>0.33800000000000002</v>
      </c>
      <c r="J6129" s="3">
        <v>0.10780000000000001</v>
      </c>
    </row>
    <row r="6130" spans="1:14">
      <c r="A6130" t="s">
        <v>200</v>
      </c>
      <c r="B6130" t="s">
        <v>200</v>
      </c>
      <c r="C6130">
        <v>2677</v>
      </c>
      <c r="D6130" t="s">
        <v>200</v>
      </c>
      <c r="E6130">
        <v>2677</v>
      </c>
      <c r="F6130" s="3">
        <v>0.43630000000000002</v>
      </c>
      <c r="G6130" s="3">
        <v>1.4500000000000001E-2</v>
      </c>
      <c r="H6130" s="3">
        <v>3.2800000000000003E-2</v>
      </c>
      <c r="I6130" s="3">
        <v>0.42380000000000001</v>
      </c>
      <c r="J6130" s="3">
        <v>9.2600000000000002E-2</v>
      </c>
    </row>
    <row r="6132" spans="1:14" ht="30">
      <c r="A6132" s="22" t="s">
        <v>1376</v>
      </c>
    </row>
    <row r="6133" spans="1:14">
      <c r="A6133" t="s">
        <v>185</v>
      </c>
      <c r="B6133" t="s">
        <v>186</v>
      </c>
      <c r="C6133" t="s">
        <v>192</v>
      </c>
      <c r="D6133" t="s">
        <v>184</v>
      </c>
      <c r="E6133" t="s">
        <v>193</v>
      </c>
      <c r="F6133" t="s">
        <v>1377</v>
      </c>
      <c r="G6133" t="s">
        <v>1378</v>
      </c>
      <c r="H6133" t="s">
        <v>257</v>
      </c>
      <c r="I6133" t="s">
        <v>1379</v>
      </c>
      <c r="J6133" t="s">
        <v>1380</v>
      </c>
      <c r="K6133" t="s">
        <v>1381</v>
      </c>
      <c r="L6133" t="s">
        <v>329</v>
      </c>
      <c r="M6133" t="s">
        <v>274</v>
      </c>
      <c r="N6133" t="s">
        <v>1382</v>
      </c>
    </row>
    <row r="6134" spans="1:14">
      <c r="A6134" t="s">
        <v>195</v>
      </c>
      <c r="B6134" t="s">
        <v>196</v>
      </c>
      <c r="C6134">
        <v>373</v>
      </c>
      <c r="D6134" t="s">
        <v>194</v>
      </c>
      <c r="E6134">
        <v>2523</v>
      </c>
      <c r="H6134" s="3">
        <v>2.0000000000000001E-4</v>
      </c>
      <c r="I6134" s="3">
        <v>0.62590000000000001</v>
      </c>
      <c r="J6134" s="3">
        <v>0.77959999999999996</v>
      </c>
      <c r="K6134" s="3">
        <v>3.1300000000000001E-2</v>
      </c>
    </row>
    <row r="6135" spans="1:14">
      <c r="A6135" t="s">
        <v>195</v>
      </c>
      <c r="B6135" t="s">
        <v>198</v>
      </c>
      <c r="C6135">
        <v>720</v>
      </c>
      <c r="D6135" t="s">
        <v>194</v>
      </c>
      <c r="E6135">
        <v>2523</v>
      </c>
      <c r="F6135" s="3">
        <v>0.01</v>
      </c>
      <c r="H6135" s="3">
        <v>1.4E-3</v>
      </c>
      <c r="I6135" s="3">
        <v>0.77929999999999999</v>
      </c>
      <c r="J6135" s="3">
        <v>0.75560000000000005</v>
      </c>
      <c r="K6135" s="3">
        <v>4.8899999999999999E-2</v>
      </c>
    </row>
    <row r="6136" spans="1:14">
      <c r="A6136" t="s">
        <v>199</v>
      </c>
      <c r="B6136" t="s">
        <v>196</v>
      </c>
      <c r="C6136">
        <v>486</v>
      </c>
      <c r="D6136" t="s">
        <v>194</v>
      </c>
      <c r="E6136">
        <v>2523</v>
      </c>
      <c r="F6136" s="3">
        <v>4.0000000000000002E-4</v>
      </c>
      <c r="I6136" s="3">
        <v>0.83930000000000005</v>
      </c>
      <c r="J6136" s="3">
        <v>0.84240000000000004</v>
      </c>
      <c r="K6136" s="3">
        <v>6.5699999999999995E-2</v>
      </c>
      <c r="L6136" s="3">
        <v>3.8E-3</v>
      </c>
    </row>
    <row r="6137" spans="1:14">
      <c r="A6137" t="s">
        <v>199</v>
      </c>
      <c r="B6137" t="s">
        <v>198</v>
      </c>
      <c r="C6137">
        <v>906</v>
      </c>
      <c r="D6137" t="s">
        <v>194</v>
      </c>
      <c r="E6137">
        <v>2523</v>
      </c>
      <c r="F6137" s="3">
        <v>3.8999999999999998E-3</v>
      </c>
      <c r="G6137" s="3">
        <v>2.5000000000000001E-3</v>
      </c>
      <c r="I6137" s="3">
        <v>0.87839999999999996</v>
      </c>
      <c r="J6137" s="3">
        <v>0.82889999999999997</v>
      </c>
      <c r="K6137" s="3">
        <v>7.6200000000000004E-2</v>
      </c>
      <c r="M6137" s="3">
        <v>6.1999999999999998E-3</v>
      </c>
      <c r="N6137" s="3">
        <v>1.1900000000000001E-2</v>
      </c>
    </row>
    <row r="6138" spans="1:14">
      <c r="A6138" t="s">
        <v>200</v>
      </c>
      <c r="B6138" t="s">
        <v>200</v>
      </c>
      <c r="C6138">
        <v>2523</v>
      </c>
      <c r="D6138" t="s">
        <v>200</v>
      </c>
      <c r="E6138">
        <v>2523</v>
      </c>
      <c r="F6138" s="3">
        <v>5.1000000000000004E-3</v>
      </c>
      <c r="G6138" s="3">
        <v>1.1999999999999999E-3</v>
      </c>
      <c r="H6138" s="3">
        <v>5.0000000000000001E-4</v>
      </c>
      <c r="I6138" s="3">
        <v>0.81410000000000005</v>
      </c>
      <c r="J6138" s="3">
        <v>0.79979999999999996</v>
      </c>
      <c r="K6138" s="3">
        <v>6.0999999999999999E-2</v>
      </c>
      <c r="L6138" s="3">
        <v>4.0000000000000002E-4</v>
      </c>
      <c r="M6138" s="3">
        <v>2.8999999999999998E-3</v>
      </c>
      <c r="N6138" s="3">
        <v>5.4999999999999997E-3</v>
      </c>
    </row>
    <row r="6140" spans="1:14" ht="45">
      <c r="A6140" s="22" t="s">
        <v>1383</v>
      </c>
    </row>
    <row r="6141" spans="1:14">
      <c r="A6141" t="s">
        <v>185</v>
      </c>
      <c r="B6141" t="s">
        <v>186</v>
      </c>
      <c r="C6141" t="s">
        <v>192</v>
      </c>
      <c r="D6141" t="s">
        <v>184</v>
      </c>
      <c r="E6141" t="s">
        <v>193</v>
      </c>
      <c r="F6141" t="s">
        <v>1377</v>
      </c>
      <c r="G6141" t="s">
        <v>1378</v>
      </c>
      <c r="H6141" t="s">
        <v>257</v>
      </c>
      <c r="I6141" t="s">
        <v>1379</v>
      </c>
      <c r="J6141" t="s">
        <v>1380</v>
      </c>
      <c r="K6141" t="s">
        <v>1381</v>
      </c>
      <c r="L6141" t="s">
        <v>329</v>
      </c>
      <c r="M6141" t="s">
        <v>274</v>
      </c>
      <c r="N6141" t="s">
        <v>1382</v>
      </c>
    </row>
    <row r="6142" spans="1:14">
      <c r="A6142" t="s">
        <v>195</v>
      </c>
      <c r="B6142" t="s">
        <v>202</v>
      </c>
      <c r="C6142">
        <v>505</v>
      </c>
      <c r="D6142" t="s">
        <v>194</v>
      </c>
      <c r="E6142">
        <v>2523</v>
      </c>
      <c r="F6142" s="3">
        <v>4.1000000000000003E-3</v>
      </c>
      <c r="I6142" s="3">
        <v>0.72870000000000001</v>
      </c>
      <c r="J6142" s="3">
        <v>0.73950000000000005</v>
      </c>
      <c r="K6142" s="3">
        <v>5.3999999999999999E-2</v>
      </c>
    </row>
    <row r="6143" spans="1:14">
      <c r="A6143" t="s">
        <v>195</v>
      </c>
      <c r="B6143" t="s">
        <v>204</v>
      </c>
      <c r="C6143">
        <v>280</v>
      </c>
      <c r="D6143" t="s">
        <v>194</v>
      </c>
      <c r="E6143">
        <v>2523</v>
      </c>
      <c r="H6143" s="3">
        <v>4.8999999999999998E-3</v>
      </c>
      <c r="I6143" s="3">
        <v>0.77300000000000002</v>
      </c>
      <c r="J6143" s="3">
        <v>0.82950000000000002</v>
      </c>
      <c r="K6143" s="3">
        <v>0.02</v>
      </c>
    </row>
    <row r="6144" spans="1:14">
      <c r="A6144" t="s">
        <v>195</v>
      </c>
      <c r="B6144" t="s">
        <v>205</v>
      </c>
      <c r="C6144">
        <v>308</v>
      </c>
      <c r="D6144" t="s">
        <v>194</v>
      </c>
      <c r="E6144">
        <v>2523</v>
      </c>
      <c r="F6144" s="3">
        <v>3.4599999999999999E-2</v>
      </c>
      <c r="H6144" s="3">
        <v>4.0000000000000002E-4</v>
      </c>
      <c r="I6144" s="3">
        <v>0.73970000000000002</v>
      </c>
      <c r="J6144" s="3">
        <v>0.76580000000000004</v>
      </c>
      <c r="K6144" s="3">
        <v>3.49E-2</v>
      </c>
    </row>
    <row r="6145" spans="1:14">
      <c r="A6145" t="s">
        <v>199</v>
      </c>
      <c r="B6145" t="s">
        <v>202</v>
      </c>
      <c r="C6145">
        <v>508</v>
      </c>
      <c r="D6145" t="s">
        <v>194</v>
      </c>
      <c r="E6145">
        <v>2523</v>
      </c>
      <c r="F6145" s="3">
        <v>4.4000000000000003E-3</v>
      </c>
      <c r="G6145" s="3">
        <v>3.0999999999999999E-3</v>
      </c>
      <c r="I6145" s="3">
        <v>0.86939999999999995</v>
      </c>
      <c r="J6145" s="3">
        <v>0.8226</v>
      </c>
      <c r="K6145" s="3">
        <v>6.7799999999999999E-2</v>
      </c>
      <c r="M6145" s="3">
        <v>8.0000000000000002E-3</v>
      </c>
      <c r="N6145" s="3">
        <v>1.12E-2</v>
      </c>
    </row>
    <row r="6146" spans="1:14">
      <c r="A6146" t="s">
        <v>199</v>
      </c>
      <c r="B6146" t="s">
        <v>204</v>
      </c>
      <c r="C6146">
        <v>409</v>
      </c>
      <c r="D6146" t="s">
        <v>194</v>
      </c>
      <c r="E6146">
        <v>2523</v>
      </c>
      <c r="F6146" s="3">
        <v>6.9999999999999999E-4</v>
      </c>
      <c r="I6146" s="3">
        <v>0.88729999999999998</v>
      </c>
      <c r="J6146" s="3">
        <v>0.85240000000000005</v>
      </c>
      <c r="K6146" s="3">
        <v>0.1401</v>
      </c>
      <c r="L6146" s="3">
        <v>3.5000000000000001E-3</v>
      </c>
      <c r="N6146" s="3">
        <v>3.5000000000000001E-3</v>
      </c>
    </row>
    <row r="6147" spans="1:14">
      <c r="A6147" t="s">
        <v>199</v>
      </c>
      <c r="B6147" t="s">
        <v>205</v>
      </c>
      <c r="C6147">
        <v>475</v>
      </c>
      <c r="D6147" t="s">
        <v>194</v>
      </c>
      <c r="E6147">
        <v>2523</v>
      </c>
      <c r="F6147" s="3">
        <v>2.0999999999999999E-3</v>
      </c>
      <c r="G6147" s="3">
        <v>4.0000000000000002E-4</v>
      </c>
      <c r="I6147" s="3">
        <v>0.86070000000000002</v>
      </c>
      <c r="J6147" s="3">
        <v>0.84019999999999995</v>
      </c>
      <c r="K6147" s="3">
        <v>2.23E-2</v>
      </c>
      <c r="N6147" s="3">
        <v>1.21E-2</v>
      </c>
    </row>
    <row r="6148" spans="1:14">
      <c r="A6148" t="s">
        <v>200</v>
      </c>
      <c r="B6148" t="s">
        <v>200</v>
      </c>
      <c r="C6148">
        <v>2523</v>
      </c>
      <c r="D6148" t="s">
        <v>200</v>
      </c>
      <c r="E6148">
        <v>2523</v>
      </c>
      <c r="F6148" s="3">
        <v>5.1000000000000004E-3</v>
      </c>
      <c r="G6148" s="3">
        <v>1.1999999999999999E-3</v>
      </c>
      <c r="H6148" s="3">
        <v>5.0000000000000001E-4</v>
      </c>
      <c r="I6148" s="3">
        <v>0.81410000000000005</v>
      </c>
      <c r="J6148" s="3">
        <v>0.79979999999999996</v>
      </c>
      <c r="K6148" s="3">
        <v>6.0999999999999999E-2</v>
      </c>
      <c r="L6148" s="3">
        <v>4.0000000000000002E-4</v>
      </c>
      <c r="M6148" s="3">
        <v>2.8999999999999998E-3</v>
      </c>
      <c r="N6148" s="3">
        <v>5.4999999999999997E-3</v>
      </c>
    </row>
    <row r="6150" spans="1:14" ht="45">
      <c r="A6150" s="22" t="s">
        <v>1384</v>
      </c>
    </row>
    <row r="6151" spans="1:14">
      <c r="A6151" t="s">
        <v>185</v>
      </c>
      <c r="B6151" t="s">
        <v>186</v>
      </c>
      <c r="C6151" t="s">
        <v>192</v>
      </c>
      <c r="D6151" t="s">
        <v>184</v>
      </c>
      <c r="E6151" t="s">
        <v>193</v>
      </c>
      <c r="F6151" t="s">
        <v>1377</v>
      </c>
      <c r="G6151" t="s">
        <v>1378</v>
      </c>
      <c r="H6151" t="s">
        <v>257</v>
      </c>
      <c r="I6151" t="s">
        <v>1379</v>
      </c>
      <c r="J6151" t="s">
        <v>1380</v>
      </c>
      <c r="K6151" t="s">
        <v>1381</v>
      </c>
      <c r="L6151" t="s">
        <v>329</v>
      </c>
      <c r="M6151" t="s">
        <v>274</v>
      </c>
      <c r="N6151" t="s">
        <v>1382</v>
      </c>
    </row>
    <row r="6152" spans="1:14">
      <c r="A6152" t="s">
        <v>195</v>
      </c>
      <c r="B6152" t="s">
        <v>207</v>
      </c>
      <c r="C6152">
        <v>291</v>
      </c>
      <c r="D6152" t="s">
        <v>194</v>
      </c>
      <c r="E6152">
        <v>2523</v>
      </c>
      <c r="I6152" s="3">
        <v>0.67869999999999997</v>
      </c>
      <c r="J6152" s="3">
        <v>0.69469999999999998</v>
      </c>
      <c r="K6152" s="3">
        <v>4.0000000000000001E-3</v>
      </c>
    </row>
    <row r="6153" spans="1:14">
      <c r="A6153" t="s">
        <v>195</v>
      </c>
      <c r="B6153" t="s">
        <v>209</v>
      </c>
      <c r="C6153">
        <v>822</v>
      </c>
      <c r="D6153" t="s">
        <v>194</v>
      </c>
      <c r="E6153">
        <v>2523</v>
      </c>
      <c r="F6153" s="3">
        <v>9.7999999999999997E-3</v>
      </c>
      <c r="H6153" s="3">
        <v>1.4E-3</v>
      </c>
      <c r="I6153" s="3">
        <v>0.76149999999999995</v>
      </c>
      <c r="J6153" s="3">
        <v>0.78220000000000001</v>
      </c>
      <c r="K6153" s="3">
        <v>5.7599999999999998E-2</v>
      </c>
    </row>
    <row r="6154" spans="1:14">
      <c r="A6154" t="s">
        <v>199</v>
      </c>
      <c r="B6154" t="s">
        <v>207</v>
      </c>
      <c r="C6154">
        <v>255</v>
      </c>
      <c r="D6154" t="s">
        <v>194</v>
      </c>
      <c r="E6154">
        <v>2523</v>
      </c>
      <c r="F6154" s="3">
        <v>7.7999999999999996E-3</v>
      </c>
      <c r="I6154" s="3">
        <v>0.79079999999999995</v>
      </c>
      <c r="J6154" s="3">
        <v>0.87039999999999995</v>
      </c>
      <c r="K6154" s="3">
        <v>3.39E-2</v>
      </c>
      <c r="L6154" s="3">
        <v>5.7999999999999996E-3</v>
      </c>
    </row>
    <row r="6155" spans="1:14">
      <c r="A6155" t="s">
        <v>199</v>
      </c>
      <c r="B6155" t="s">
        <v>209</v>
      </c>
      <c r="C6155">
        <v>1155</v>
      </c>
      <c r="D6155" t="s">
        <v>194</v>
      </c>
      <c r="E6155">
        <v>2523</v>
      </c>
      <c r="F6155" s="3">
        <v>2.5999999999999999E-3</v>
      </c>
      <c r="G6155" s="3">
        <v>2.3E-3</v>
      </c>
      <c r="I6155" s="3">
        <v>0.88229999999999997</v>
      </c>
      <c r="J6155" s="3">
        <v>0.82540000000000002</v>
      </c>
      <c r="K6155" s="3">
        <v>7.9600000000000004E-2</v>
      </c>
      <c r="M6155" s="3">
        <v>5.7999999999999996E-3</v>
      </c>
      <c r="N6155" s="3">
        <v>1.11E-2</v>
      </c>
    </row>
    <row r="6156" spans="1:14">
      <c r="A6156" t="s">
        <v>200</v>
      </c>
      <c r="B6156" t="s">
        <v>200</v>
      </c>
      <c r="C6156">
        <v>2523</v>
      </c>
      <c r="D6156" t="s">
        <v>200</v>
      </c>
      <c r="E6156">
        <v>2523</v>
      </c>
      <c r="F6156" s="3">
        <v>5.1000000000000004E-3</v>
      </c>
      <c r="G6156" s="3">
        <v>1.1999999999999999E-3</v>
      </c>
      <c r="H6156" s="3">
        <v>5.0000000000000001E-4</v>
      </c>
      <c r="I6156" s="3">
        <v>0.81410000000000005</v>
      </c>
      <c r="J6156" s="3">
        <v>0.79979999999999996</v>
      </c>
      <c r="K6156" s="3">
        <v>6.0999999999999999E-2</v>
      </c>
      <c r="L6156" s="3">
        <v>4.0000000000000002E-4</v>
      </c>
      <c r="M6156" s="3">
        <v>2.8999999999999998E-3</v>
      </c>
      <c r="N6156" s="3">
        <v>5.4999999999999997E-3</v>
      </c>
    </row>
    <row r="6158" spans="1:14" ht="45">
      <c r="A6158" s="22" t="s">
        <v>1385</v>
      </c>
    </row>
    <row r="6159" spans="1:14">
      <c r="A6159" t="s">
        <v>185</v>
      </c>
      <c r="B6159" t="s">
        <v>192</v>
      </c>
      <c r="C6159" t="s">
        <v>184</v>
      </c>
      <c r="D6159" t="s">
        <v>193</v>
      </c>
      <c r="E6159" t="s">
        <v>1377</v>
      </c>
      <c r="F6159" t="s">
        <v>1378</v>
      </c>
      <c r="G6159" t="s">
        <v>257</v>
      </c>
      <c r="H6159" t="s">
        <v>1379</v>
      </c>
      <c r="I6159" t="s">
        <v>1380</v>
      </c>
      <c r="J6159" t="s">
        <v>1381</v>
      </c>
      <c r="K6159" t="s">
        <v>329</v>
      </c>
      <c r="L6159" t="s">
        <v>274</v>
      </c>
      <c r="M6159" t="s">
        <v>1382</v>
      </c>
    </row>
    <row r="6160" spans="1:14">
      <c r="A6160" t="s">
        <v>195</v>
      </c>
      <c r="B6160">
        <v>1113</v>
      </c>
      <c r="C6160" t="s">
        <v>194</v>
      </c>
      <c r="D6160">
        <v>2523</v>
      </c>
      <c r="E6160" s="3">
        <v>7.4000000000000003E-3</v>
      </c>
      <c r="G6160" s="3">
        <v>1.1000000000000001E-3</v>
      </c>
      <c r="H6160" s="3">
        <v>0.74070000000000003</v>
      </c>
      <c r="I6160" s="3">
        <v>0.7601</v>
      </c>
      <c r="J6160" s="3">
        <v>4.41E-2</v>
      </c>
    </row>
    <row r="6161" spans="1:14">
      <c r="A6161" t="s">
        <v>199</v>
      </c>
      <c r="B6161">
        <v>1410</v>
      </c>
      <c r="C6161" t="s">
        <v>194</v>
      </c>
      <c r="D6161">
        <v>2523</v>
      </c>
      <c r="E6161" s="3">
        <v>3.3E-3</v>
      </c>
      <c r="F6161" s="3">
        <v>2.0999999999999999E-3</v>
      </c>
      <c r="H6161" s="3">
        <v>0.87139999999999995</v>
      </c>
      <c r="I6161" s="3">
        <v>0.83079999999999998</v>
      </c>
      <c r="J6161" s="3">
        <v>7.4200000000000002E-2</v>
      </c>
      <c r="K6161" s="3">
        <v>6.9999999999999999E-4</v>
      </c>
      <c r="L6161" s="3">
        <v>5.1000000000000004E-3</v>
      </c>
      <c r="M6161" s="3">
        <v>9.7999999999999997E-3</v>
      </c>
    </row>
    <row r="6162" spans="1:14">
      <c r="A6162" t="s">
        <v>200</v>
      </c>
      <c r="B6162">
        <v>2523</v>
      </c>
      <c r="C6162" t="s">
        <v>200</v>
      </c>
      <c r="D6162">
        <v>2523</v>
      </c>
      <c r="E6162" s="3">
        <v>5.1000000000000004E-3</v>
      </c>
      <c r="F6162" s="3">
        <v>1.1999999999999999E-3</v>
      </c>
      <c r="G6162" s="3">
        <v>5.0000000000000001E-4</v>
      </c>
      <c r="H6162" s="3">
        <v>0.81410000000000005</v>
      </c>
      <c r="I6162" s="3">
        <v>0.79979999999999996</v>
      </c>
      <c r="J6162" s="3">
        <v>6.0999999999999999E-2</v>
      </c>
      <c r="K6162" s="3">
        <v>4.0000000000000002E-4</v>
      </c>
      <c r="L6162" s="3">
        <v>2.8999999999999998E-3</v>
      </c>
      <c r="M6162" s="3">
        <v>5.4999999999999997E-3</v>
      </c>
    </row>
    <row r="6164" spans="1:14" ht="30">
      <c r="A6164" s="22" t="s">
        <v>1386</v>
      </c>
    </row>
    <row r="6165" spans="1:14">
      <c r="A6165" t="s">
        <v>185</v>
      </c>
      <c r="B6165" t="s">
        <v>186</v>
      </c>
      <c r="C6165" t="s">
        <v>192</v>
      </c>
      <c r="D6165" t="s">
        <v>184</v>
      </c>
      <c r="E6165" t="s">
        <v>193</v>
      </c>
      <c r="F6165" t="s">
        <v>1377</v>
      </c>
      <c r="G6165" t="s">
        <v>1378</v>
      </c>
      <c r="H6165" t="s">
        <v>257</v>
      </c>
      <c r="I6165" t="s">
        <v>1379</v>
      </c>
      <c r="J6165" t="s">
        <v>1380</v>
      </c>
      <c r="K6165" t="s">
        <v>1381</v>
      </c>
      <c r="L6165" t="s">
        <v>329</v>
      </c>
      <c r="M6165" t="s">
        <v>274</v>
      </c>
      <c r="N6165" t="s">
        <v>1382</v>
      </c>
    </row>
    <row r="6166" spans="1:14">
      <c r="A6166" t="s">
        <v>195</v>
      </c>
      <c r="B6166" t="s">
        <v>212</v>
      </c>
      <c r="C6166">
        <v>828</v>
      </c>
      <c r="D6166" t="s">
        <v>194</v>
      </c>
      <c r="E6166">
        <v>2523</v>
      </c>
      <c r="F6166" s="3">
        <v>9.5999999999999992E-3</v>
      </c>
      <c r="H6166" s="3">
        <v>1.2999999999999999E-3</v>
      </c>
      <c r="I6166" s="3">
        <v>0.75509999999999999</v>
      </c>
      <c r="J6166" s="3">
        <v>0.76139999999999997</v>
      </c>
      <c r="K6166" s="3">
        <v>4.6800000000000001E-2</v>
      </c>
    </row>
    <row r="6167" spans="1:14">
      <c r="A6167" t="s">
        <v>195</v>
      </c>
      <c r="B6167" t="s">
        <v>214</v>
      </c>
      <c r="C6167">
        <v>153</v>
      </c>
      <c r="D6167" t="s">
        <v>194</v>
      </c>
      <c r="E6167">
        <v>2523</v>
      </c>
      <c r="H6167" s="3">
        <v>2.0000000000000001E-4</v>
      </c>
      <c r="I6167" s="3">
        <v>0.57869999999999999</v>
      </c>
      <c r="J6167" s="3">
        <v>0.76449999999999996</v>
      </c>
      <c r="K6167" s="3">
        <v>4.24E-2</v>
      </c>
    </row>
    <row r="6168" spans="1:14">
      <c r="A6168" t="s">
        <v>195</v>
      </c>
      <c r="B6168" t="s">
        <v>215</v>
      </c>
      <c r="C6168">
        <v>132</v>
      </c>
      <c r="D6168" t="s">
        <v>194</v>
      </c>
      <c r="E6168">
        <v>2523</v>
      </c>
      <c r="H6168" s="3">
        <v>2.9999999999999997E-4</v>
      </c>
      <c r="I6168" s="3">
        <v>0.88859999999999995</v>
      </c>
      <c r="J6168" s="3">
        <v>0.74199999999999999</v>
      </c>
      <c r="K6168" s="3">
        <v>2.3800000000000002E-2</v>
      </c>
    </row>
    <row r="6169" spans="1:14">
      <c r="A6169" t="s">
        <v>199</v>
      </c>
      <c r="B6169" t="s">
        <v>212</v>
      </c>
      <c r="C6169">
        <v>1078</v>
      </c>
      <c r="D6169" t="s">
        <v>194</v>
      </c>
      <c r="E6169">
        <v>2523</v>
      </c>
      <c r="F6169" s="3">
        <v>8.9999999999999998E-4</v>
      </c>
      <c r="G6169" s="3">
        <v>2.5999999999999999E-3</v>
      </c>
      <c r="I6169" s="3">
        <v>0.90429999999999999</v>
      </c>
      <c r="J6169" s="3">
        <v>0.82410000000000005</v>
      </c>
      <c r="K6169" s="3">
        <v>8.8599999999999998E-2</v>
      </c>
      <c r="L6169" s="3">
        <v>8.9999999999999998E-4</v>
      </c>
      <c r="N6169" s="3">
        <v>2.5999999999999999E-3</v>
      </c>
    </row>
    <row r="6170" spans="1:14">
      <c r="A6170" t="s">
        <v>199</v>
      </c>
      <c r="B6170" t="s">
        <v>214</v>
      </c>
      <c r="C6170">
        <v>164</v>
      </c>
      <c r="D6170" t="s">
        <v>194</v>
      </c>
      <c r="E6170">
        <v>2523</v>
      </c>
      <c r="F6170" s="3">
        <v>1.24E-2</v>
      </c>
      <c r="G6170" s="3">
        <v>5.0000000000000001E-4</v>
      </c>
      <c r="I6170" s="3">
        <v>0.65069999999999995</v>
      </c>
      <c r="J6170" s="3">
        <v>0.85519999999999996</v>
      </c>
      <c r="K6170" s="3">
        <v>3.7699999999999997E-2</v>
      </c>
      <c r="M6170" s="3">
        <v>3.73E-2</v>
      </c>
      <c r="N6170" s="3">
        <v>4.2299999999999997E-2</v>
      </c>
    </row>
    <row r="6171" spans="1:14">
      <c r="A6171" t="s">
        <v>199</v>
      </c>
      <c r="B6171" t="s">
        <v>215</v>
      </c>
      <c r="C6171">
        <v>168</v>
      </c>
      <c r="D6171" t="s">
        <v>194</v>
      </c>
      <c r="E6171">
        <v>2523</v>
      </c>
      <c r="F6171" s="3">
        <v>1.0200000000000001E-2</v>
      </c>
      <c r="I6171" s="3">
        <v>0.92420000000000002</v>
      </c>
      <c r="J6171" s="3">
        <v>0.8528</v>
      </c>
      <c r="N6171" s="3">
        <v>2.3800000000000002E-2</v>
      </c>
    </row>
    <row r="6172" spans="1:14">
      <c r="A6172" t="s">
        <v>200</v>
      </c>
      <c r="B6172" t="s">
        <v>200</v>
      </c>
      <c r="C6172">
        <v>2523</v>
      </c>
      <c r="D6172" t="s">
        <v>200</v>
      </c>
      <c r="E6172">
        <v>2523</v>
      </c>
      <c r="F6172" s="3">
        <v>5.1000000000000004E-3</v>
      </c>
      <c r="G6172" s="3">
        <v>1.1999999999999999E-3</v>
      </c>
      <c r="H6172" s="3">
        <v>5.0000000000000001E-4</v>
      </c>
      <c r="I6172" s="3">
        <v>0.81410000000000005</v>
      </c>
      <c r="J6172" s="3">
        <v>0.79979999999999996</v>
      </c>
      <c r="K6172" s="3">
        <v>6.0999999999999999E-2</v>
      </c>
      <c r="L6172" s="3">
        <v>4.0000000000000002E-4</v>
      </c>
      <c r="M6172" s="3">
        <v>2.8999999999999998E-3</v>
      </c>
      <c r="N6172" s="3">
        <v>5.4999999999999997E-3</v>
      </c>
    </row>
    <row r="6174" spans="1:14" ht="45">
      <c r="A6174" s="22" t="s">
        <v>1387</v>
      </c>
    </row>
    <row r="6175" spans="1:14">
      <c r="A6175" t="s">
        <v>185</v>
      </c>
      <c r="B6175" t="s">
        <v>186</v>
      </c>
      <c r="C6175" t="s">
        <v>192</v>
      </c>
      <c r="D6175" t="s">
        <v>184</v>
      </c>
      <c r="E6175" t="s">
        <v>193</v>
      </c>
      <c r="F6175" t="s">
        <v>1377</v>
      </c>
      <c r="G6175" t="s">
        <v>1378</v>
      </c>
      <c r="H6175" t="s">
        <v>257</v>
      </c>
      <c r="I6175" t="s">
        <v>1379</v>
      </c>
      <c r="J6175" t="s">
        <v>1380</v>
      </c>
      <c r="K6175" t="s">
        <v>1381</v>
      </c>
      <c r="L6175" t="s">
        <v>329</v>
      </c>
      <c r="M6175" t="s">
        <v>274</v>
      </c>
      <c r="N6175" t="s">
        <v>1382</v>
      </c>
    </row>
    <row r="6176" spans="1:14">
      <c r="A6176" t="s">
        <v>195</v>
      </c>
      <c r="B6176" t="s">
        <v>217</v>
      </c>
      <c r="C6176">
        <v>472</v>
      </c>
      <c r="D6176" t="s">
        <v>194</v>
      </c>
      <c r="E6176">
        <v>2523</v>
      </c>
      <c r="F6176" s="3">
        <v>1.4E-2</v>
      </c>
      <c r="H6176" s="3">
        <v>2.3999999999999998E-3</v>
      </c>
      <c r="I6176" s="3">
        <v>0.80710000000000004</v>
      </c>
      <c r="J6176" s="3">
        <v>0.77470000000000006</v>
      </c>
      <c r="K6176" s="3">
        <v>5.3699999999999998E-2</v>
      </c>
    </row>
    <row r="6177" spans="1:14">
      <c r="A6177" t="s">
        <v>195</v>
      </c>
      <c r="B6177" t="s">
        <v>219</v>
      </c>
      <c r="C6177">
        <v>472</v>
      </c>
      <c r="D6177" t="s">
        <v>194</v>
      </c>
      <c r="E6177">
        <v>2523</v>
      </c>
      <c r="F6177" s="3">
        <v>3.5000000000000001E-3</v>
      </c>
      <c r="H6177" s="3">
        <v>1E-4</v>
      </c>
      <c r="I6177" s="3">
        <v>0.68410000000000004</v>
      </c>
      <c r="J6177" s="3">
        <v>0.75160000000000005</v>
      </c>
      <c r="K6177" s="3">
        <v>3.3399999999999999E-2</v>
      </c>
    </row>
    <row r="6178" spans="1:14">
      <c r="A6178" t="s">
        <v>195</v>
      </c>
      <c r="B6178" t="s">
        <v>220</v>
      </c>
      <c r="C6178">
        <v>168</v>
      </c>
      <c r="D6178" t="s">
        <v>194</v>
      </c>
      <c r="E6178">
        <v>2523</v>
      </c>
      <c r="I6178" s="3">
        <v>0.70340000000000003</v>
      </c>
      <c r="J6178" s="3">
        <v>0.74409999999999998</v>
      </c>
      <c r="K6178" s="3">
        <v>4.3999999999999997E-2</v>
      </c>
    </row>
    <row r="6179" spans="1:14">
      <c r="A6179" t="s">
        <v>199</v>
      </c>
      <c r="B6179" t="s">
        <v>217</v>
      </c>
      <c r="C6179">
        <v>792</v>
      </c>
      <c r="D6179" t="s">
        <v>194</v>
      </c>
      <c r="E6179">
        <v>2523</v>
      </c>
      <c r="F6179" s="3">
        <v>5.9999999999999995E-4</v>
      </c>
      <c r="G6179" s="3">
        <v>3.3E-3</v>
      </c>
      <c r="I6179" s="3">
        <v>0.90029999999999999</v>
      </c>
      <c r="J6179" s="3">
        <v>0.82320000000000004</v>
      </c>
      <c r="K6179" s="3">
        <v>5.8400000000000001E-2</v>
      </c>
      <c r="N6179" s="3">
        <v>6.6E-3</v>
      </c>
    </row>
    <row r="6180" spans="1:14">
      <c r="A6180" t="s">
        <v>199</v>
      </c>
      <c r="B6180" t="s">
        <v>219</v>
      </c>
      <c r="C6180">
        <v>406</v>
      </c>
      <c r="D6180" t="s">
        <v>194</v>
      </c>
      <c r="E6180">
        <v>2523</v>
      </c>
      <c r="F6180" s="3">
        <v>1.2E-2</v>
      </c>
      <c r="G6180" s="3">
        <v>2.9999999999999997E-4</v>
      </c>
      <c r="I6180" s="3">
        <v>0.74390000000000001</v>
      </c>
      <c r="J6180" s="3">
        <v>0.84099999999999997</v>
      </c>
      <c r="K6180" s="3">
        <v>7.0699999999999999E-2</v>
      </c>
      <c r="L6180" s="3">
        <v>2.8999999999999998E-3</v>
      </c>
      <c r="M6180" s="3">
        <v>2.1899999999999999E-2</v>
      </c>
      <c r="N6180" s="3">
        <v>2.4899999999999999E-2</v>
      </c>
    </row>
    <row r="6181" spans="1:14">
      <c r="A6181" t="s">
        <v>199</v>
      </c>
      <c r="B6181" t="s">
        <v>220</v>
      </c>
      <c r="C6181">
        <v>212</v>
      </c>
      <c r="D6181" t="s">
        <v>194</v>
      </c>
      <c r="E6181">
        <v>2523</v>
      </c>
      <c r="F6181" s="3">
        <v>8.0000000000000004E-4</v>
      </c>
      <c r="I6181" s="3">
        <v>0.94669999999999999</v>
      </c>
      <c r="J6181" s="3">
        <v>0.8448</v>
      </c>
      <c r="K6181" s="3">
        <v>0.14019999999999999</v>
      </c>
    </row>
    <row r="6182" spans="1:14">
      <c r="A6182" t="s">
        <v>200</v>
      </c>
      <c r="B6182" t="s">
        <v>200</v>
      </c>
      <c r="C6182">
        <v>2523</v>
      </c>
      <c r="D6182" t="s">
        <v>200</v>
      </c>
      <c r="E6182">
        <v>2523</v>
      </c>
      <c r="F6182" s="3">
        <v>5.1000000000000004E-3</v>
      </c>
      <c r="G6182" s="3">
        <v>1.1999999999999999E-3</v>
      </c>
      <c r="H6182" s="3">
        <v>5.0000000000000001E-4</v>
      </c>
      <c r="I6182" s="3">
        <v>0.81410000000000005</v>
      </c>
      <c r="J6182" s="3">
        <v>0.79979999999999996</v>
      </c>
      <c r="K6182" s="3">
        <v>6.0999999999999999E-2</v>
      </c>
      <c r="L6182" s="3">
        <v>4.0000000000000002E-4</v>
      </c>
      <c r="M6182" s="3">
        <v>2.8999999999999998E-3</v>
      </c>
      <c r="N6182" s="3">
        <v>5.4999999999999997E-3</v>
      </c>
    </row>
    <row r="6184" spans="1:14" ht="30">
      <c r="A6184" s="22" t="s">
        <v>1388</v>
      </c>
    </row>
    <row r="6185" spans="1:14">
      <c r="A6185" t="s">
        <v>185</v>
      </c>
      <c r="B6185" t="s">
        <v>186</v>
      </c>
      <c r="C6185" t="s">
        <v>192</v>
      </c>
      <c r="D6185" t="s">
        <v>184</v>
      </c>
      <c r="E6185" t="s">
        <v>193</v>
      </c>
      <c r="F6185" t="s">
        <v>1389</v>
      </c>
      <c r="G6185" t="s">
        <v>247</v>
      </c>
      <c r="H6185" t="s">
        <v>1390</v>
      </c>
      <c r="I6185" t="s">
        <v>1391</v>
      </c>
      <c r="J6185" t="s">
        <v>1392</v>
      </c>
    </row>
    <row r="6186" spans="1:14">
      <c r="A6186" t="s">
        <v>195</v>
      </c>
      <c r="B6186" t="s">
        <v>196</v>
      </c>
      <c r="C6186">
        <v>413</v>
      </c>
      <c r="D6186" t="s">
        <v>194</v>
      </c>
      <c r="E6186">
        <v>2677</v>
      </c>
      <c r="F6186" s="3">
        <v>0.33460000000000001</v>
      </c>
      <c r="H6186" s="3">
        <v>0.26540000000000002</v>
      </c>
      <c r="I6186" s="3">
        <v>0.13389999999999999</v>
      </c>
      <c r="J6186" s="3">
        <v>0.2661</v>
      </c>
    </row>
    <row r="6187" spans="1:14">
      <c r="A6187" t="s">
        <v>195</v>
      </c>
      <c r="B6187" t="s">
        <v>198</v>
      </c>
      <c r="C6187">
        <v>755</v>
      </c>
      <c r="D6187" t="s">
        <v>194</v>
      </c>
      <c r="E6187">
        <v>2677</v>
      </c>
      <c r="F6187" s="3">
        <v>0.25490000000000002</v>
      </c>
      <c r="G6187" s="3">
        <v>5.9999999999999995E-4</v>
      </c>
      <c r="H6187" s="3">
        <v>0.21360000000000001</v>
      </c>
      <c r="I6187" s="3">
        <v>0.43609999999999999</v>
      </c>
      <c r="J6187" s="3">
        <v>9.4799999999999995E-2</v>
      </c>
    </row>
    <row r="6188" spans="1:14">
      <c r="A6188" t="s">
        <v>199</v>
      </c>
      <c r="B6188" t="s">
        <v>196</v>
      </c>
      <c r="C6188">
        <v>525</v>
      </c>
      <c r="D6188" t="s">
        <v>194</v>
      </c>
      <c r="E6188">
        <v>2677</v>
      </c>
      <c r="F6188" s="3">
        <v>0.20610000000000001</v>
      </c>
      <c r="G6188" s="3">
        <v>1.4E-3</v>
      </c>
      <c r="H6188" s="3">
        <v>0.28539999999999999</v>
      </c>
      <c r="I6188" s="3">
        <v>0.25009999999999999</v>
      </c>
      <c r="J6188" s="3">
        <v>0.25700000000000001</v>
      </c>
    </row>
    <row r="6189" spans="1:14">
      <c r="A6189" t="s">
        <v>199</v>
      </c>
      <c r="B6189" t="s">
        <v>198</v>
      </c>
      <c r="C6189">
        <v>945</v>
      </c>
      <c r="D6189" t="s">
        <v>194</v>
      </c>
      <c r="E6189">
        <v>2677</v>
      </c>
      <c r="F6189" s="3">
        <v>0.1273</v>
      </c>
      <c r="G6189" s="3">
        <v>6.9999999999999999E-4</v>
      </c>
      <c r="H6189" s="3">
        <v>0.3095</v>
      </c>
      <c r="I6189" s="3">
        <v>0.50560000000000005</v>
      </c>
      <c r="J6189" s="3">
        <v>5.7000000000000002E-2</v>
      </c>
    </row>
    <row r="6190" spans="1:14">
      <c r="A6190" t="s">
        <v>200</v>
      </c>
      <c r="B6190" t="s">
        <v>200</v>
      </c>
      <c r="C6190">
        <v>2677</v>
      </c>
      <c r="D6190" t="s">
        <v>200</v>
      </c>
      <c r="E6190">
        <v>2677</v>
      </c>
      <c r="F6190" s="3">
        <v>0.20130000000000001</v>
      </c>
      <c r="G6190" s="3">
        <v>6.9999999999999999E-4</v>
      </c>
      <c r="H6190" s="3">
        <v>0.27089999999999997</v>
      </c>
      <c r="I6190" s="3">
        <v>0.41249999999999998</v>
      </c>
      <c r="J6190" s="3">
        <v>0.1147</v>
      </c>
    </row>
    <row r="6192" spans="1:14" ht="45">
      <c r="A6192" s="22" t="s">
        <v>1393</v>
      </c>
    </row>
    <row r="6193" spans="1:10">
      <c r="A6193" t="s">
        <v>185</v>
      </c>
      <c r="B6193" t="s">
        <v>186</v>
      </c>
      <c r="C6193" t="s">
        <v>192</v>
      </c>
      <c r="D6193" t="s">
        <v>184</v>
      </c>
      <c r="E6193" t="s">
        <v>193</v>
      </c>
      <c r="F6193" t="s">
        <v>1389</v>
      </c>
      <c r="G6193" t="s">
        <v>247</v>
      </c>
      <c r="H6193" t="s">
        <v>1390</v>
      </c>
      <c r="I6193" t="s">
        <v>1391</v>
      </c>
      <c r="J6193" t="s">
        <v>1392</v>
      </c>
    </row>
    <row r="6194" spans="1:10">
      <c r="A6194" t="s">
        <v>195</v>
      </c>
      <c r="B6194" t="s">
        <v>202</v>
      </c>
      <c r="C6194">
        <v>533</v>
      </c>
      <c r="D6194" t="s">
        <v>194</v>
      </c>
      <c r="E6194">
        <v>2677</v>
      </c>
      <c r="F6194" s="3">
        <v>0.30740000000000001</v>
      </c>
      <c r="G6194" s="3">
        <v>6.9999999999999999E-4</v>
      </c>
      <c r="H6194" s="3">
        <v>0.23130000000000001</v>
      </c>
      <c r="I6194" s="3">
        <v>0.3266</v>
      </c>
      <c r="J6194" s="3">
        <v>0.13400000000000001</v>
      </c>
    </row>
    <row r="6195" spans="1:10">
      <c r="A6195" t="s">
        <v>195</v>
      </c>
      <c r="B6195" t="s">
        <v>204</v>
      </c>
      <c r="C6195">
        <v>301</v>
      </c>
      <c r="D6195" t="s">
        <v>194</v>
      </c>
      <c r="E6195">
        <v>2677</v>
      </c>
      <c r="F6195" s="3">
        <v>0.21940000000000001</v>
      </c>
      <c r="H6195" s="3">
        <v>0.2283</v>
      </c>
      <c r="I6195" s="3">
        <v>0.40600000000000003</v>
      </c>
      <c r="J6195" s="3">
        <v>0.1462</v>
      </c>
    </row>
    <row r="6196" spans="1:10">
      <c r="A6196" t="s">
        <v>195</v>
      </c>
      <c r="B6196" t="s">
        <v>205</v>
      </c>
      <c r="C6196">
        <v>334</v>
      </c>
      <c r="D6196" t="s">
        <v>194</v>
      </c>
      <c r="E6196">
        <v>2677</v>
      </c>
      <c r="F6196" s="3">
        <v>0.21629999999999999</v>
      </c>
      <c r="H6196" s="3">
        <v>0.20749999999999999</v>
      </c>
      <c r="I6196" s="3">
        <v>0.4128</v>
      </c>
      <c r="J6196" s="3">
        <v>0.16339999999999999</v>
      </c>
    </row>
    <row r="6197" spans="1:10">
      <c r="A6197" t="s">
        <v>199</v>
      </c>
      <c r="B6197" t="s">
        <v>202</v>
      </c>
      <c r="C6197">
        <v>538</v>
      </c>
      <c r="D6197" t="s">
        <v>194</v>
      </c>
      <c r="E6197">
        <v>2677</v>
      </c>
      <c r="F6197" s="3">
        <v>0.14050000000000001</v>
      </c>
      <c r="G6197" s="3">
        <v>1.1000000000000001E-3</v>
      </c>
      <c r="H6197" s="3">
        <v>0.29010000000000002</v>
      </c>
      <c r="I6197" s="3">
        <v>0.50880000000000003</v>
      </c>
      <c r="J6197" s="3">
        <v>5.9499999999999997E-2</v>
      </c>
    </row>
    <row r="6198" spans="1:10">
      <c r="A6198" t="s">
        <v>199</v>
      </c>
      <c r="B6198" t="s">
        <v>204</v>
      </c>
      <c r="C6198">
        <v>426</v>
      </c>
      <c r="D6198" t="s">
        <v>194</v>
      </c>
      <c r="E6198">
        <v>2677</v>
      </c>
      <c r="F6198" s="3">
        <v>0.15809999999999999</v>
      </c>
      <c r="H6198" s="3">
        <v>0.24809999999999999</v>
      </c>
      <c r="I6198" s="3">
        <v>0.39400000000000002</v>
      </c>
      <c r="J6198" s="3">
        <v>0.19989999999999999</v>
      </c>
    </row>
    <row r="6199" spans="1:10">
      <c r="A6199" t="s">
        <v>199</v>
      </c>
      <c r="B6199" t="s">
        <v>205</v>
      </c>
      <c r="C6199">
        <v>506</v>
      </c>
      <c r="D6199" t="s">
        <v>194</v>
      </c>
      <c r="E6199">
        <v>2677</v>
      </c>
      <c r="F6199" s="3">
        <v>0.1283</v>
      </c>
      <c r="G6199" s="3">
        <v>5.9999999999999995E-4</v>
      </c>
      <c r="H6199" s="3">
        <v>0.42670000000000002</v>
      </c>
      <c r="I6199" s="3">
        <v>0.34129999999999999</v>
      </c>
      <c r="J6199" s="3">
        <v>0.10299999999999999</v>
      </c>
    </row>
    <row r="6200" spans="1:10">
      <c r="A6200" t="s">
        <v>200</v>
      </c>
      <c r="B6200" t="s">
        <v>200</v>
      </c>
      <c r="C6200">
        <v>2677</v>
      </c>
      <c r="D6200" t="s">
        <v>200</v>
      </c>
      <c r="E6200">
        <v>2677</v>
      </c>
      <c r="F6200" s="3">
        <v>0.20130000000000001</v>
      </c>
      <c r="G6200" s="3">
        <v>6.9999999999999999E-4</v>
      </c>
      <c r="H6200" s="3">
        <v>0.27089999999999997</v>
      </c>
      <c r="I6200" s="3">
        <v>0.41249999999999998</v>
      </c>
      <c r="J6200" s="3">
        <v>0.1147</v>
      </c>
    </row>
    <row r="6202" spans="1:10" ht="45">
      <c r="A6202" s="22" t="s">
        <v>1394</v>
      </c>
    </row>
    <row r="6203" spans="1:10">
      <c r="A6203" t="s">
        <v>185</v>
      </c>
      <c r="B6203" t="s">
        <v>186</v>
      </c>
      <c r="C6203" t="s">
        <v>192</v>
      </c>
      <c r="D6203" t="s">
        <v>184</v>
      </c>
      <c r="E6203" t="s">
        <v>193</v>
      </c>
      <c r="F6203" t="s">
        <v>1389</v>
      </c>
      <c r="G6203" t="s">
        <v>247</v>
      </c>
      <c r="H6203" t="s">
        <v>1390</v>
      </c>
      <c r="I6203" t="s">
        <v>1391</v>
      </c>
      <c r="J6203" t="s">
        <v>1392</v>
      </c>
    </row>
    <row r="6204" spans="1:10">
      <c r="A6204" t="s">
        <v>195</v>
      </c>
      <c r="B6204" t="s">
        <v>207</v>
      </c>
      <c r="C6204">
        <v>322</v>
      </c>
      <c r="D6204" t="s">
        <v>194</v>
      </c>
      <c r="E6204">
        <v>2677</v>
      </c>
      <c r="F6204" s="3">
        <v>0.28510000000000002</v>
      </c>
      <c r="H6204" s="3">
        <v>0.20849999999999999</v>
      </c>
      <c r="I6204" s="3">
        <v>0.32440000000000002</v>
      </c>
      <c r="J6204" s="3">
        <v>0.18190000000000001</v>
      </c>
    </row>
    <row r="6205" spans="1:10">
      <c r="A6205" t="s">
        <v>195</v>
      </c>
      <c r="B6205" t="s">
        <v>209</v>
      </c>
      <c r="C6205">
        <v>867</v>
      </c>
      <c r="D6205" t="s">
        <v>194</v>
      </c>
      <c r="E6205">
        <v>2677</v>
      </c>
      <c r="F6205" s="3">
        <v>0.27200000000000002</v>
      </c>
      <c r="G6205" s="3">
        <v>5.9999999999999995E-4</v>
      </c>
      <c r="H6205" s="3">
        <v>0.2351</v>
      </c>
      <c r="I6205" s="3">
        <v>0.36649999999999999</v>
      </c>
      <c r="J6205" s="3">
        <v>0.1258</v>
      </c>
    </row>
    <row r="6206" spans="1:10">
      <c r="A6206" t="s">
        <v>199</v>
      </c>
      <c r="B6206" t="s">
        <v>207</v>
      </c>
      <c r="C6206">
        <v>283</v>
      </c>
      <c r="D6206" t="s">
        <v>194</v>
      </c>
      <c r="E6206">
        <v>2677</v>
      </c>
      <c r="F6206" s="3">
        <v>0.12870000000000001</v>
      </c>
      <c r="G6206" s="3">
        <v>8.9999999999999998E-4</v>
      </c>
      <c r="H6206" s="3">
        <v>0.27650000000000002</v>
      </c>
      <c r="I6206" s="3">
        <v>0.43969999999999998</v>
      </c>
      <c r="J6206" s="3">
        <v>0.1542</v>
      </c>
    </row>
    <row r="6207" spans="1:10">
      <c r="A6207" t="s">
        <v>199</v>
      </c>
      <c r="B6207" t="s">
        <v>209</v>
      </c>
      <c r="C6207">
        <v>1205</v>
      </c>
      <c r="D6207" t="s">
        <v>194</v>
      </c>
      <c r="E6207">
        <v>2677</v>
      </c>
      <c r="F6207" s="3">
        <v>0.1439</v>
      </c>
      <c r="G6207" s="3">
        <v>8.0000000000000004E-4</v>
      </c>
      <c r="H6207" s="3">
        <v>0.30880000000000002</v>
      </c>
      <c r="I6207" s="3">
        <v>0.46039999999999998</v>
      </c>
      <c r="J6207" s="3">
        <v>8.6099999999999996E-2</v>
      </c>
    </row>
    <row r="6208" spans="1:10">
      <c r="A6208" t="s">
        <v>200</v>
      </c>
      <c r="B6208" t="s">
        <v>200</v>
      </c>
      <c r="C6208">
        <v>2677</v>
      </c>
      <c r="D6208" t="s">
        <v>200</v>
      </c>
      <c r="E6208">
        <v>2677</v>
      </c>
      <c r="F6208" s="3">
        <v>0.20130000000000001</v>
      </c>
      <c r="G6208" s="3">
        <v>6.9999999999999999E-4</v>
      </c>
      <c r="H6208" s="3">
        <v>0.27089999999999997</v>
      </c>
      <c r="I6208" s="3">
        <v>0.41249999999999998</v>
      </c>
      <c r="J6208" s="3">
        <v>0.1147</v>
      </c>
    </row>
    <row r="6210" spans="1:10" ht="45">
      <c r="A6210" s="22" t="s">
        <v>1395</v>
      </c>
    </row>
    <row r="6211" spans="1:10">
      <c r="A6211" t="s">
        <v>185</v>
      </c>
      <c r="B6211" t="s">
        <v>192</v>
      </c>
      <c r="C6211" t="s">
        <v>184</v>
      </c>
      <c r="D6211" t="s">
        <v>193</v>
      </c>
      <c r="E6211" t="s">
        <v>1389</v>
      </c>
      <c r="F6211" t="s">
        <v>247</v>
      </c>
      <c r="G6211" t="s">
        <v>1390</v>
      </c>
      <c r="H6211" t="s">
        <v>1391</v>
      </c>
      <c r="I6211" t="s">
        <v>1392</v>
      </c>
    </row>
    <row r="6212" spans="1:10">
      <c r="A6212" t="s">
        <v>195</v>
      </c>
      <c r="B6212">
        <v>1189</v>
      </c>
      <c r="C6212" t="s">
        <v>194</v>
      </c>
      <c r="D6212">
        <v>2677</v>
      </c>
      <c r="E6212" s="3">
        <v>0.27539999999999998</v>
      </c>
      <c r="F6212" s="3">
        <v>5.0000000000000001E-4</v>
      </c>
      <c r="G6212" s="3">
        <v>0.2283</v>
      </c>
      <c r="H6212" s="3">
        <v>0.35570000000000002</v>
      </c>
      <c r="I6212" s="3">
        <v>0.14019999999999999</v>
      </c>
    </row>
    <row r="6213" spans="1:10">
      <c r="A6213" t="s">
        <v>199</v>
      </c>
      <c r="B6213">
        <v>1488</v>
      </c>
      <c r="C6213" t="s">
        <v>194</v>
      </c>
      <c r="D6213">
        <v>2677</v>
      </c>
      <c r="E6213" s="3">
        <v>0.1421</v>
      </c>
      <c r="F6213" s="3">
        <v>8.0000000000000004E-4</v>
      </c>
      <c r="G6213" s="3">
        <v>0.3049</v>
      </c>
      <c r="H6213" s="3">
        <v>0.45789999999999997</v>
      </c>
      <c r="I6213" s="3">
        <v>9.4399999999999998E-2</v>
      </c>
    </row>
    <row r="6214" spans="1:10">
      <c r="A6214" t="s">
        <v>200</v>
      </c>
      <c r="B6214">
        <v>2677</v>
      </c>
      <c r="C6214" t="s">
        <v>200</v>
      </c>
      <c r="D6214">
        <v>2677</v>
      </c>
      <c r="E6214" s="3">
        <v>0.20130000000000001</v>
      </c>
      <c r="F6214" s="3">
        <v>6.9999999999999999E-4</v>
      </c>
      <c r="G6214" s="3">
        <v>0.27089999999999997</v>
      </c>
      <c r="H6214" s="3">
        <v>0.41249999999999998</v>
      </c>
      <c r="I6214" s="3">
        <v>0.1147</v>
      </c>
    </row>
    <row r="6216" spans="1:10" ht="30">
      <c r="A6216" s="22" t="s">
        <v>1396</v>
      </c>
    </row>
    <row r="6217" spans="1:10">
      <c r="A6217" t="s">
        <v>185</v>
      </c>
      <c r="B6217" t="s">
        <v>186</v>
      </c>
      <c r="C6217" t="s">
        <v>192</v>
      </c>
      <c r="D6217" t="s">
        <v>184</v>
      </c>
      <c r="E6217" t="s">
        <v>193</v>
      </c>
      <c r="F6217" t="s">
        <v>1389</v>
      </c>
      <c r="G6217" t="s">
        <v>247</v>
      </c>
      <c r="H6217" t="s">
        <v>1390</v>
      </c>
      <c r="I6217" t="s">
        <v>1391</v>
      </c>
      <c r="J6217" t="s">
        <v>1392</v>
      </c>
    </row>
    <row r="6218" spans="1:10">
      <c r="A6218" t="s">
        <v>195</v>
      </c>
      <c r="B6218" t="s">
        <v>212</v>
      </c>
      <c r="C6218">
        <v>873</v>
      </c>
      <c r="D6218" t="s">
        <v>194</v>
      </c>
      <c r="E6218">
        <v>2677</v>
      </c>
      <c r="F6218" s="3">
        <v>0.27210000000000001</v>
      </c>
      <c r="H6218" s="3">
        <v>0.22620000000000001</v>
      </c>
      <c r="I6218" s="3">
        <v>0.36320000000000002</v>
      </c>
      <c r="J6218" s="3">
        <v>0.1386</v>
      </c>
    </row>
    <row r="6219" spans="1:10">
      <c r="A6219" t="s">
        <v>195</v>
      </c>
      <c r="B6219" t="s">
        <v>214</v>
      </c>
      <c r="C6219">
        <v>181</v>
      </c>
      <c r="D6219" t="s">
        <v>194</v>
      </c>
      <c r="E6219">
        <v>2677</v>
      </c>
      <c r="F6219" s="3">
        <v>0.33169999999999999</v>
      </c>
      <c r="H6219" s="3">
        <v>0.17780000000000001</v>
      </c>
      <c r="I6219" s="3">
        <v>0.35289999999999999</v>
      </c>
      <c r="J6219" s="3">
        <v>0.1376</v>
      </c>
    </row>
    <row r="6220" spans="1:10">
      <c r="A6220" t="s">
        <v>195</v>
      </c>
      <c r="B6220" t="s">
        <v>215</v>
      </c>
      <c r="C6220">
        <v>135</v>
      </c>
      <c r="D6220" t="s">
        <v>194</v>
      </c>
      <c r="E6220">
        <v>2677</v>
      </c>
      <c r="F6220" s="3">
        <v>0.19370000000000001</v>
      </c>
      <c r="G6220" s="3">
        <v>5.7000000000000002E-3</v>
      </c>
      <c r="H6220" s="3">
        <v>0.3468</v>
      </c>
      <c r="I6220" s="3">
        <v>0.29389999999999999</v>
      </c>
      <c r="J6220" s="3">
        <v>0.1598</v>
      </c>
    </row>
    <row r="6221" spans="1:10">
      <c r="A6221" t="s">
        <v>199</v>
      </c>
      <c r="B6221" t="s">
        <v>212</v>
      </c>
      <c r="C6221">
        <v>1118</v>
      </c>
      <c r="D6221" t="s">
        <v>194</v>
      </c>
      <c r="E6221">
        <v>2677</v>
      </c>
      <c r="F6221" s="3">
        <v>0.1368</v>
      </c>
      <c r="G6221" s="3">
        <v>1E-3</v>
      </c>
      <c r="H6221" s="3">
        <v>0.31850000000000001</v>
      </c>
      <c r="I6221" s="3">
        <v>0.4501</v>
      </c>
      <c r="J6221" s="3">
        <v>9.3600000000000003E-2</v>
      </c>
    </row>
    <row r="6222" spans="1:10">
      <c r="A6222" t="s">
        <v>199</v>
      </c>
      <c r="B6222" t="s">
        <v>214</v>
      </c>
      <c r="C6222">
        <v>197</v>
      </c>
      <c r="D6222" t="s">
        <v>194</v>
      </c>
      <c r="E6222">
        <v>2677</v>
      </c>
      <c r="F6222" s="3">
        <v>0.13059999999999999</v>
      </c>
      <c r="H6222" s="3">
        <v>0.27550000000000002</v>
      </c>
      <c r="I6222" s="3">
        <v>0.50760000000000005</v>
      </c>
      <c r="J6222" s="3">
        <v>8.6199999999999999E-2</v>
      </c>
    </row>
    <row r="6223" spans="1:10">
      <c r="A6223" t="s">
        <v>199</v>
      </c>
      <c r="B6223" t="s">
        <v>215</v>
      </c>
      <c r="C6223">
        <v>173</v>
      </c>
      <c r="D6223" t="s">
        <v>194</v>
      </c>
      <c r="E6223">
        <v>2677</v>
      </c>
      <c r="F6223" s="3">
        <v>0.21060000000000001</v>
      </c>
      <c r="H6223" s="3">
        <v>0.23400000000000001</v>
      </c>
      <c r="I6223" s="3">
        <v>0.43909999999999999</v>
      </c>
      <c r="J6223" s="3">
        <v>0.1163</v>
      </c>
    </row>
    <row r="6224" spans="1:10">
      <c r="A6224" t="s">
        <v>200</v>
      </c>
      <c r="B6224" t="s">
        <v>200</v>
      </c>
      <c r="C6224">
        <v>2677</v>
      </c>
      <c r="D6224" t="s">
        <v>200</v>
      </c>
      <c r="E6224">
        <v>2677</v>
      </c>
      <c r="F6224" s="3">
        <v>0.20130000000000001</v>
      </c>
      <c r="G6224" s="3">
        <v>6.9999999999999999E-4</v>
      </c>
      <c r="H6224" s="3">
        <v>0.27089999999999997</v>
      </c>
      <c r="I6224" s="3">
        <v>0.41249999999999998</v>
      </c>
      <c r="J6224" s="3">
        <v>0.1147</v>
      </c>
    </row>
    <row r="6226" spans="1:14" ht="45">
      <c r="A6226" s="22" t="s">
        <v>1397</v>
      </c>
    </row>
    <row r="6227" spans="1:14">
      <c r="A6227" t="s">
        <v>185</v>
      </c>
      <c r="B6227" t="s">
        <v>186</v>
      </c>
      <c r="C6227" t="s">
        <v>192</v>
      </c>
      <c r="D6227" t="s">
        <v>184</v>
      </c>
      <c r="E6227" t="s">
        <v>193</v>
      </c>
      <c r="F6227" t="s">
        <v>1389</v>
      </c>
      <c r="G6227" t="s">
        <v>247</v>
      </c>
      <c r="H6227" t="s">
        <v>1390</v>
      </c>
      <c r="I6227" t="s">
        <v>1391</v>
      </c>
      <c r="J6227" t="s">
        <v>1392</v>
      </c>
    </row>
    <row r="6228" spans="1:14">
      <c r="A6228" t="s">
        <v>195</v>
      </c>
      <c r="B6228" t="s">
        <v>217</v>
      </c>
      <c r="C6228">
        <v>499</v>
      </c>
      <c r="D6228" t="s">
        <v>194</v>
      </c>
      <c r="E6228">
        <v>2677</v>
      </c>
      <c r="F6228" s="3">
        <v>0.26600000000000001</v>
      </c>
      <c r="H6228" s="3">
        <v>0.28060000000000002</v>
      </c>
      <c r="I6228" s="3">
        <v>0.31490000000000001</v>
      </c>
      <c r="J6228" s="3">
        <v>0.13850000000000001</v>
      </c>
    </row>
    <row r="6229" spans="1:14">
      <c r="A6229" t="s">
        <v>195</v>
      </c>
      <c r="B6229" t="s">
        <v>219</v>
      </c>
      <c r="C6229">
        <v>507</v>
      </c>
      <c r="D6229" t="s">
        <v>194</v>
      </c>
      <c r="E6229">
        <v>2677</v>
      </c>
      <c r="F6229" s="3">
        <v>0.28999999999999998</v>
      </c>
      <c r="G6229" s="3">
        <v>1.1999999999999999E-3</v>
      </c>
      <c r="H6229" s="3">
        <v>0.19989999999999999</v>
      </c>
      <c r="I6229" s="3">
        <v>0.36299999999999999</v>
      </c>
      <c r="J6229" s="3">
        <v>0.1459</v>
      </c>
    </row>
    <row r="6230" spans="1:14">
      <c r="A6230" t="s">
        <v>195</v>
      </c>
      <c r="B6230" t="s">
        <v>220</v>
      </c>
      <c r="C6230">
        <v>182</v>
      </c>
      <c r="D6230" t="s">
        <v>194</v>
      </c>
      <c r="E6230">
        <v>2677</v>
      </c>
      <c r="F6230" s="3">
        <v>0.26600000000000001</v>
      </c>
      <c r="H6230" s="3">
        <v>0.17019999999999999</v>
      </c>
      <c r="I6230" s="3">
        <v>0.43169999999999997</v>
      </c>
      <c r="J6230" s="3">
        <v>0.1321</v>
      </c>
    </row>
    <row r="6231" spans="1:14">
      <c r="A6231" t="s">
        <v>199</v>
      </c>
      <c r="B6231" t="s">
        <v>217</v>
      </c>
      <c r="C6231">
        <v>814</v>
      </c>
      <c r="D6231" t="s">
        <v>194</v>
      </c>
      <c r="E6231">
        <v>2677</v>
      </c>
      <c r="F6231" s="3">
        <v>0.1404</v>
      </c>
      <c r="G6231" s="3">
        <v>5.9999999999999995E-4</v>
      </c>
      <c r="H6231" s="3">
        <v>0.2888</v>
      </c>
      <c r="I6231" s="3">
        <v>0.47539999999999999</v>
      </c>
      <c r="J6231" s="3">
        <v>9.4799999999999995E-2</v>
      </c>
    </row>
    <row r="6232" spans="1:14">
      <c r="A6232" t="s">
        <v>199</v>
      </c>
      <c r="B6232" t="s">
        <v>219</v>
      </c>
      <c r="C6232">
        <v>451</v>
      </c>
      <c r="D6232" t="s">
        <v>194</v>
      </c>
      <c r="E6232">
        <v>2677</v>
      </c>
      <c r="F6232" s="3">
        <v>0.1036</v>
      </c>
      <c r="H6232" s="3">
        <v>0.38479999999999998</v>
      </c>
      <c r="I6232" s="3">
        <v>0.41789999999999999</v>
      </c>
      <c r="J6232" s="3">
        <v>9.3700000000000006E-2</v>
      </c>
    </row>
    <row r="6233" spans="1:14">
      <c r="A6233" t="s">
        <v>199</v>
      </c>
      <c r="B6233" t="s">
        <v>220</v>
      </c>
      <c r="C6233">
        <v>223</v>
      </c>
      <c r="D6233" t="s">
        <v>194</v>
      </c>
      <c r="E6233">
        <v>2677</v>
      </c>
      <c r="F6233" s="3">
        <v>0.20899999999999999</v>
      </c>
      <c r="G6233" s="3">
        <v>2.8E-3</v>
      </c>
      <c r="H6233" s="3">
        <v>0.2404</v>
      </c>
      <c r="I6233" s="3">
        <v>0.45390000000000003</v>
      </c>
      <c r="J6233" s="3">
        <v>9.3899999999999997E-2</v>
      </c>
    </row>
    <row r="6234" spans="1:14">
      <c r="A6234" t="s">
        <v>200</v>
      </c>
      <c r="B6234" t="s">
        <v>200</v>
      </c>
      <c r="C6234">
        <v>2677</v>
      </c>
      <c r="D6234" t="s">
        <v>200</v>
      </c>
      <c r="E6234">
        <v>2677</v>
      </c>
      <c r="F6234" s="3">
        <v>0.20130000000000001</v>
      </c>
      <c r="G6234" s="3">
        <v>6.9999999999999999E-4</v>
      </c>
      <c r="H6234" s="3">
        <v>0.27089999999999997</v>
      </c>
      <c r="I6234" s="3">
        <v>0.41249999999999998</v>
      </c>
      <c r="J6234" s="3">
        <v>0.1147</v>
      </c>
    </row>
    <row r="6236" spans="1:14" ht="45">
      <c r="A6236" s="22" t="s">
        <v>1398</v>
      </c>
    </row>
    <row r="6237" spans="1:14">
      <c r="A6237" t="s">
        <v>185</v>
      </c>
      <c r="B6237" t="s">
        <v>186</v>
      </c>
      <c r="C6237" t="s">
        <v>192</v>
      </c>
      <c r="D6237" t="s">
        <v>184</v>
      </c>
      <c r="E6237" t="s">
        <v>193</v>
      </c>
      <c r="F6237" t="s">
        <v>257</v>
      </c>
      <c r="G6237" t="s">
        <v>1286</v>
      </c>
      <c r="H6237" t="s">
        <v>1399</v>
      </c>
      <c r="I6237" t="s">
        <v>329</v>
      </c>
      <c r="J6237" t="s">
        <v>274</v>
      </c>
      <c r="K6237" t="s">
        <v>247</v>
      </c>
      <c r="L6237" t="s">
        <v>1287</v>
      </c>
      <c r="M6237" t="s">
        <v>1288</v>
      </c>
      <c r="N6237" t="s">
        <v>1289</v>
      </c>
    </row>
    <row r="6238" spans="1:14">
      <c r="A6238" t="s">
        <v>195</v>
      </c>
      <c r="B6238" t="s">
        <v>196</v>
      </c>
      <c r="C6238">
        <v>412</v>
      </c>
      <c r="D6238" t="s">
        <v>194</v>
      </c>
      <c r="E6238">
        <v>2676</v>
      </c>
      <c r="F6238" s="3">
        <v>6.0699999999999997E-2</v>
      </c>
      <c r="G6238" s="3">
        <v>0.33910000000000001</v>
      </c>
      <c r="H6238" s="3">
        <v>9.3399999999999997E-2</v>
      </c>
      <c r="I6238" s="3">
        <v>0.30049999999999999</v>
      </c>
      <c r="J6238" s="3">
        <v>3.1399999999999997E-2</v>
      </c>
      <c r="K6238" s="3">
        <v>2.4799999999999999E-2</v>
      </c>
      <c r="L6238" s="3">
        <v>0.39389999999999997</v>
      </c>
      <c r="M6238" s="3">
        <v>0.36709999999999998</v>
      </c>
      <c r="N6238" s="3">
        <v>0.4577</v>
      </c>
    </row>
    <row r="6239" spans="1:14">
      <c r="A6239" t="s">
        <v>195</v>
      </c>
      <c r="B6239" t="s">
        <v>198</v>
      </c>
      <c r="C6239">
        <v>755</v>
      </c>
      <c r="D6239" t="s">
        <v>194</v>
      </c>
      <c r="E6239">
        <v>2676</v>
      </c>
      <c r="F6239" s="3">
        <v>0.1041</v>
      </c>
      <c r="G6239" s="3">
        <v>0.35339999999999999</v>
      </c>
      <c r="H6239" s="3">
        <v>3.4200000000000001E-2</v>
      </c>
      <c r="I6239" s="3">
        <v>0.28649999999999998</v>
      </c>
      <c r="J6239" s="3">
        <v>1.43E-2</v>
      </c>
      <c r="K6239" s="3">
        <v>4.8999999999999998E-3</v>
      </c>
      <c r="L6239" s="3">
        <v>0.36770000000000003</v>
      </c>
      <c r="M6239" s="3">
        <v>0.37519999999999998</v>
      </c>
      <c r="N6239" s="3">
        <v>0.52629999999999999</v>
      </c>
    </row>
    <row r="6240" spans="1:14">
      <c r="A6240" t="s">
        <v>199</v>
      </c>
      <c r="B6240" t="s">
        <v>196</v>
      </c>
      <c r="C6240">
        <v>525</v>
      </c>
      <c r="D6240" t="s">
        <v>194</v>
      </c>
      <c r="E6240">
        <v>2676</v>
      </c>
      <c r="F6240" s="3">
        <v>1.06E-2</v>
      </c>
      <c r="G6240" s="3">
        <v>6.6199999999999995E-2</v>
      </c>
      <c r="H6240" s="3">
        <v>0.73180000000000001</v>
      </c>
      <c r="I6240" s="3">
        <v>0.16600000000000001</v>
      </c>
      <c r="J6240" s="3">
        <v>6.9999999999999999E-4</v>
      </c>
      <c r="K6240" s="3">
        <v>2.0000000000000001E-4</v>
      </c>
      <c r="L6240" s="3">
        <v>5.2600000000000001E-2</v>
      </c>
      <c r="M6240" s="3">
        <v>4.6399999999999997E-2</v>
      </c>
      <c r="N6240" s="3">
        <v>7.6700000000000004E-2</v>
      </c>
    </row>
    <row r="6241" spans="1:14">
      <c r="A6241" t="s">
        <v>199</v>
      </c>
      <c r="B6241" t="s">
        <v>198</v>
      </c>
      <c r="C6241">
        <v>945</v>
      </c>
      <c r="D6241" t="s">
        <v>194</v>
      </c>
      <c r="E6241">
        <v>2676</v>
      </c>
      <c r="F6241" s="3">
        <v>5.0000000000000001E-4</v>
      </c>
      <c r="G6241" s="3">
        <v>1.7399999999999999E-2</v>
      </c>
      <c r="H6241" s="3">
        <v>0.81779999999999997</v>
      </c>
      <c r="I6241" s="3">
        <v>0.1353</v>
      </c>
      <c r="J6241" s="3">
        <v>4.0000000000000002E-4</v>
      </c>
      <c r="K6241" s="3">
        <v>5.9999999999999995E-4</v>
      </c>
      <c r="L6241" s="3">
        <v>1.9199999999999998E-2</v>
      </c>
      <c r="M6241" s="3">
        <v>1.6500000000000001E-2</v>
      </c>
      <c r="N6241" s="3">
        <v>4.3700000000000003E-2</v>
      </c>
    </row>
    <row r="6242" spans="1:14">
      <c r="A6242" t="s">
        <v>200</v>
      </c>
      <c r="B6242" t="s">
        <v>200</v>
      </c>
      <c r="C6242">
        <v>2676</v>
      </c>
      <c r="D6242" t="s">
        <v>200</v>
      </c>
      <c r="E6242">
        <v>2676</v>
      </c>
      <c r="F6242" s="3">
        <v>4.2200000000000001E-2</v>
      </c>
      <c r="G6242" s="3">
        <v>0.16950000000000001</v>
      </c>
      <c r="H6242" s="3">
        <v>0.46760000000000002</v>
      </c>
      <c r="I6242" s="3">
        <v>0.20780000000000001</v>
      </c>
      <c r="J6242" s="3">
        <v>8.6E-3</v>
      </c>
      <c r="K6242" s="3">
        <v>4.7999999999999996E-3</v>
      </c>
      <c r="L6242" s="3">
        <v>0.18060000000000001</v>
      </c>
      <c r="M6242" s="3">
        <v>0.17799999999999999</v>
      </c>
      <c r="N6242" s="3">
        <v>0.25340000000000001</v>
      </c>
    </row>
    <row r="6244" spans="1:14" ht="45">
      <c r="A6244" s="22" t="s">
        <v>1400</v>
      </c>
    </row>
    <row r="6245" spans="1:14">
      <c r="A6245" t="s">
        <v>185</v>
      </c>
      <c r="B6245" t="s">
        <v>186</v>
      </c>
      <c r="C6245" t="s">
        <v>192</v>
      </c>
      <c r="D6245" t="s">
        <v>184</v>
      </c>
      <c r="E6245" t="s">
        <v>193</v>
      </c>
      <c r="F6245" t="s">
        <v>257</v>
      </c>
      <c r="G6245" t="s">
        <v>1286</v>
      </c>
      <c r="H6245" t="s">
        <v>1399</v>
      </c>
      <c r="I6245" t="s">
        <v>329</v>
      </c>
      <c r="J6245" t="s">
        <v>274</v>
      </c>
      <c r="K6245" t="s">
        <v>247</v>
      </c>
      <c r="L6245" t="s">
        <v>1287</v>
      </c>
      <c r="M6245" t="s">
        <v>1288</v>
      </c>
      <c r="N6245" t="s">
        <v>1289</v>
      </c>
    </row>
    <row r="6246" spans="1:14">
      <c r="A6246" t="s">
        <v>195</v>
      </c>
      <c r="B6246" t="s">
        <v>202</v>
      </c>
      <c r="C6246">
        <v>532</v>
      </c>
      <c r="D6246" t="s">
        <v>194</v>
      </c>
      <c r="E6246">
        <v>2676</v>
      </c>
      <c r="F6246" s="3">
        <v>9.9299999999999999E-2</v>
      </c>
      <c r="G6246" s="3">
        <v>0.31759999999999999</v>
      </c>
      <c r="H6246" s="3">
        <v>5.3400000000000003E-2</v>
      </c>
      <c r="I6246" s="3">
        <v>0.31069999999999998</v>
      </c>
      <c r="J6246" s="3">
        <v>2.01E-2</v>
      </c>
      <c r="K6246" s="3">
        <v>1.34E-2</v>
      </c>
      <c r="L6246" s="3">
        <v>0.33789999999999998</v>
      </c>
      <c r="M6246" s="3">
        <v>0.35670000000000002</v>
      </c>
      <c r="N6246" s="3">
        <v>0.48380000000000001</v>
      </c>
    </row>
    <row r="6247" spans="1:14">
      <c r="A6247" t="s">
        <v>195</v>
      </c>
      <c r="B6247" t="s">
        <v>204</v>
      </c>
      <c r="C6247">
        <v>301</v>
      </c>
      <c r="D6247" t="s">
        <v>194</v>
      </c>
      <c r="E6247">
        <v>2676</v>
      </c>
      <c r="F6247" s="3">
        <v>5.62E-2</v>
      </c>
      <c r="G6247" s="3">
        <v>0.43490000000000001</v>
      </c>
      <c r="H6247" s="3">
        <v>6.8699999999999997E-2</v>
      </c>
      <c r="I6247" s="3">
        <v>0.214</v>
      </c>
      <c r="J6247" s="3">
        <v>1.5699999999999999E-2</v>
      </c>
      <c r="K6247" s="3">
        <v>7.3000000000000001E-3</v>
      </c>
      <c r="L6247" s="3">
        <v>0.46939999999999998</v>
      </c>
      <c r="M6247" s="3">
        <v>0.42599999999999999</v>
      </c>
      <c r="N6247" s="3">
        <v>0.58140000000000003</v>
      </c>
    </row>
    <row r="6248" spans="1:14">
      <c r="A6248" t="s">
        <v>195</v>
      </c>
      <c r="B6248" t="s">
        <v>205</v>
      </c>
      <c r="C6248">
        <v>334</v>
      </c>
      <c r="D6248" t="s">
        <v>194</v>
      </c>
      <c r="E6248">
        <v>2676</v>
      </c>
      <c r="F6248" s="3">
        <v>0.1174</v>
      </c>
      <c r="G6248" s="3">
        <v>0.36780000000000002</v>
      </c>
      <c r="H6248" s="3">
        <v>4.1000000000000003E-3</v>
      </c>
      <c r="I6248" s="3">
        <v>0.31359999999999999</v>
      </c>
      <c r="J6248" s="3">
        <v>1.8200000000000001E-2</v>
      </c>
      <c r="L6248" s="3">
        <v>0.40079999999999999</v>
      </c>
      <c r="M6248" s="3">
        <v>0.36749999999999999</v>
      </c>
      <c r="N6248" s="3">
        <v>0.50700000000000001</v>
      </c>
    </row>
    <row r="6249" spans="1:14">
      <c r="A6249" t="s">
        <v>199</v>
      </c>
      <c r="B6249" t="s">
        <v>202</v>
      </c>
      <c r="C6249">
        <v>538</v>
      </c>
      <c r="D6249" t="s">
        <v>194</v>
      </c>
      <c r="E6249">
        <v>2676</v>
      </c>
      <c r="F6249" s="3">
        <v>2.0999999999999999E-3</v>
      </c>
      <c r="G6249" s="3">
        <v>2.1399999999999999E-2</v>
      </c>
      <c r="H6249" s="3">
        <v>0.83950000000000002</v>
      </c>
      <c r="I6249" s="3">
        <v>0.1313</v>
      </c>
      <c r="L6249" s="3">
        <v>1.77E-2</v>
      </c>
      <c r="M6249" s="3">
        <v>1.7899999999999999E-2</v>
      </c>
      <c r="N6249" s="3">
        <v>2.3900000000000001E-2</v>
      </c>
    </row>
    <row r="6250" spans="1:14">
      <c r="A6250" t="s">
        <v>199</v>
      </c>
      <c r="B6250" t="s">
        <v>204</v>
      </c>
      <c r="C6250">
        <v>426</v>
      </c>
      <c r="D6250" t="s">
        <v>194</v>
      </c>
      <c r="E6250">
        <v>2676</v>
      </c>
      <c r="F6250" s="3">
        <v>2.5999999999999999E-3</v>
      </c>
      <c r="G6250" s="3">
        <v>1.6199999999999999E-2</v>
      </c>
      <c r="H6250" s="3">
        <v>0.88070000000000004</v>
      </c>
      <c r="I6250" s="3">
        <v>8.48E-2</v>
      </c>
      <c r="J6250" s="3">
        <v>5.9999999999999995E-4</v>
      </c>
      <c r="K6250" s="3">
        <v>6.9999999999999999E-4</v>
      </c>
      <c r="L6250" s="3">
        <v>1.6E-2</v>
      </c>
      <c r="M6250" s="3">
        <v>1.3299999999999999E-2</v>
      </c>
      <c r="N6250" s="3">
        <v>2.6800000000000001E-2</v>
      </c>
    </row>
    <row r="6251" spans="1:14">
      <c r="A6251" t="s">
        <v>199</v>
      </c>
      <c r="B6251" t="s">
        <v>205</v>
      </c>
      <c r="C6251">
        <v>506</v>
      </c>
      <c r="D6251" t="s">
        <v>194</v>
      </c>
      <c r="E6251">
        <v>2676</v>
      </c>
      <c r="F6251" s="3">
        <v>3.3E-3</v>
      </c>
      <c r="G6251" s="3">
        <v>5.7299999999999997E-2</v>
      </c>
      <c r="H6251" s="3">
        <v>0.56950000000000001</v>
      </c>
      <c r="I6251" s="3">
        <v>0.24160000000000001</v>
      </c>
      <c r="J6251" s="3">
        <v>2.0999999999999999E-3</v>
      </c>
      <c r="K6251" s="3">
        <v>2.3999999999999998E-3</v>
      </c>
      <c r="L6251" s="3">
        <v>6.5000000000000002E-2</v>
      </c>
      <c r="M6251" s="3">
        <v>4.7699999999999999E-2</v>
      </c>
      <c r="N6251" s="3">
        <v>0.1739</v>
      </c>
    </row>
    <row r="6252" spans="1:14">
      <c r="A6252" t="s">
        <v>200</v>
      </c>
      <c r="B6252" t="s">
        <v>200</v>
      </c>
      <c r="C6252">
        <v>2676</v>
      </c>
      <c r="D6252" t="s">
        <v>200</v>
      </c>
      <c r="E6252">
        <v>2676</v>
      </c>
      <c r="F6252" s="3">
        <v>4.2200000000000001E-2</v>
      </c>
      <c r="G6252" s="3">
        <v>0.16950000000000001</v>
      </c>
      <c r="H6252" s="3">
        <v>0.46760000000000002</v>
      </c>
      <c r="I6252" s="3">
        <v>0.20780000000000001</v>
      </c>
      <c r="J6252" s="3">
        <v>8.6E-3</v>
      </c>
      <c r="K6252" s="3">
        <v>4.7999999999999996E-3</v>
      </c>
      <c r="L6252" s="3">
        <v>0.18060000000000001</v>
      </c>
      <c r="M6252" s="3">
        <v>0.17799999999999999</v>
      </c>
      <c r="N6252" s="3">
        <v>0.25340000000000001</v>
      </c>
    </row>
    <row r="6254" spans="1:14" ht="45">
      <c r="A6254" s="22" t="s">
        <v>1401</v>
      </c>
    </row>
    <row r="6255" spans="1:14">
      <c r="A6255" t="s">
        <v>185</v>
      </c>
      <c r="B6255" t="s">
        <v>186</v>
      </c>
      <c r="C6255" t="s">
        <v>192</v>
      </c>
      <c r="D6255" t="s">
        <v>184</v>
      </c>
      <c r="E6255" t="s">
        <v>193</v>
      </c>
      <c r="F6255" t="s">
        <v>257</v>
      </c>
      <c r="G6255" t="s">
        <v>1286</v>
      </c>
      <c r="H6255" t="s">
        <v>1399</v>
      </c>
      <c r="I6255" t="s">
        <v>329</v>
      </c>
      <c r="J6255" t="s">
        <v>274</v>
      </c>
      <c r="K6255" t="s">
        <v>247</v>
      </c>
      <c r="L6255" t="s">
        <v>1287</v>
      </c>
      <c r="M6255" t="s">
        <v>1288</v>
      </c>
      <c r="N6255" t="s">
        <v>1289</v>
      </c>
    </row>
    <row r="6256" spans="1:14">
      <c r="A6256" t="s">
        <v>195</v>
      </c>
      <c r="B6256" t="s">
        <v>207</v>
      </c>
      <c r="C6256">
        <v>322</v>
      </c>
      <c r="D6256" t="s">
        <v>194</v>
      </c>
      <c r="E6256">
        <v>2676</v>
      </c>
      <c r="F6256" s="3">
        <v>0.1249</v>
      </c>
      <c r="G6256" s="3">
        <v>0.33079999999999998</v>
      </c>
      <c r="H6256" s="3">
        <v>5.8299999999999998E-2</v>
      </c>
      <c r="I6256" s="3">
        <v>0.26050000000000001</v>
      </c>
      <c r="J6256" s="3">
        <v>1.18E-2</v>
      </c>
      <c r="L6256" s="3">
        <v>0.38450000000000001</v>
      </c>
      <c r="M6256" s="3">
        <v>0.35170000000000001</v>
      </c>
      <c r="N6256" s="3">
        <v>0.51119999999999999</v>
      </c>
    </row>
    <row r="6257" spans="1:14">
      <c r="A6257" t="s">
        <v>195</v>
      </c>
      <c r="B6257" t="s">
        <v>209</v>
      </c>
      <c r="C6257">
        <v>866</v>
      </c>
      <c r="D6257" t="s">
        <v>194</v>
      </c>
      <c r="E6257">
        <v>2676</v>
      </c>
      <c r="F6257" s="3">
        <v>8.0799999999999997E-2</v>
      </c>
      <c r="G6257" s="3">
        <v>0.35489999999999999</v>
      </c>
      <c r="H6257" s="3">
        <v>4.7500000000000001E-2</v>
      </c>
      <c r="I6257" s="3">
        <v>0.30099999999999999</v>
      </c>
      <c r="J6257" s="3">
        <v>2.12E-2</v>
      </c>
      <c r="K6257" s="3">
        <v>1.37E-2</v>
      </c>
      <c r="L6257" s="3">
        <v>0.37159999999999999</v>
      </c>
      <c r="M6257" s="3">
        <v>0.38069999999999998</v>
      </c>
      <c r="N6257" s="3">
        <v>0.50690000000000002</v>
      </c>
    </row>
    <row r="6258" spans="1:14">
      <c r="A6258" t="s">
        <v>199</v>
      </c>
      <c r="B6258" t="s">
        <v>207</v>
      </c>
      <c r="C6258">
        <v>283</v>
      </c>
      <c r="D6258" t="s">
        <v>194</v>
      </c>
      <c r="E6258">
        <v>2676</v>
      </c>
      <c r="F6258" s="3">
        <v>6.1000000000000004E-3</v>
      </c>
      <c r="G6258" s="3">
        <v>8.2600000000000007E-2</v>
      </c>
      <c r="H6258" s="3">
        <v>0.64870000000000005</v>
      </c>
      <c r="I6258" s="3">
        <v>0.19170000000000001</v>
      </c>
      <c r="J6258" s="3">
        <v>8.9999999999999998E-4</v>
      </c>
      <c r="K6258" s="3">
        <v>2.0000000000000001E-4</v>
      </c>
      <c r="L6258" s="3">
        <v>0.1129</v>
      </c>
      <c r="M6258" s="3">
        <v>9.4399999999999998E-2</v>
      </c>
      <c r="N6258" s="3">
        <v>0.1457</v>
      </c>
    </row>
    <row r="6259" spans="1:14">
      <c r="A6259" t="s">
        <v>199</v>
      </c>
      <c r="B6259" t="s">
        <v>209</v>
      </c>
      <c r="C6259">
        <v>1205</v>
      </c>
      <c r="D6259" t="s">
        <v>194</v>
      </c>
      <c r="E6259">
        <v>2676</v>
      </c>
      <c r="F6259" s="3">
        <v>1.9E-3</v>
      </c>
      <c r="G6259" s="3">
        <v>1.8599999999999998E-2</v>
      </c>
      <c r="H6259" s="3">
        <v>0.82220000000000004</v>
      </c>
      <c r="I6259" s="3">
        <v>0.13469999999999999</v>
      </c>
      <c r="J6259" s="3">
        <v>4.0000000000000002E-4</v>
      </c>
      <c r="K6259" s="3">
        <v>5.9999999999999995E-4</v>
      </c>
      <c r="L6259" s="3">
        <v>1.32E-2</v>
      </c>
      <c r="M6259" s="3">
        <v>1.2E-2</v>
      </c>
      <c r="N6259" s="3">
        <v>3.6600000000000001E-2</v>
      </c>
    </row>
    <row r="6260" spans="1:14">
      <c r="A6260" t="s">
        <v>200</v>
      </c>
      <c r="B6260" t="s">
        <v>200</v>
      </c>
      <c r="C6260">
        <v>2676</v>
      </c>
      <c r="D6260" t="s">
        <v>200</v>
      </c>
      <c r="E6260">
        <v>2676</v>
      </c>
      <c r="F6260" s="3">
        <v>4.2200000000000001E-2</v>
      </c>
      <c r="G6260" s="3">
        <v>0.16950000000000001</v>
      </c>
      <c r="H6260" s="3">
        <v>0.46760000000000002</v>
      </c>
      <c r="I6260" s="3">
        <v>0.20780000000000001</v>
      </c>
      <c r="J6260" s="3">
        <v>8.6E-3</v>
      </c>
      <c r="K6260" s="3">
        <v>4.7999999999999996E-3</v>
      </c>
      <c r="L6260" s="3">
        <v>0.18060000000000001</v>
      </c>
      <c r="M6260" s="3">
        <v>0.17799999999999999</v>
      </c>
      <c r="N6260" s="3">
        <v>0.25340000000000001</v>
      </c>
    </row>
    <row r="6262" spans="1:14" ht="45">
      <c r="A6262" s="22" t="s">
        <v>1402</v>
      </c>
    </row>
    <row r="6263" spans="1:14">
      <c r="A6263" t="s">
        <v>185</v>
      </c>
      <c r="B6263" t="s">
        <v>192</v>
      </c>
      <c r="C6263" t="s">
        <v>184</v>
      </c>
      <c r="D6263" t="s">
        <v>193</v>
      </c>
      <c r="E6263" t="s">
        <v>257</v>
      </c>
      <c r="F6263" t="s">
        <v>1286</v>
      </c>
      <c r="G6263" t="s">
        <v>1399</v>
      </c>
      <c r="H6263" t="s">
        <v>329</v>
      </c>
      <c r="I6263" t="s">
        <v>274</v>
      </c>
      <c r="J6263" t="s">
        <v>247</v>
      </c>
      <c r="K6263" t="s">
        <v>1287</v>
      </c>
      <c r="L6263" t="s">
        <v>1288</v>
      </c>
      <c r="M6263" t="s">
        <v>1289</v>
      </c>
    </row>
    <row r="6264" spans="1:14">
      <c r="A6264" t="s">
        <v>195</v>
      </c>
      <c r="B6264">
        <v>1188</v>
      </c>
      <c r="C6264" t="s">
        <v>194</v>
      </c>
      <c r="D6264">
        <v>2676</v>
      </c>
      <c r="E6264" s="3">
        <v>9.2100000000000001E-2</v>
      </c>
      <c r="F6264" s="3">
        <v>0.34870000000000001</v>
      </c>
      <c r="G6264" s="3">
        <v>5.0299999999999997E-2</v>
      </c>
      <c r="H6264" s="3">
        <v>0.29049999999999998</v>
      </c>
      <c r="I6264" s="3">
        <v>1.8800000000000001E-2</v>
      </c>
      <c r="J6264" s="3">
        <v>1.0200000000000001E-2</v>
      </c>
      <c r="K6264" s="3">
        <v>0.37490000000000001</v>
      </c>
      <c r="L6264" s="3">
        <v>0.37319999999999998</v>
      </c>
      <c r="M6264" s="3">
        <v>0.50800000000000001</v>
      </c>
    </row>
    <row r="6265" spans="1:14">
      <c r="A6265" t="s">
        <v>199</v>
      </c>
      <c r="B6265">
        <v>1488</v>
      </c>
      <c r="C6265" t="s">
        <v>194</v>
      </c>
      <c r="D6265">
        <v>2676</v>
      </c>
      <c r="E6265" s="3">
        <v>2.3999999999999998E-3</v>
      </c>
      <c r="F6265" s="3">
        <v>2.64E-2</v>
      </c>
      <c r="G6265" s="3">
        <v>0.80110000000000003</v>
      </c>
      <c r="H6265" s="3">
        <v>0.14169999999999999</v>
      </c>
      <c r="I6265" s="3">
        <v>5.0000000000000001E-4</v>
      </c>
      <c r="J6265" s="3">
        <v>5.9999999999999995E-4</v>
      </c>
      <c r="K6265" s="3">
        <v>2.53E-2</v>
      </c>
      <c r="L6265" s="3">
        <v>2.1999999999999999E-2</v>
      </c>
      <c r="M6265" s="3">
        <v>4.99E-2</v>
      </c>
    </row>
    <row r="6266" spans="1:14">
      <c r="A6266" t="s">
        <v>200</v>
      </c>
      <c r="B6266">
        <v>2676</v>
      </c>
      <c r="C6266" t="s">
        <v>200</v>
      </c>
      <c r="D6266">
        <v>2676</v>
      </c>
      <c r="E6266" s="3">
        <v>4.2200000000000001E-2</v>
      </c>
      <c r="F6266" s="3">
        <v>0.16950000000000001</v>
      </c>
      <c r="G6266" s="3">
        <v>0.46760000000000002</v>
      </c>
      <c r="H6266" s="3">
        <v>0.20780000000000001</v>
      </c>
      <c r="I6266" s="3">
        <v>8.6E-3</v>
      </c>
      <c r="J6266" s="3">
        <v>4.7999999999999996E-3</v>
      </c>
      <c r="K6266" s="3">
        <v>0.18060000000000001</v>
      </c>
      <c r="L6266" s="3">
        <v>0.17799999999999999</v>
      </c>
      <c r="M6266" s="3">
        <v>0.25340000000000001</v>
      </c>
    </row>
    <row r="6268" spans="1:14" ht="45">
      <c r="A6268" s="22" t="s">
        <v>1403</v>
      </c>
    </row>
    <row r="6269" spans="1:14">
      <c r="A6269" t="s">
        <v>185</v>
      </c>
      <c r="B6269" t="s">
        <v>186</v>
      </c>
      <c r="C6269" t="s">
        <v>192</v>
      </c>
      <c r="D6269" t="s">
        <v>184</v>
      </c>
      <c r="E6269" t="s">
        <v>193</v>
      </c>
      <c r="F6269" t="s">
        <v>257</v>
      </c>
      <c r="G6269" t="s">
        <v>1286</v>
      </c>
      <c r="H6269" t="s">
        <v>1399</v>
      </c>
      <c r="I6269" t="s">
        <v>329</v>
      </c>
      <c r="J6269" t="s">
        <v>274</v>
      </c>
      <c r="K6269" t="s">
        <v>247</v>
      </c>
      <c r="L6269" t="s">
        <v>1287</v>
      </c>
      <c r="M6269" t="s">
        <v>1288</v>
      </c>
      <c r="N6269" t="s">
        <v>1289</v>
      </c>
    </row>
    <row r="6270" spans="1:14">
      <c r="A6270" t="s">
        <v>195</v>
      </c>
      <c r="B6270" t="s">
        <v>212</v>
      </c>
      <c r="C6270">
        <v>872</v>
      </c>
      <c r="D6270" t="s">
        <v>194</v>
      </c>
      <c r="E6270">
        <v>2676</v>
      </c>
      <c r="F6270" s="3">
        <v>8.48E-2</v>
      </c>
      <c r="G6270" s="3">
        <v>0.35299999999999998</v>
      </c>
      <c r="H6270" s="3">
        <v>3.2899999999999999E-2</v>
      </c>
      <c r="I6270" s="3">
        <v>0.28470000000000001</v>
      </c>
      <c r="J6270" s="3">
        <v>1.54E-2</v>
      </c>
      <c r="K6270" s="3">
        <v>1.2999999999999999E-2</v>
      </c>
      <c r="L6270" s="3">
        <v>0.37830000000000003</v>
      </c>
      <c r="M6270" s="3">
        <v>0.38269999999999998</v>
      </c>
      <c r="N6270" s="3">
        <v>0.53090000000000004</v>
      </c>
    </row>
    <row r="6271" spans="1:14">
      <c r="A6271" t="s">
        <v>195</v>
      </c>
      <c r="B6271" t="s">
        <v>214</v>
      </c>
      <c r="C6271">
        <v>181</v>
      </c>
      <c r="D6271" t="s">
        <v>194</v>
      </c>
      <c r="E6271">
        <v>2676</v>
      </c>
      <c r="F6271" s="3">
        <v>0.1142</v>
      </c>
      <c r="G6271" s="3">
        <v>0.30159999999999998</v>
      </c>
      <c r="H6271" s="3">
        <v>0.15390000000000001</v>
      </c>
      <c r="I6271" s="3">
        <v>0.30330000000000001</v>
      </c>
      <c r="J6271" s="3">
        <v>2.9100000000000001E-2</v>
      </c>
      <c r="L6271" s="3">
        <v>0.32890000000000003</v>
      </c>
      <c r="M6271" s="3">
        <v>0.30199999999999999</v>
      </c>
      <c r="N6271" s="3">
        <v>0.3982</v>
      </c>
    </row>
    <row r="6272" spans="1:14">
      <c r="A6272" t="s">
        <v>195</v>
      </c>
      <c r="B6272" t="s">
        <v>215</v>
      </c>
      <c r="C6272">
        <v>135</v>
      </c>
      <c r="D6272" t="s">
        <v>194</v>
      </c>
      <c r="E6272">
        <v>2676</v>
      </c>
      <c r="F6272" s="3">
        <v>0.11459999999999999</v>
      </c>
      <c r="G6272" s="3">
        <v>0.40289999999999998</v>
      </c>
      <c r="H6272" s="3">
        <v>1.5E-3</v>
      </c>
      <c r="I6272" s="3">
        <v>0.31809999999999999</v>
      </c>
      <c r="J6272" s="3">
        <v>2.93E-2</v>
      </c>
      <c r="K6272" s="3">
        <v>5.7000000000000002E-3</v>
      </c>
      <c r="L6272" s="3">
        <v>0.43480000000000002</v>
      </c>
      <c r="M6272" s="3">
        <v>0.42880000000000001</v>
      </c>
      <c r="N6272" s="3">
        <v>0.5202</v>
      </c>
    </row>
    <row r="6273" spans="1:14">
      <c r="A6273" t="s">
        <v>199</v>
      </c>
      <c r="B6273" t="s">
        <v>212</v>
      </c>
      <c r="C6273">
        <v>1118</v>
      </c>
      <c r="D6273" t="s">
        <v>194</v>
      </c>
      <c r="E6273">
        <v>2676</v>
      </c>
      <c r="F6273" s="3">
        <v>2.3999999999999998E-3</v>
      </c>
      <c r="G6273" s="3">
        <v>2.0799999999999999E-2</v>
      </c>
      <c r="H6273" s="3">
        <v>0.80400000000000005</v>
      </c>
      <c r="I6273" s="3">
        <v>0.14549999999999999</v>
      </c>
      <c r="J6273" s="3">
        <v>5.0000000000000001E-4</v>
      </c>
      <c r="K6273" s="3">
        <v>2.0000000000000001E-4</v>
      </c>
      <c r="L6273" s="3">
        <v>2.1499999999999998E-2</v>
      </c>
      <c r="M6273" s="3">
        <v>1.8599999999999998E-2</v>
      </c>
      <c r="N6273" s="3">
        <v>4.5900000000000003E-2</v>
      </c>
    </row>
    <row r="6274" spans="1:14">
      <c r="A6274" t="s">
        <v>199</v>
      </c>
      <c r="B6274" t="s">
        <v>214</v>
      </c>
      <c r="C6274">
        <v>197</v>
      </c>
      <c r="D6274" t="s">
        <v>194</v>
      </c>
      <c r="E6274">
        <v>2676</v>
      </c>
      <c r="F6274" s="3">
        <v>2.2000000000000001E-3</v>
      </c>
      <c r="G6274" s="3">
        <v>2.8799999999999999E-2</v>
      </c>
      <c r="H6274" s="3">
        <v>0.79930000000000001</v>
      </c>
      <c r="I6274" s="3">
        <v>0.13139999999999999</v>
      </c>
      <c r="J6274" s="3">
        <v>6.9999999999999999E-4</v>
      </c>
      <c r="K6274" s="3">
        <v>2.5999999999999999E-3</v>
      </c>
      <c r="L6274" s="3">
        <v>1.84E-2</v>
      </c>
      <c r="M6274" s="3">
        <v>1.37E-2</v>
      </c>
      <c r="N6274" s="3">
        <v>4.6100000000000002E-2</v>
      </c>
    </row>
    <row r="6275" spans="1:14">
      <c r="A6275" t="s">
        <v>199</v>
      </c>
      <c r="B6275" t="s">
        <v>215</v>
      </c>
      <c r="C6275">
        <v>173</v>
      </c>
      <c r="D6275" t="s">
        <v>194</v>
      </c>
      <c r="E6275">
        <v>2676</v>
      </c>
      <c r="F6275" s="3">
        <v>2.7000000000000001E-3</v>
      </c>
      <c r="G6275" s="3">
        <v>7.3700000000000002E-2</v>
      </c>
      <c r="H6275" s="3">
        <v>0.77749999999999997</v>
      </c>
      <c r="I6275" s="3">
        <v>0.12529999999999999</v>
      </c>
      <c r="L6275" s="3">
        <v>7.2499999999999995E-2</v>
      </c>
      <c r="M6275" s="3">
        <v>6.8099999999999994E-2</v>
      </c>
      <c r="N6275" s="3">
        <v>9.2999999999999999E-2</v>
      </c>
    </row>
    <row r="6276" spans="1:14">
      <c r="A6276" t="s">
        <v>200</v>
      </c>
      <c r="B6276" t="s">
        <v>200</v>
      </c>
      <c r="C6276">
        <v>2676</v>
      </c>
      <c r="D6276" t="s">
        <v>200</v>
      </c>
      <c r="E6276">
        <v>2676</v>
      </c>
      <c r="F6276" s="3">
        <v>4.2200000000000001E-2</v>
      </c>
      <c r="G6276" s="3">
        <v>0.16950000000000001</v>
      </c>
      <c r="H6276" s="3">
        <v>0.46760000000000002</v>
      </c>
      <c r="I6276" s="3">
        <v>0.20780000000000001</v>
      </c>
      <c r="J6276" s="3">
        <v>8.6E-3</v>
      </c>
      <c r="K6276" s="3">
        <v>4.7999999999999996E-3</v>
      </c>
      <c r="L6276" s="3">
        <v>0.18060000000000001</v>
      </c>
      <c r="M6276" s="3">
        <v>0.17799999999999999</v>
      </c>
      <c r="N6276" s="3">
        <v>0.25340000000000001</v>
      </c>
    </row>
    <row r="6278" spans="1:14" ht="45">
      <c r="A6278" s="22" t="s">
        <v>1404</v>
      </c>
    </row>
    <row r="6279" spans="1:14">
      <c r="A6279" t="s">
        <v>185</v>
      </c>
      <c r="B6279" t="s">
        <v>186</v>
      </c>
      <c r="C6279" t="s">
        <v>192</v>
      </c>
      <c r="D6279" t="s">
        <v>184</v>
      </c>
      <c r="E6279" t="s">
        <v>193</v>
      </c>
      <c r="F6279" t="s">
        <v>257</v>
      </c>
      <c r="G6279" t="s">
        <v>1286</v>
      </c>
      <c r="H6279" t="s">
        <v>1399</v>
      </c>
      <c r="I6279" t="s">
        <v>329</v>
      </c>
      <c r="J6279" t="s">
        <v>274</v>
      </c>
      <c r="K6279" t="s">
        <v>247</v>
      </c>
      <c r="L6279" t="s">
        <v>1287</v>
      </c>
      <c r="M6279" t="s">
        <v>1288</v>
      </c>
      <c r="N6279" t="s">
        <v>1289</v>
      </c>
    </row>
    <row r="6280" spans="1:14">
      <c r="A6280" t="s">
        <v>195</v>
      </c>
      <c r="B6280" t="s">
        <v>217</v>
      </c>
      <c r="C6280">
        <v>498</v>
      </c>
      <c r="D6280" t="s">
        <v>194</v>
      </c>
      <c r="E6280">
        <v>2676</v>
      </c>
      <c r="F6280" s="3">
        <v>9.98E-2</v>
      </c>
      <c r="G6280" s="3">
        <v>0.3538</v>
      </c>
      <c r="H6280" s="3">
        <v>4.1500000000000002E-2</v>
      </c>
      <c r="I6280" s="3">
        <v>0.28749999999999998</v>
      </c>
      <c r="J6280" s="3">
        <v>2.2700000000000001E-2</v>
      </c>
      <c r="K6280" s="3">
        <v>2E-3</v>
      </c>
      <c r="L6280" s="3">
        <v>0.38490000000000002</v>
      </c>
      <c r="M6280" s="3">
        <v>0.4027</v>
      </c>
      <c r="N6280" s="3">
        <v>0.52990000000000004</v>
      </c>
    </row>
    <row r="6281" spans="1:14">
      <c r="A6281" t="s">
        <v>195</v>
      </c>
      <c r="B6281" t="s">
        <v>219</v>
      </c>
      <c r="C6281">
        <v>507</v>
      </c>
      <c r="D6281" t="s">
        <v>194</v>
      </c>
      <c r="E6281">
        <v>2676</v>
      </c>
      <c r="F6281" s="3">
        <v>9.1999999999999998E-2</v>
      </c>
      <c r="G6281" s="3">
        <v>0.33250000000000002</v>
      </c>
      <c r="H6281" s="3">
        <v>2.4799999999999999E-2</v>
      </c>
      <c r="I6281" s="3">
        <v>0.3251</v>
      </c>
      <c r="J6281" s="3">
        <v>1.8599999999999998E-2</v>
      </c>
      <c r="K6281" s="3">
        <v>1.8599999999999998E-2</v>
      </c>
      <c r="L6281" s="3">
        <v>0.37009999999999998</v>
      </c>
      <c r="M6281" s="3">
        <v>0.34050000000000002</v>
      </c>
      <c r="N6281" s="3">
        <v>0.498</v>
      </c>
    </row>
    <row r="6282" spans="1:14">
      <c r="A6282" t="s">
        <v>195</v>
      </c>
      <c r="B6282" t="s">
        <v>220</v>
      </c>
      <c r="C6282">
        <v>182</v>
      </c>
      <c r="D6282" t="s">
        <v>194</v>
      </c>
      <c r="E6282">
        <v>2676</v>
      </c>
      <c r="F6282" s="3">
        <v>7.5300000000000006E-2</v>
      </c>
      <c r="G6282" s="3">
        <v>0.37059999999999998</v>
      </c>
      <c r="H6282" s="3">
        <v>0.12280000000000001</v>
      </c>
      <c r="I6282" s="3">
        <v>0.2258</v>
      </c>
      <c r="J6282" s="3">
        <v>1.0500000000000001E-2</v>
      </c>
      <c r="K6282" s="3">
        <v>1.11E-2</v>
      </c>
      <c r="L6282" s="3">
        <v>0.36230000000000001</v>
      </c>
      <c r="M6282" s="3">
        <v>0.37530000000000002</v>
      </c>
      <c r="N6282" s="3">
        <v>0.48</v>
      </c>
    </row>
    <row r="6283" spans="1:14">
      <c r="A6283" t="s">
        <v>199</v>
      </c>
      <c r="B6283" t="s">
        <v>217</v>
      </c>
      <c r="C6283">
        <v>814</v>
      </c>
      <c r="D6283" t="s">
        <v>194</v>
      </c>
      <c r="E6283">
        <v>2676</v>
      </c>
      <c r="F6283" s="3">
        <v>2.8E-3</v>
      </c>
      <c r="G6283" s="3">
        <v>2.8899999999999999E-2</v>
      </c>
      <c r="H6283" s="3">
        <v>0.80349999999999999</v>
      </c>
      <c r="I6283" s="3">
        <v>0.13789999999999999</v>
      </c>
      <c r="J6283" s="3">
        <v>4.0000000000000002E-4</v>
      </c>
      <c r="K6283" s="3">
        <v>2.0000000000000001E-4</v>
      </c>
      <c r="L6283" s="3">
        <v>2.9000000000000001E-2</v>
      </c>
      <c r="M6283" s="3">
        <v>2.4199999999999999E-2</v>
      </c>
      <c r="N6283" s="3">
        <v>5.4300000000000001E-2</v>
      </c>
    </row>
    <row r="6284" spans="1:14">
      <c r="A6284" t="s">
        <v>199</v>
      </c>
      <c r="B6284" t="s">
        <v>219</v>
      </c>
      <c r="C6284">
        <v>451</v>
      </c>
      <c r="D6284" t="s">
        <v>194</v>
      </c>
      <c r="E6284">
        <v>2676</v>
      </c>
      <c r="F6284" s="3">
        <v>2.8999999999999998E-3</v>
      </c>
      <c r="G6284" s="3">
        <v>2.1000000000000001E-2</v>
      </c>
      <c r="H6284" s="3">
        <v>0.79979999999999996</v>
      </c>
      <c r="I6284" s="3">
        <v>0.1356</v>
      </c>
      <c r="J6284" s="3">
        <v>1E-3</v>
      </c>
      <c r="L6284" s="3">
        <v>1.61E-2</v>
      </c>
      <c r="M6284" s="3">
        <v>1.66E-2</v>
      </c>
      <c r="N6284" s="3">
        <v>5.4399999999999997E-2</v>
      </c>
    </row>
    <row r="6285" spans="1:14">
      <c r="A6285" t="s">
        <v>199</v>
      </c>
      <c r="B6285" t="s">
        <v>220</v>
      </c>
      <c r="C6285">
        <v>223</v>
      </c>
      <c r="D6285" t="s">
        <v>194</v>
      </c>
      <c r="E6285">
        <v>2676</v>
      </c>
      <c r="F6285" s="3">
        <v>1E-4</v>
      </c>
      <c r="G6285" s="3">
        <v>2.5499999999999998E-2</v>
      </c>
      <c r="H6285" s="3">
        <v>0.79369999999999996</v>
      </c>
      <c r="I6285" s="3">
        <v>0.1658</v>
      </c>
      <c r="K6285" s="3">
        <v>2.5999999999999999E-3</v>
      </c>
      <c r="L6285" s="3">
        <v>2.5999999999999999E-2</v>
      </c>
      <c r="M6285" s="3">
        <v>2.23E-2</v>
      </c>
      <c r="N6285" s="3">
        <v>2.6200000000000001E-2</v>
      </c>
    </row>
    <row r="6286" spans="1:14">
      <c r="A6286" t="s">
        <v>200</v>
      </c>
      <c r="B6286" t="s">
        <v>200</v>
      </c>
      <c r="C6286">
        <v>2676</v>
      </c>
      <c r="D6286" t="s">
        <v>200</v>
      </c>
      <c r="E6286">
        <v>2676</v>
      </c>
      <c r="F6286" s="3">
        <v>4.2200000000000001E-2</v>
      </c>
      <c r="G6286" s="3">
        <v>0.16950000000000001</v>
      </c>
      <c r="H6286" s="3">
        <v>0.46760000000000002</v>
      </c>
      <c r="I6286" s="3">
        <v>0.20780000000000001</v>
      </c>
      <c r="J6286" s="3">
        <v>8.6E-3</v>
      </c>
      <c r="K6286" s="3">
        <v>4.7999999999999996E-3</v>
      </c>
      <c r="L6286" s="3">
        <v>0.18060000000000001</v>
      </c>
      <c r="M6286" s="3">
        <v>0.17799999999999999</v>
      </c>
      <c r="N6286" s="3">
        <v>0.25340000000000001</v>
      </c>
    </row>
    <row r="6288" spans="1:14" ht="45">
      <c r="A6288" s="22" t="s">
        <v>1405</v>
      </c>
    </row>
    <row r="6289" spans="1:12">
      <c r="A6289" t="s">
        <v>185</v>
      </c>
      <c r="B6289" t="s">
        <v>186</v>
      </c>
      <c r="C6289" t="s">
        <v>192</v>
      </c>
      <c r="D6289" t="s">
        <v>184</v>
      </c>
      <c r="E6289" t="s">
        <v>193</v>
      </c>
      <c r="F6289" t="s">
        <v>1296</v>
      </c>
      <c r="G6289" t="s">
        <v>257</v>
      </c>
      <c r="H6289" t="s">
        <v>1297</v>
      </c>
      <c r="I6289" t="s">
        <v>1298</v>
      </c>
      <c r="J6289" t="s">
        <v>1299</v>
      </c>
      <c r="K6289" t="s">
        <v>1300</v>
      </c>
      <c r="L6289" t="s">
        <v>247</v>
      </c>
    </row>
    <row r="6290" spans="1:12">
      <c r="A6290" t="s">
        <v>195</v>
      </c>
      <c r="B6290" t="s">
        <v>196</v>
      </c>
      <c r="C6290">
        <v>244</v>
      </c>
      <c r="D6290" t="s">
        <v>194</v>
      </c>
      <c r="E6290">
        <v>886</v>
      </c>
      <c r="F6290" s="3">
        <v>0.53380000000000005</v>
      </c>
      <c r="G6290" s="3">
        <v>2.5999999999999999E-3</v>
      </c>
      <c r="H6290" s="3">
        <v>1.78E-2</v>
      </c>
      <c r="I6290" s="3">
        <v>0.22689999999999999</v>
      </c>
      <c r="J6290" s="3">
        <v>0.115</v>
      </c>
      <c r="K6290" s="3">
        <v>0.104</v>
      </c>
    </row>
    <row r="6291" spans="1:12">
      <c r="A6291" t="s">
        <v>195</v>
      </c>
      <c r="B6291" t="s">
        <v>198</v>
      </c>
      <c r="C6291">
        <v>432</v>
      </c>
      <c r="D6291" t="s">
        <v>194</v>
      </c>
      <c r="E6291">
        <v>886</v>
      </c>
      <c r="F6291" s="3">
        <v>0.41020000000000001</v>
      </c>
      <c r="G6291" s="3">
        <v>1.4999999999999999E-2</v>
      </c>
      <c r="H6291" s="3">
        <v>2.6499999999999999E-2</v>
      </c>
      <c r="I6291" s="3">
        <v>0.34189999999999998</v>
      </c>
      <c r="J6291" s="3">
        <v>9.2399999999999996E-2</v>
      </c>
      <c r="K6291" s="3">
        <v>0.114</v>
      </c>
    </row>
    <row r="6292" spans="1:12">
      <c r="A6292" t="s">
        <v>199</v>
      </c>
      <c r="B6292" t="s">
        <v>196</v>
      </c>
      <c r="C6292">
        <v>95</v>
      </c>
      <c r="D6292" t="s">
        <v>194</v>
      </c>
      <c r="E6292">
        <v>886</v>
      </c>
      <c r="F6292" s="3">
        <v>0.25409999999999999</v>
      </c>
      <c r="G6292" s="3">
        <v>1.2999999999999999E-2</v>
      </c>
      <c r="H6292" s="3">
        <v>6.8599999999999994E-2</v>
      </c>
      <c r="I6292" s="3">
        <v>0.24490000000000001</v>
      </c>
      <c r="J6292" s="3">
        <v>0.1139</v>
      </c>
      <c r="K6292" s="3">
        <v>0.28949999999999998</v>
      </c>
      <c r="L6292" s="3">
        <v>1.61E-2</v>
      </c>
    </row>
    <row r="6293" spans="1:12">
      <c r="A6293" t="s">
        <v>199</v>
      </c>
      <c r="B6293" t="s">
        <v>198</v>
      </c>
      <c r="C6293">
        <v>105</v>
      </c>
      <c r="D6293" t="s">
        <v>194</v>
      </c>
      <c r="E6293">
        <v>886</v>
      </c>
      <c r="F6293" s="3">
        <v>0.27829999999999999</v>
      </c>
      <c r="H6293" s="3">
        <v>3.78E-2</v>
      </c>
      <c r="I6293" s="3">
        <v>0.21729999999999999</v>
      </c>
      <c r="J6293" s="3">
        <v>0.23810000000000001</v>
      </c>
      <c r="K6293" s="3">
        <v>0.22839999999999999</v>
      </c>
    </row>
    <row r="6294" spans="1:12">
      <c r="A6294" t="s">
        <v>200</v>
      </c>
      <c r="B6294" t="s">
        <v>200</v>
      </c>
      <c r="C6294">
        <v>886</v>
      </c>
      <c r="D6294" t="s">
        <v>200</v>
      </c>
      <c r="E6294">
        <v>886</v>
      </c>
      <c r="F6294" s="3">
        <v>0.42430000000000001</v>
      </c>
      <c r="G6294" s="3">
        <v>1.0999999999999999E-2</v>
      </c>
      <c r="H6294" s="3">
        <v>2.7400000000000001E-2</v>
      </c>
      <c r="I6294" s="3">
        <v>0.30230000000000001</v>
      </c>
      <c r="J6294" s="3">
        <v>0.1087</v>
      </c>
      <c r="K6294" s="3">
        <v>0.12570000000000001</v>
      </c>
      <c r="L6294" s="3">
        <v>5.0000000000000001E-4</v>
      </c>
    </row>
    <row r="6296" spans="1:12" ht="45">
      <c r="A6296" s="22" t="s">
        <v>1406</v>
      </c>
    </row>
    <row r="6297" spans="1:12">
      <c r="A6297" t="s">
        <v>185</v>
      </c>
      <c r="B6297" t="s">
        <v>186</v>
      </c>
      <c r="C6297" t="s">
        <v>192</v>
      </c>
      <c r="D6297" t="s">
        <v>184</v>
      </c>
      <c r="E6297" t="s">
        <v>193</v>
      </c>
      <c r="F6297" t="s">
        <v>1296</v>
      </c>
      <c r="G6297" t="s">
        <v>257</v>
      </c>
      <c r="H6297" t="s">
        <v>1297</v>
      </c>
      <c r="I6297" t="s">
        <v>1298</v>
      </c>
      <c r="J6297" t="s">
        <v>1299</v>
      </c>
      <c r="K6297" t="s">
        <v>1300</v>
      </c>
      <c r="L6297" t="s">
        <v>247</v>
      </c>
    </row>
    <row r="6298" spans="1:12">
      <c r="A6298" t="s">
        <v>195</v>
      </c>
      <c r="B6298" t="s">
        <v>202</v>
      </c>
      <c r="C6298">
        <v>273</v>
      </c>
      <c r="D6298" t="s">
        <v>194</v>
      </c>
      <c r="E6298">
        <v>886</v>
      </c>
      <c r="F6298" s="3">
        <v>0.46279999999999999</v>
      </c>
      <c r="G6298" s="3">
        <v>1.3599999999999999E-2</v>
      </c>
      <c r="H6298" s="3">
        <v>3.7600000000000001E-2</v>
      </c>
      <c r="I6298" s="3">
        <v>0.28610000000000002</v>
      </c>
      <c r="J6298" s="3">
        <v>8.8499999999999995E-2</v>
      </c>
      <c r="K6298" s="3">
        <v>0.1113</v>
      </c>
    </row>
    <row r="6299" spans="1:12">
      <c r="A6299" t="s">
        <v>195</v>
      </c>
      <c r="B6299" t="s">
        <v>204</v>
      </c>
      <c r="C6299">
        <v>184</v>
      </c>
      <c r="D6299" t="s">
        <v>194</v>
      </c>
      <c r="E6299">
        <v>886</v>
      </c>
      <c r="F6299" s="3">
        <v>0.40410000000000001</v>
      </c>
      <c r="G6299" s="3">
        <v>8.8999999999999999E-3</v>
      </c>
      <c r="H6299" s="3">
        <v>2.5999999999999999E-3</v>
      </c>
      <c r="I6299" s="3">
        <v>0.3634</v>
      </c>
      <c r="J6299" s="3">
        <v>0.10150000000000001</v>
      </c>
      <c r="K6299" s="3">
        <v>0.1196</v>
      </c>
    </row>
    <row r="6300" spans="1:12">
      <c r="A6300" t="s">
        <v>195</v>
      </c>
      <c r="B6300" t="s">
        <v>205</v>
      </c>
      <c r="C6300">
        <v>219</v>
      </c>
      <c r="D6300" t="s">
        <v>194</v>
      </c>
      <c r="E6300">
        <v>886</v>
      </c>
      <c r="F6300" s="3">
        <v>0.41310000000000002</v>
      </c>
      <c r="G6300" s="3">
        <v>9.5999999999999992E-3</v>
      </c>
      <c r="H6300" s="3">
        <v>5.1000000000000004E-3</v>
      </c>
      <c r="I6300" s="3">
        <v>0.34050000000000002</v>
      </c>
      <c r="J6300" s="3">
        <v>0.1343</v>
      </c>
      <c r="K6300" s="3">
        <v>9.74E-2</v>
      </c>
    </row>
    <row r="6301" spans="1:12" s="25" customFormat="1">
      <c r="A6301" s="25" t="s">
        <v>199</v>
      </c>
      <c r="B6301" s="25" t="s">
        <v>202</v>
      </c>
      <c r="C6301" s="25">
        <v>22</v>
      </c>
      <c r="D6301" s="25" t="s">
        <v>194</v>
      </c>
      <c r="E6301" s="25">
        <v>886</v>
      </c>
      <c r="F6301" s="26">
        <v>0.50119999999999998</v>
      </c>
      <c r="G6301" s="26">
        <v>1.2800000000000001E-2</v>
      </c>
      <c r="H6301" s="26">
        <v>5.3900000000000003E-2</v>
      </c>
      <c r="I6301" s="26">
        <v>0.2681</v>
      </c>
      <c r="K6301" s="26">
        <v>0.1641</v>
      </c>
    </row>
    <row r="6302" spans="1:12">
      <c r="A6302" t="s">
        <v>199</v>
      </c>
      <c r="B6302" t="s">
        <v>204</v>
      </c>
      <c r="C6302">
        <v>52</v>
      </c>
      <c r="D6302" t="s">
        <v>194</v>
      </c>
      <c r="E6302">
        <v>886</v>
      </c>
      <c r="F6302" s="3">
        <v>8.9399999999999993E-2</v>
      </c>
      <c r="H6302" s="3">
        <v>5.3100000000000001E-2</v>
      </c>
      <c r="I6302" s="3">
        <v>0.22750000000000001</v>
      </c>
      <c r="J6302" s="3">
        <v>0.46379999999999999</v>
      </c>
      <c r="K6302" s="3">
        <v>0.16619999999999999</v>
      </c>
    </row>
    <row r="6303" spans="1:12">
      <c r="A6303" t="s">
        <v>199</v>
      </c>
      <c r="B6303" t="s">
        <v>205</v>
      </c>
      <c r="C6303">
        <v>126</v>
      </c>
      <c r="D6303" t="s">
        <v>194</v>
      </c>
      <c r="E6303">
        <v>886</v>
      </c>
      <c r="F6303" s="3">
        <v>0.1759</v>
      </c>
      <c r="H6303" s="3">
        <v>4.2799999999999998E-2</v>
      </c>
      <c r="I6303" s="3">
        <v>0.2021</v>
      </c>
      <c r="J6303" s="3">
        <v>0.25950000000000001</v>
      </c>
      <c r="K6303" s="3">
        <v>0.31080000000000002</v>
      </c>
      <c r="L6303" s="3">
        <v>8.8999999999999999E-3</v>
      </c>
    </row>
    <row r="6304" spans="1:12">
      <c r="A6304" t="s">
        <v>200</v>
      </c>
      <c r="B6304" t="s">
        <v>200</v>
      </c>
      <c r="C6304">
        <v>886</v>
      </c>
      <c r="D6304" t="s">
        <v>200</v>
      </c>
      <c r="E6304">
        <v>886</v>
      </c>
      <c r="F6304" s="3">
        <v>0.42430000000000001</v>
      </c>
      <c r="G6304" s="3">
        <v>1.0999999999999999E-2</v>
      </c>
      <c r="H6304" s="3">
        <v>2.7400000000000001E-2</v>
      </c>
      <c r="I6304" s="3">
        <v>0.30230000000000001</v>
      </c>
      <c r="J6304" s="3">
        <v>0.1087</v>
      </c>
      <c r="K6304" s="3">
        <v>0.12570000000000001</v>
      </c>
      <c r="L6304" s="3">
        <v>5.0000000000000001E-4</v>
      </c>
    </row>
    <row r="6306" spans="1:12" ht="45">
      <c r="A6306" s="22" t="s">
        <v>1407</v>
      </c>
    </row>
    <row r="6307" spans="1:12">
      <c r="A6307" t="s">
        <v>185</v>
      </c>
      <c r="B6307" t="s">
        <v>186</v>
      </c>
      <c r="C6307" t="s">
        <v>192</v>
      </c>
      <c r="D6307" t="s">
        <v>184</v>
      </c>
      <c r="E6307" t="s">
        <v>193</v>
      </c>
      <c r="F6307" t="s">
        <v>1296</v>
      </c>
      <c r="G6307" t="s">
        <v>257</v>
      </c>
      <c r="H6307" t="s">
        <v>1297</v>
      </c>
      <c r="I6307" t="s">
        <v>1298</v>
      </c>
      <c r="J6307" t="s">
        <v>1299</v>
      </c>
      <c r="K6307" t="s">
        <v>1300</v>
      </c>
      <c r="L6307" t="s">
        <v>247</v>
      </c>
    </row>
    <row r="6308" spans="1:12">
      <c r="A6308" t="s">
        <v>195</v>
      </c>
      <c r="B6308" t="s">
        <v>207</v>
      </c>
      <c r="C6308">
        <v>198</v>
      </c>
      <c r="D6308" t="s">
        <v>194</v>
      </c>
      <c r="E6308">
        <v>886</v>
      </c>
      <c r="F6308" s="3">
        <v>0.503</v>
      </c>
      <c r="G6308" s="3">
        <v>7.0000000000000001E-3</v>
      </c>
      <c r="H6308" s="3">
        <v>3.7999999999999999E-2</v>
      </c>
      <c r="I6308" s="3">
        <v>0.31419999999999998</v>
      </c>
      <c r="J6308" s="3">
        <v>4.1399999999999999E-2</v>
      </c>
      <c r="K6308" s="3">
        <v>9.6299999999999997E-2</v>
      </c>
    </row>
    <row r="6309" spans="1:12">
      <c r="A6309" t="s">
        <v>195</v>
      </c>
      <c r="B6309" t="s">
        <v>209</v>
      </c>
      <c r="C6309">
        <v>486</v>
      </c>
      <c r="D6309" t="s">
        <v>194</v>
      </c>
      <c r="E6309">
        <v>886</v>
      </c>
      <c r="F6309" s="3">
        <v>0.42180000000000001</v>
      </c>
      <c r="G6309" s="3">
        <v>1.35E-2</v>
      </c>
      <c r="H6309" s="3">
        <v>2.0500000000000001E-2</v>
      </c>
      <c r="I6309" s="3">
        <v>0.31080000000000002</v>
      </c>
      <c r="J6309" s="3">
        <v>0.1174</v>
      </c>
      <c r="K6309" s="3">
        <v>0.11609999999999999</v>
      </c>
    </row>
    <row r="6310" spans="1:12">
      <c r="A6310" t="s">
        <v>199</v>
      </c>
      <c r="B6310" t="s">
        <v>207</v>
      </c>
      <c r="C6310">
        <v>66</v>
      </c>
      <c r="D6310" t="s">
        <v>194</v>
      </c>
      <c r="E6310">
        <v>886</v>
      </c>
      <c r="F6310" s="3">
        <v>0.40679999999999999</v>
      </c>
      <c r="H6310" s="3">
        <v>1.21E-2</v>
      </c>
      <c r="I6310" s="3">
        <v>0.23910000000000001</v>
      </c>
      <c r="J6310" s="3">
        <v>0.1875</v>
      </c>
      <c r="K6310" s="3">
        <v>0.15440000000000001</v>
      </c>
    </row>
    <row r="6311" spans="1:12">
      <c r="A6311" t="s">
        <v>199</v>
      </c>
      <c r="B6311" t="s">
        <v>209</v>
      </c>
      <c r="C6311">
        <v>136</v>
      </c>
      <c r="D6311" t="s">
        <v>194</v>
      </c>
      <c r="E6311">
        <v>886</v>
      </c>
      <c r="F6311" s="3">
        <v>0.20200000000000001</v>
      </c>
      <c r="G6311" s="3">
        <v>6.1999999999999998E-3</v>
      </c>
      <c r="H6311" s="3">
        <v>6.5699999999999995E-2</v>
      </c>
      <c r="I6311" s="3">
        <v>0.21840000000000001</v>
      </c>
      <c r="J6311" s="3">
        <v>0.2046</v>
      </c>
      <c r="K6311" s="3">
        <v>0.2954</v>
      </c>
      <c r="L6311" s="3">
        <v>7.7000000000000002E-3</v>
      </c>
    </row>
    <row r="6312" spans="1:12">
      <c r="A6312" t="s">
        <v>200</v>
      </c>
      <c r="B6312" t="s">
        <v>200</v>
      </c>
      <c r="C6312">
        <v>886</v>
      </c>
      <c r="D6312" t="s">
        <v>200</v>
      </c>
      <c r="E6312">
        <v>886</v>
      </c>
      <c r="F6312" s="3">
        <v>0.42430000000000001</v>
      </c>
      <c r="G6312" s="3">
        <v>1.0999999999999999E-2</v>
      </c>
      <c r="H6312" s="3">
        <v>2.7400000000000001E-2</v>
      </c>
      <c r="I6312" s="3">
        <v>0.30230000000000001</v>
      </c>
      <c r="J6312" s="3">
        <v>0.1087</v>
      </c>
      <c r="K6312" s="3">
        <v>0.12570000000000001</v>
      </c>
      <c r="L6312" s="3">
        <v>5.0000000000000001E-4</v>
      </c>
    </row>
    <row r="6314" spans="1:12" ht="45">
      <c r="A6314" s="22" t="s">
        <v>1408</v>
      </c>
    </row>
    <row r="6315" spans="1:12">
      <c r="A6315" t="s">
        <v>185</v>
      </c>
      <c r="B6315" t="s">
        <v>192</v>
      </c>
      <c r="C6315" t="s">
        <v>184</v>
      </c>
      <c r="D6315" t="s">
        <v>193</v>
      </c>
      <c r="E6315" t="s">
        <v>1296</v>
      </c>
      <c r="F6315" t="s">
        <v>257</v>
      </c>
      <c r="G6315" t="s">
        <v>1297</v>
      </c>
      <c r="H6315" t="s">
        <v>1298</v>
      </c>
      <c r="I6315" t="s">
        <v>1299</v>
      </c>
      <c r="J6315" t="s">
        <v>1300</v>
      </c>
      <c r="K6315" t="s">
        <v>247</v>
      </c>
    </row>
    <row r="6316" spans="1:12">
      <c r="A6316" t="s">
        <v>195</v>
      </c>
      <c r="B6316">
        <v>684</v>
      </c>
      <c r="C6316" t="s">
        <v>194</v>
      </c>
      <c r="D6316">
        <v>886</v>
      </c>
      <c r="E6316" s="3">
        <v>0.44280000000000003</v>
      </c>
      <c r="F6316" s="3">
        <v>1.18E-2</v>
      </c>
      <c r="G6316" s="3">
        <v>2.5000000000000001E-2</v>
      </c>
      <c r="H6316" s="3">
        <v>0.31169999999999998</v>
      </c>
      <c r="I6316" s="3">
        <v>9.7799999999999998E-2</v>
      </c>
      <c r="J6316" s="3">
        <v>0.1109</v>
      </c>
    </row>
    <row r="6317" spans="1:12">
      <c r="A6317" t="s">
        <v>199</v>
      </c>
      <c r="B6317">
        <v>202</v>
      </c>
      <c r="C6317" t="s">
        <v>194</v>
      </c>
      <c r="D6317">
        <v>886</v>
      </c>
      <c r="E6317" s="3">
        <v>0.27210000000000001</v>
      </c>
      <c r="F6317" s="3">
        <v>4.1000000000000003E-3</v>
      </c>
      <c r="G6317" s="3">
        <v>4.7399999999999998E-2</v>
      </c>
      <c r="H6317" s="3">
        <v>0.22550000000000001</v>
      </c>
      <c r="I6317" s="3">
        <v>0.19869999999999999</v>
      </c>
      <c r="J6317" s="3">
        <v>0.24709999999999999</v>
      </c>
      <c r="K6317" s="3">
        <v>5.1000000000000004E-3</v>
      </c>
    </row>
    <row r="6318" spans="1:12">
      <c r="A6318" t="s">
        <v>200</v>
      </c>
      <c r="B6318">
        <v>886</v>
      </c>
      <c r="C6318" t="s">
        <v>200</v>
      </c>
      <c r="D6318">
        <v>886</v>
      </c>
      <c r="E6318" s="3">
        <v>0.42430000000000001</v>
      </c>
      <c r="F6318" s="3">
        <v>1.0999999999999999E-2</v>
      </c>
      <c r="G6318" s="3">
        <v>2.7400000000000001E-2</v>
      </c>
      <c r="H6318" s="3">
        <v>0.30230000000000001</v>
      </c>
      <c r="I6318" s="3">
        <v>0.1087</v>
      </c>
      <c r="J6318" s="3">
        <v>0.12570000000000001</v>
      </c>
      <c r="K6318" s="3">
        <v>5.0000000000000001E-4</v>
      </c>
    </row>
    <row r="6320" spans="1:12" ht="45">
      <c r="A6320" s="22" t="s">
        <v>1409</v>
      </c>
    </row>
    <row r="6321" spans="1:12">
      <c r="A6321" t="s">
        <v>185</v>
      </c>
      <c r="B6321" t="s">
        <v>186</v>
      </c>
      <c r="C6321" t="s">
        <v>192</v>
      </c>
      <c r="D6321" t="s">
        <v>184</v>
      </c>
      <c r="E6321" t="s">
        <v>193</v>
      </c>
      <c r="F6321" t="s">
        <v>1296</v>
      </c>
      <c r="G6321" t="s">
        <v>257</v>
      </c>
      <c r="H6321" t="s">
        <v>1297</v>
      </c>
      <c r="I6321" t="s">
        <v>1298</v>
      </c>
      <c r="J6321" t="s">
        <v>1299</v>
      </c>
      <c r="K6321" t="s">
        <v>1300</v>
      </c>
      <c r="L6321" t="s">
        <v>247</v>
      </c>
    </row>
    <row r="6322" spans="1:12">
      <c r="A6322" t="s">
        <v>195</v>
      </c>
      <c r="B6322" t="s">
        <v>212</v>
      </c>
      <c r="C6322">
        <v>516</v>
      </c>
      <c r="D6322" t="s">
        <v>194</v>
      </c>
      <c r="E6322">
        <v>886</v>
      </c>
      <c r="F6322" s="3">
        <v>0.43240000000000001</v>
      </c>
      <c r="G6322" s="3">
        <v>1.12E-2</v>
      </c>
      <c r="H6322" s="3">
        <v>1.5900000000000001E-2</v>
      </c>
      <c r="I6322" s="3">
        <v>0.3095</v>
      </c>
      <c r="J6322" s="3">
        <v>0.1042</v>
      </c>
      <c r="K6322" s="3">
        <v>0.12670000000000001</v>
      </c>
    </row>
    <row r="6323" spans="1:12">
      <c r="A6323" t="s">
        <v>195</v>
      </c>
      <c r="B6323" t="s">
        <v>214</v>
      </c>
      <c r="C6323">
        <v>91</v>
      </c>
      <c r="D6323" t="s">
        <v>194</v>
      </c>
      <c r="E6323">
        <v>886</v>
      </c>
      <c r="F6323" s="3">
        <v>0.54149999999999998</v>
      </c>
      <c r="G6323" s="3">
        <v>1.8200000000000001E-2</v>
      </c>
      <c r="H6323" s="3">
        <v>6.25E-2</v>
      </c>
      <c r="I6323" s="3">
        <v>0.28000000000000003</v>
      </c>
      <c r="J6323" s="3">
        <v>7.4899999999999994E-2</v>
      </c>
      <c r="K6323" s="3">
        <v>2.3E-2</v>
      </c>
    </row>
    <row r="6324" spans="1:12">
      <c r="A6324" t="s">
        <v>195</v>
      </c>
      <c r="B6324" t="s">
        <v>215</v>
      </c>
      <c r="C6324">
        <v>77</v>
      </c>
      <c r="D6324" t="s">
        <v>194</v>
      </c>
      <c r="E6324">
        <v>886</v>
      </c>
      <c r="F6324" s="3">
        <v>0.39190000000000003</v>
      </c>
      <c r="G6324" s="3">
        <v>7.6E-3</v>
      </c>
      <c r="H6324" s="3">
        <v>5.4300000000000001E-2</v>
      </c>
      <c r="I6324" s="3">
        <v>0.37969999999999998</v>
      </c>
      <c r="J6324" s="3">
        <v>7.1599999999999997E-2</v>
      </c>
      <c r="K6324" s="3">
        <v>9.4899999999999998E-2</v>
      </c>
    </row>
    <row r="6325" spans="1:12">
      <c r="A6325" t="s">
        <v>199</v>
      </c>
      <c r="B6325" t="s">
        <v>212</v>
      </c>
      <c r="C6325">
        <v>141</v>
      </c>
      <c r="D6325" t="s">
        <v>194</v>
      </c>
      <c r="E6325">
        <v>886</v>
      </c>
      <c r="F6325" s="3">
        <v>0.27129999999999999</v>
      </c>
      <c r="H6325" s="3">
        <v>3.6200000000000003E-2</v>
      </c>
      <c r="I6325" s="3">
        <v>0.20580000000000001</v>
      </c>
      <c r="J6325" s="3">
        <v>0.22040000000000001</v>
      </c>
      <c r="K6325" s="3">
        <v>0.25879999999999997</v>
      </c>
      <c r="L6325" s="3">
        <v>7.4999999999999997E-3</v>
      </c>
    </row>
    <row r="6326" spans="1:12">
      <c r="A6326" t="s">
        <v>199</v>
      </c>
      <c r="B6326" t="s">
        <v>214</v>
      </c>
      <c r="C6326">
        <v>32</v>
      </c>
      <c r="D6326" t="s">
        <v>194</v>
      </c>
      <c r="E6326">
        <v>886</v>
      </c>
      <c r="F6326" s="3">
        <v>0.11990000000000001</v>
      </c>
      <c r="H6326" s="3">
        <v>0.1169</v>
      </c>
      <c r="I6326" s="3">
        <v>0.1575</v>
      </c>
      <c r="J6326" s="3">
        <v>0.23760000000000001</v>
      </c>
      <c r="K6326" s="3">
        <v>0.36809999999999998</v>
      </c>
    </row>
    <row r="6327" spans="1:12" s="25" customFormat="1">
      <c r="A6327" s="25" t="s">
        <v>199</v>
      </c>
      <c r="B6327" s="25" t="s">
        <v>215</v>
      </c>
      <c r="C6327" s="25">
        <v>29</v>
      </c>
      <c r="D6327" s="25" t="s">
        <v>194</v>
      </c>
      <c r="E6327" s="25">
        <v>886</v>
      </c>
      <c r="F6327" s="26">
        <v>0.45829999999999999</v>
      </c>
      <c r="G6327" s="26">
        <v>2.7300000000000001E-2</v>
      </c>
      <c r="H6327" s="26">
        <v>1.4200000000000001E-2</v>
      </c>
      <c r="I6327" s="26">
        <v>0.39500000000000002</v>
      </c>
      <c r="J6327" s="26">
        <v>5.5199999999999999E-2</v>
      </c>
      <c r="K6327" s="26">
        <v>0.05</v>
      </c>
    </row>
    <row r="6328" spans="1:12">
      <c r="A6328" t="s">
        <v>200</v>
      </c>
      <c r="B6328" t="s">
        <v>200</v>
      </c>
      <c r="C6328">
        <v>886</v>
      </c>
      <c r="D6328" t="s">
        <v>200</v>
      </c>
      <c r="E6328">
        <v>886</v>
      </c>
      <c r="F6328" s="3">
        <v>0.42430000000000001</v>
      </c>
      <c r="G6328" s="3">
        <v>1.0999999999999999E-2</v>
      </c>
      <c r="H6328" s="3">
        <v>2.7400000000000001E-2</v>
      </c>
      <c r="I6328" s="3">
        <v>0.30230000000000001</v>
      </c>
      <c r="J6328" s="3">
        <v>0.1087</v>
      </c>
      <c r="K6328" s="3">
        <v>0.12570000000000001</v>
      </c>
      <c r="L6328" s="3">
        <v>5.0000000000000001E-4</v>
      </c>
    </row>
    <row r="6330" spans="1:12" ht="45">
      <c r="A6330" s="22" t="s">
        <v>1410</v>
      </c>
    </row>
    <row r="6331" spans="1:12">
      <c r="A6331" t="s">
        <v>185</v>
      </c>
      <c r="B6331" t="s">
        <v>186</v>
      </c>
      <c r="C6331" t="s">
        <v>192</v>
      </c>
      <c r="D6331" t="s">
        <v>184</v>
      </c>
      <c r="E6331" t="s">
        <v>193</v>
      </c>
      <c r="F6331" t="s">
        <v>1296</v>
      </c>
      <c r="G6331" t="s">
        <v>257</v>
      </c>
      <c r="H6331" t="s">
        <v>1297</v>
      </c>
      <c r="I6331" t="s">
        <v>1298</v>
      </c>
      <c r="J6331" t="s">
        <v>1299</v>
      </c>
      <c r="K6331" t="s">
        <v>1300</v>
      </c>
      <c r="L6331" t="s">
        <v>247</v>
      </c>
    </row>
    <row r="6332" spans="1:12">
      <c r="A6332" t="s">
        <v>195</v>
      </c>
      <c r="B6332" t="s">
        <v>217</v>
      </c>
      <c r="C6332">
        <v>289</v>
      </c>
      <c r="D6332" t="s">
        <v>194</v>
      </c>
      <c r="E6332">
        <v>886</v>
      </c>
      <c r="F6332" s="3">
        <v>0.4536</v>
      </c>
      <c r="G6332" s="3">
        <v>7.9000000000000008E-3</v>
      </c>
      <c r="H6332" s="3">
        <v>1.7600000000000001E-2</v>
      </c>
      <c r="I6332" s="3">
        <v>0.2863</v>
      </c>
      <c r="J6332" s="3">
        <v>9.4200000000000006E-2</v>
      </c>
      <c r="K6332" s="3">
        <v>0.14050000000000001</v>
      </c>
    </row>
    <row r="6333" spans="1:12">
      <c r="A6333" t="s">
        <v>195</v>
      </c>
      <c r="B6333" t="s">
        <v>219</v>
      </c>
      <c r="C6333">
        <v>290</v>
      </c>
      <c r="D6333" t="s">
        <v>194</v>
      </c>
      <c r="E6333">
        <v>886</v>
      </c>
      <c r="F6333" s="3">
        <v>0.38800000000000001</v>
      </c>
      <c r="G6333" s="3">
        <v>1.6799999999999999E-2</v>
      </c>
      <c r="H6333" s="3">
        <v>2.2499999999999999E-2</v>
      </c>
      <c r="I6333" s="3">
        <v>0.37119999999999997</v>
      </c>
      <c r="J6333" s="3">
        <v>0.1084</v>
      </c>
      <c r="K6333" s="3">
        <v>9.3299999999999994E-2</v>
      </c>
    </row>
    <row r="6334" spans="1:12">
      <c r="A6334" t="s">
        <v>195</v>
      </c>
      <c r="B6334" t="s">
        <v>220</v>
      </c>
      <c r="C6334">
        <v>104</v>
      </c>
      <c r="D6334" t="s">
        <v>194</v>
      </c>
      <c r="E6334">
        <v>886</v>
      </c>
      <c r="F6334" s="3">
        <v>0.52790000000000004</v>
      </c>
      <c r="G6334" s="3">
        <v>1.09E-2</v>
      </c>
      <c r="H6334" s="3">
        <v>4.7E-2</v>
      </c>
      <c r="I6334" s="3">
        <v>0.25030000000000002</v>
      </c>
      <c r="J6334" s="3">
        <v>8.48E-2</v>
      </c>
      <c r="K6334" s="3">
        <v>7.9100000000000004E-2</v>
      </c>
    </row>
    <row r="6335" spans="1:12">
      <c r="A6335" t="s">
        <v>199</v>
      </c>
      <c r="B6335" t="s">
        <v>217</v>
      </c>
      <c r="C6335">
        <v>91</v>
      </c>
      <c r="D6335" t="s">
        <v>194</v>
      </c>
      <c r="E6335">
        <v>886</v>
      </c>
      <c r="F6335" s="3">
        <v>0.32750000000000001</v>
      </c>
      <c r="G6335" s="3">
        <v>6.7000000000000002E-3</v>
      </c>
      <c r="H6335" s="3">
        <v>2.24E-2</v>
      </c>
      <c r="I6335" s="3">
        <v>0.19500000000000001</v>
      </c>
      <c r="J6335" s="3">
        <v>0.19040000000000001</v>
      </c>
      <c r="K6335" s="3">
        <v>0.2581</v>
      </c>
    </row>
    <row r="6336" spans="1:12">
      <c r="A6336" t="s">
        <v>199</v>
      </c>
      <c r="B6336" t="s">
        <v>219</v>
      </c>
      <c r="C6336">
        <v>75</v>
      </c>
      <c r="D6336" t="s">
        <v>194</v>
      </c>
      <c r="E6336">
        <v>886</v>
      </c>
      <c r="F6336" s="3">
        <v>9.4500000000000001E-2</v>
      </c>
      <c r="H6336" s="3">
        <v>8.48E-2</v>
      </c>
      <c r="I6336" s="3">
        <v>0.33069999999999999</v>
      </c>
      <c r="J6336" s="3">
        <v>0.25679999999999997</v>
      </c>
      <c r="K6336" s="3">
        <v>0.21510000000000001</v>
      </c>
      <c r="L6336" s="3">
        <v>1.8200000000000001E-2</v>
      </c>
    </row>
    <row r="6337" spans="1:22">
      <c r="A6337" t="s">
        <v>199</v>
      </c>
      <c r="B6337" t="s">
        <v>220</v>
      </c>
      <c r="C6337">
        <v>36</v>
      </c>
      <c r="D6337" t="s">
        <v>194</v>
      </c>
      <c r="E6337">
        <v>886</v>
      </c>
      <c r="F6337" s="3">
        <v>0.41610000000000003</v>
      </c>
      <c r="H6337" s="3">
        <v>9.2100000000000001E-2</v>
      </c>
      <c r="I6337" s="3">
        <v>0.1275</v>
      </c>
      <c r="J6337" s="3">
        <v>9.69E-2</v>
      </c>
      <c r="K6337" s="3">
        <v>0.26740000000000003</v>
      </c>
    </row>
    <row r="6338" spans="1:22">
      <c r="A6338" t="s">
        <v>200</v>
      </c>
      <c r="B6338" t="s">
        <v>200</v>
      </c>
      <c r="C6338">
        <v>886</v>
      </c>
      <c r="D6338" t="s">
        <v>200</v>
      </c>
      <c r="E6338">
        <v>886</v>
      </c>
      <c r="F6338" s="3">
        <v>0.42430000000000001</v>
      </c>
      <c r="G6338" s="3">
        <v>1.0999999999999999E-2</v>
      </c>
      <c r="H6338" s="3">
        <v>2.7400000000000001E-2</v>
      </c>
      <c r="I6338" s="3">
        <v>0.30230000000000001</v>
      </c>
      <c r="J6338" s="3">
        <v>0.1087</v>
      </c>
      <c r="K6338" s="3">
        <v>0.12570000000000001</v>
      </c>
      <c r="L6338" s="3">
        <v>5.0000000000000001E-4</v>
      </c>
    </row>
    <row r="6340" spans="1:22" ht="30">
      <c r="A6340" s="22" t="s">
        <v>1411</v>
      </c>
    </row>
    <row r="6341" spans="1:22">
      <c r="A6341" t="s">
        <v>185</v>
      </c>
      <c r="B6341" t="s">
        <v>186</v>
      </c>
      <c r="C6341" t="s">
        <v>192</v>
      </c>
      <c r="D6341" t="s">
        <v>184</v>
      </c>
      <c r="E6341" t="s">
        <v>193</v>
      </c>
      <c r="F6341" t="s">
        <v>1412</v>
      </c>
      <c r="G6341" t="s">
        <v>257</v>
      </c>
      <c r="H6341" t="s">
        <v>1413</v>
      </c>
      <c r="I6341" t="s">
        <v>1414</v>
      </c>
      <c r="J6341" t="s">
        <v>1415</v>
      </c>
      <c r="K6341" t="s">
        <v>1416</v>
      </c>
      <c r="L6341" t="s">
        <v>1417</v>
      </c>
      <c r="M6341" t="s">
        <v>1418</v>
      </c>
      <c r="N6341" t="s">
        <v>1419</v>
      </c>
      <c r="O6341" t="s">
        <v>1420</v>
      </c>
      <c r="P6341" t="s">
        <v>1421</v>
      </c>
      <c r="Q6341" t="s">
        <v>1422</v>
      </c>
      <c r="R6341" t="s">
        <v>1423</v>
      </c>
      <c r="S6341" t="s">
        <v>1424</v>
      </c>
      <c r="T6341" t="s">
        <v>1425</v>
      </c>
      <c r="U6341" t="s">
        <v>1426</v>
      </c>
      <c r="V6341" t="s">
        <v>1427</v>
      </c>
    </row>
    <row r="6342" spans="1:22">
      <c r="A6342" t="s">
        <v>195</v>
      </c>
      <c r="B6342" t="s">
        <v>196</v>
      </c>
      <c r="C6342">
        <v>413</v>
      </c>
      <c r="D6342" t="s">
        <v>194</v>
      </c>
      <c r="E6342">
        <v>2677</v>
      </c>
      <c r="F6342" s="3">
        <v>0.2341</v>
      </c>
      <c r="G6342" s="3">
        <v>1.11E-2</v>
      </c>
      <c r="H6342" s="3">
        <v>6.8999999999999999E-3</v>
      </c>
      <c r="J6342" s="3">
        <v>5.8999999999999999E-3</v>
      </c>
      <c r="K6342" s="3">
        <v>0.36209999999999998</v>
      </c>
      <c r="L6342" s="3">
        <v>8.0999999999999996E-3</v>
      </c>
      <c r="M6342" s="3">
        <v>8.6E-3</v>
      </c>
      <c r="Q6342" s="3">
        <v>0.20069999999999999</v>
      </c>
      <c r="R6342" s="3">
        <v>7.4000000000000003E-3</v>
      </c>
      <c r="S6342" s="3">
        <v>2.8000000000000001E-2</v>
      </c>
      <c r="T6342" s="3">
        <v>7.1999999999999998E-3</v>
      </c>
      <c r="U6342" s="3">
        <v>4.7800000000000002E-2</v>
      </c>
      <c r="V6342" s="3">
        <v>7.1999999999999995E-2</v>
      </c>
    </row>
    <row r="6343" spans="1:22">
      <c r="A6343" t="s">
        <v>195</v>
      </c>
      <c r="B6343" t="s">
        <v>198</v>
      </c>
      <c r="C6343">
        <v>755</v>
      </c>
      <c r="D6343" t="s">
        <v>194</v>
      </c>
      <c r="E6343">
        <v>2677</v>
      </c>
      <c r="F6343" s="3">
        <v>0.2762</v>
      </c>
      <c r="I6343" s="3">
        <v>1.6999999999999999E-3</v>
      </c>
      <c r="J6343" s="3">
        <v>3.3999999999999998E-3</v>
      </c>
      <c r="K6343" s="3">
        <v>3.9899999999999998E-2</v>
      </c>
      <c r="L6343" s="3">
        <v>3.9699999999999999E-2</v>
      </c>
      <c r="M6343" s="3">
        <v>4.3E-3</v>
      </c>
      <c r="P6343" s="3">
        <v>2.9999999999999997E-4</v>
      </c>
      <c r="Q6343" s="3">
        <v>0.30649999999999999</v>
      </c>
      <c r="R6343" s="3">
        <v>1.1299999999999999E-2</v>
      </c>
      <c r="S6343" s="3">
        <v>8.6999999999999994E-3</v>
      </c>
      <c r="U6343" s="3">
        <v>2.0400000000000001E-2</v>
      </c>
      <c r="V6343" s="3">
        <v>0.28770000000000001</v>
      </c>
    </row>
    <row r="6344" spans="1:22">
      <c r="A6344" t="s">
        <v>199</v>
      </c>
      <c r="B6344" t="s">
        <v>196</v>
      </c>
      <c r="C6344">
        <v>525</v>
      </c>
      <c r="D6344" t="s">
        <v>194</v>
      </c>
      <c r="E6344">
        <v>2677</v>
      </c>
      <c r="F6344" s="3">
        <v>0.15970000000000001</v>
      </c>
      <c r="H6344" s="3">
        <v>5.9999999999999995E-4</v>
      </c>
      <c r="I6344" s="3">
        <v>5.3E-3</v>
      </c>
      <c r="J6344" s="3">
        <v>7.3000000000000001E-3</v>
      </c>
      <c r="K6344" s="3">
        <v>0.43769999999999998</v>
      </c>
      <c r="L6344" s="3">
        <v>1.54E-2</v>
      </c>
      <c r="M6344" s="3">
        <v>2.3E-3</v>
      </c>
      <c r="N6344" s="3">
        <v>1E-3</v>
      </c>
      <c r="O6344" s="3">
        <v>1E-4</v>
      </c>
      <c r="P6344" s="3">
        <v>1E-4</v>
      </c>
      <c r="Q6344" s="3">
        <v>0.20599999999999999</v>
      </c>
      <c r="R6344" s="3">
        <v>3.9199999999999999E-2</v>
      </c>
      <c r="S6344" s="3">
        <v>3.1600000000000003E-2</v>
      </c>
      <c r="T6344" s="3">
        <v>1.1000000000000001E-3</v>
      </c>
      <c r="U6344" s="3">
        <v>3.3099999999999997E-2</v>
      </c>
      <c r="V6344" s="3">
        <v>5.9700000000000003E-2</v>
      </c>
    </row>
    <row r="6345" spans="1:22">
      <c r="A6345" t="s">
        <v>199</v>
      </c>
      <c r="B6345" t="s">
        <v>198</v>
      </c>
      <c r="C6345">
        <v>945</v>
      </c>
      <c r="D6345" t="s">
        <v>194</v>
      </c>
      <c r="E6345">
        <v>2677</v>
      </c>
      <c r="F6345" s="3">
        <v>0.25040000000000001</v>
      </c>
      <c r="I6345" s="3">
        <v>2.9999999999999997E-4</v>
      </c>
      <c r="J6345" s="3">
        <v>3.5000000000000001E-3</v>
      </c>
      <c r="K6345" s="3">
        <v>7.5200000000000003E-2</v>
      </c>
      <c r="L6345" s="3">
        <v>2.8199999999999999E-2</v>
      </c>
      <c r="M6345" s="3">
        <v>6.1999999999999998E-3</v>
      </c>
      <c r="Q6345" s="3">
        <v>0.34570000000000001</v>
      </c>
      <c r="R6345" s="3">
        <v>2.53E-2</v>
      </c>
      <c r="S6345" s="3">
        <v>2.3199999999999998E-2</v>
      </c>
      <c r="U6345" s="3">
        <v>2.0999999999999999E-3</v>
      </c>
      <c r="V6345" s="3">
        <v>0.23980000000000001</v>
      </c>
    </row>
    <row r="6346" spans="1:22">
      <c r="A6346" t="s">
        <v>200</v>
      </c>
      <c r="B6346" t="s">
        <v>200</v>
      </c>
      <c r="C6346">
        <v>2677</v>
      </c>
      <c r="D6346" t="s">
        <v>200</v>
      </c>
      <c r="E6346">
        <v>2677</v>
      </c>
      <c r="F6346" s="3">
        <v>0.24790000000000001</v>
      </c>
      <c r="G6346" s="3">
        <v>1.2999999999999999E-3</v>
      </c>
      <c r="H6346" s="3">
        <v>8.9999999999999998E-4</v>
      </c>
      <c r="I6346" s="3">
        <v>1.1999999999999999E-3</v>
      </c>
      <c r="J6346" s="3">
        <v>4.1000000000000003E-3</v>
      </c>
      <c r="K6346" s="3">
        <v>0.1353</v>
      </c>
      <c r="L6346" s="3">
        <v>2.81E-2</v>
      </c>
      <c r="M6346" s="3">
        <v>5.4999999999999997E-3</v>
      </c>
      <c r="N6346" s="3">
        <v>1E-4</v>
      </c>
      <c r="O6346" s="3">
        <v>0</v>
      </c>
      <c r="P6346" s="3">
        <v>1E-4</v>
      </c>
      <c r="Q6346" s="3">
        <v>0.3014</v>
      </c>
      <c r="R6346" s="3">
        <v>0.02</v>
      </c>
      <c r="S6346" s="3">
        <v>1.9900000000000001E-2</v>
      </c>
      <c r="T6346" s="3">
        <v>1E-3</v>
      </c>
      <c r="U6346" s="3">
        <v>1.6899999999999998E-2</v>
      </c>
      <c r="V6346" s="3">
        <v>0.21640000000000001</v>
      </c>
    </row>
    <row r="6348" spans="1:22" ht="45">
      <c r="A6348" s="22" t="s">
        <v>1428</v>
      </c>
    </row>
    <row r="6349" spans="1:22">
      <c r="A6349" t="s">
        <v>185</v>
      </c>
      <c r="B6349" t="s">
        <v>186</v>
      </c>
      <c r="C6349" t="s">
        <v>192</v>
      </c>
      <c r="D6349" t="s">
        <v>184</v>
      </c>
      <c r="E6349" t="s">
        <v>193</v>
      </c>
      <c r="F6349" t="s">
        <v>1412</v>
      </c>
      <c r="G6349" t="s">
        <v>257</v>
      </c>
      <c r="H6349" t="s">
        <v>1413</v>
      </c>
      <c r="I6349" t="s">
        <v>1414</v>
      </c>
      <c r="J6349" t="s">
        <v>1415</v>
      </c>
      <c r="K6349" t="s">
        <v>1416</v>
      </c>
      <c r="L6349" t="s">
        <v>1417</v>
      </c>
      <c r="M6349" t="s">
        <v>1418</v>
      </c>
      <c r="N6349" t="s">
        <v>1419</v>
      </c>
      <c r="O6349" t="s">
        <v>1420</v>
      </c>
      <c r="P6349" t="s">
        <v>1421</v>
      </c>
      <c r="Q6349" t="s">
        <v>1422</v>
      </c>
      <c r="R6349" t="s">
        <v>1423</v>
      </c>
      <c r="S6349" t="s">
        <v>1424</v>
      </c>
      <c r="T6349" t="s">
        <v>1425</v>
      </c>
      <c r="U6349" t="s">
        <v>1426</v>
      </c>
      <c r="V6349" t="s">
        <v>1427</v>
      </c>
    </row>
    <row r="6350" spans="1:22">
      <c r="A6350" t="s">
        <v>195</v>
      </c>
      <c r="B6350" t="s">
        <v>202</v>
      </c>
      <c r="C6350">
        <v>533</v>
      </c>
      <c r="D6350" t="s">
        <v>194</v>
      </c>
      <c r="E6350">
        <v>2677</v>
      </c>
      <c r="F6350" s="3">
        <v>0.26850000000000002</v>
      </c>
      <c r="G6350" s="3">
        <v>4.5999999999999999E-3</v>
      </c>
      <c r="H6350" s="3">
        <v>8.0000000000000004E-4</v>
      </c>
      <c r="I6350" s="3">
        <v>5.9999999999999995E-4</v>
      </c>
      <c r="J6350" s="3">
        <v>4.8999999999999998E-3</v>
      </c>
      <c r="K6350" s="3">
        <v>0.1431</v>
      </c>
      <c r="L6350" s="3">
        <v>2.3400000000000001E-2</v>
      </c>
      <c r="M6350" s="3">
        <v>4.1999999999999997E-3</v>
      </c>
      <c r="Q6350" s="3">
        <v>0.29749999999999999</v>
      </c>
      <c r="R6350" s="3">
        <v>1.5599999999999999E-2</v>
      </c>
      <c r="S6350" s="3">
        <v>4.7999999999999996E-3</v>
      </c>
      <c r="T6350" s="3">
        <v>2.5999999999999999E-3</v>
      </c>
      <c r="U6350" s="3">
        <v>3.4799999999999998E-2</v>
      </c>
      <c r="V6350" s="3">
        <v>0.19470000000000001</v>
      </c>
    </row>
    <row r="6351" spans="1:22">
      <c r="A6351" t="s">
        <v>195</v>
      </c>
      <c r="B6351" t="s">
        <v>204</v>
      </c>
      <c r="C6351">
        <v>301</v>
      </c>
      <c r="D6351" t="s">
        <v>194</v>
      </c>
      <c r="E6351">
        <v>2677</v>
      </c>
      <c r="F6351" s="3">
        <v>0.23080000000000001</v>
      </c>
      <c r="H6351" s="3">
        <v>6.3E-3</v>
      </c>
      <c r="J6351" s="3">
        <v>3.3999999999999998E-3</v>
      </c>
      <c r="K6351" s="3">
        <v>9.8400000000000001E-2</v>
      </c>
      <c r="L6351" s="3">
        <v>7.0800000000000002E-2</v>
      </c>
      <c r="M6351" s="3">
        <v>7.0000000000000001E-3</v>
      </c>
      <c r="P6351" s="3">
        <v>1.1000000000000001E-3</v>
      </c>
      <c r="Q6351" s="3">
        <v>0.254</v>
      </c>
      <c r="R6351" s="3">
        <v>5.9999999999999995E-4</v>
      </c>
      <c r="S6351" s="3">
        <v>3.6299999999999999E-2</v>
      </c>
      <c r="T6351" s="3">
        <v>1.1000000000000001E-3</v>
      </c>
      <c r="U6351" s="3">
        <v>1.04E-2</v>
      </c>
      <c r="V6351" s="3">
        <v>0.27979999999999999</v>
      </c>
    </row>
    <row r="6352" spans="1:22">
      <c r="A6352" t="s">
        <v>195</v>
      </c>
      <c r="B6352" t="s">
        <v>205</v>
      </c>
      <c r="C6352">
        <v>334</v>
      </c>
      <c r="D6352" t="s">
        <v>194</v>
      </c>
      <c r="E6352">
        <v>2677</v>
      </c>
      <c r="F6352" s="3">
        <v>0.3019</v>
      </c>
      <c r="I6352" s="3">
        <v>5.8999999999999999E-3</v>
      </c>
      <c r="J6352" s="3">
        <v>1.2999999999999999E-3</v>
      </c>
      <c r="K6352" s="3">
        <v>8.8300000000000003E-2</v>
      </c>
      <c r="L6352" s="3">
        <v>6.0000000000000001E-3</v>
      </c>
      <c r="M6352" s="3">
        <v>8.6999999999999994E-3</v>
      </c>
      <c r="Q6352" s="3">
        <v>0.2243</v>
      </c>
      <c r="S6352" s="3">
        <v>2.2100000000000002E-2</v>
      </c>
      <c r="U6352" s="3">
        <v>2.1399999999999999E-2</v>
      </c>
      <c r="V6352" s="3">
        <v>0.3201</v>
      </c>
    </row>
    <row r="6353" spans="1:22">
      <c r="A6353" t="s">
        <v>199</v>
      </c>
      <c r="B6353" t="s">
        <v>202</v>
      </c>
      <c r="C6353">
        <v>538</v>
      </c>
      <c r="D6353" t="s">
        <v>194</v>
      </c>
      <c r="E6353">
        <v>2677</v>
      </c>
      <c r="F6353" s="3">
        <v>0.24379999999999999</v>
      </c>
      <c r="I6353" s="3">
        <v>1.6000000000000001E-3</v>
      </c>
      <c r="J6353" s="3">
        <v>1.8E-3</v>
      </c>
      <c r="K6353" s="3">
        <v>0.1623</v>
      </c>
      <c r="L6353" s="3">
        <v>3.4599999999999999E-2</v>
      </c>
      <c r="M6353" s="3">
        <v>2.7000000000000001E-3</v>
      </c>
      <c r="Q6353" s="3">
        <v>0.31509999999999999</v>
      </c>
      <c r="R6353" s="3">
        <v>3.4200000000000001E-2</v>
      </c>
      <c r="S6353" s="3">
        <v>1.34E-2</v>
      </c>
      <c r="U6353" s="3">
        <v>9.4999999999999998E-3</v>
      </c>
      <c r="V6353" s="3">
        <v>0.18099999999999999</v>
      </c>
    </row>
    <row r="6354" spans="1:22">
      <c r="A6354" t="s">
        <v>199</v>
      </c>
      <c r="B6354" t="s">
        <v>204</v>
      </c>
      <c r="C6354">
        <v>426</v>
      </c>
      <c r="D6354" t="s">
        <v>194</v>
      </c>
      <c r="E6354">
        <v>2677</v>
      </c>
      <c r="F6354" s="3">
        <v>0.1792</v>
      </c>
      <c r="I6354" s="3">
        <v>8.9999999999999998E-4</v>
      </c>
      <c r="J6354" s="3">
        <v>4.4999999999999997E-3</v>
      </c>
      <c r="K6354" s="3">
        <v>0.1681</v>
      </c>
      <c r="L6354" s="3">
        <v>1.7399999999999999E-2</v>
      </c>
      <c r="M6354" s="3">
        <v>1.49E-2</v>
      </c>
      <c r="N6354" s="3">
        <v>8.9999999999999998E-4</v>
      </c>
      <c r="Q6354" s="3">
        <v>0.37319999999999998</v>
      </c>
      <c r="R6354" s="3">
        <v>5.9999999999999995E-4</v>
      </c>
      <c r="S6354" s="3">
        <v>6.0100000000000001E-2</v>
      </c>
      <c r="T6354" s="3">
        <v>1.1000000000000001E-3</v>
      </c>
      <c r="U6354" s="3">
        <v>5.1999999999999998E-3</v>
      </c>
      <c r="V6354" s="3">
        <v>0.17399999999999999</v>
      </c>
    </row>
    <row r="6355" spans="1:22">
      <c r="A6355" t="s">
        <v>199</v>
      </c>
      <c r="B6355" t="s">
        <v>205</v>
      </c>
      <c r="C6355">
        <v>506</v>
      </c>
      <c r="D6355" t="s">
        <v>194</v>
      </c>
      <c r="E6355">
        <v>2677</v>
      </c>
      <c r="F6355" s="3">
        <v>0.25750000000000001</v>
      </c>
      <c r="H6355" s="3">
        <v>5.9999999999999995E-4</v>
      </c>
      <c r="J6355" s="3">
        <v>1.32E-2</v>
      </c>
      <c r="K6355" s="3">
        <v>3.8100000000000002E-2</v>
      </c>
      <c r="L6355" s="3">
        <v>2.3E-3</v>
      </c>
      <c r="M6355" s="3">
        <v>5.4000000000000003E-3</v>
      </c>
      <c r="O6355" s="3">
        <v>1E-4</v>
      </c>
      <c r="P6355" s="3">
        <v>1E-4</v>
      </c>
      <c r="Q6355" s="3">
        <v>0.27610000000000001</v>
      </c>
      <c r="R6355" s="3">
        <v>3.5200000000000002E-2</v>
      </c>
      <c r="S6355" s="3">
        <v>2.7099999999999999E-2</v>
      </c>
      <c r="U6355" s="3">
        <v>4.7999999999999996E-3</v>
      </c>
      <c r="V6355" s="3">
        <v>0.33950000000000002</v>
      </c>
    </row>
    <row r="6356" spans="1:22">
      <c r="A6356" t="s">
        <v>200</v>
      </c>
      <c r="B6356" t="s">
        <v>200</v>
      </c>
      <c r="C6356">
        <v>2677</v>
      </c>
      <c r="D6356" t="s">
        <v>200</v>
      </c>
      <c r="E6356">
        <v>2677</v>
      </c>
      <c r="F6356" s="3">
        <v>0.24790000000000001</v>
      </c>
      <c r="G6356" s="3">
        <v>1.2999999999999999E-3</v>
      </c>
      <c r="H6356" s="3">
        <v>8.9999999999999998E-4</v>
      </c>
      <c r="I6356" s="3">
        <v>1.1999999999999999E-3</v>
      </c>
      <c r="J6356" s="3">
        <v>4.1000000000000003E-3</v>
      </c>
      <c r="K6356" s="3">
        <v>0.1353</v>
      </c>
      <c r="L6356" s="3">
        <v>2.81E-2</v>
      </c>
      <c r="M6356" s="3">
        <v>5.4999999999999997E-3</v>
      </c>
      <c r="N6356" s="3">
        <v>1E-4</v>
      </c>
      <c r="O6356" s="3">
        <v>0</v>
      </c>
      <c r="P6356" s="3">
        <v>1E-4</v>
      </c>
      <c r="Q6356" s="3">
        <v>0.3014</v>
      </c>
      <c r="R6356" s="3">
        <v>0.02</v>
      </c>
      <c r="S6356" s="3">
        <v>1.9900000000000001E-2</v>
      </c>
      <c r="T6356" s="3">
        <v>1E-3</v>
      </c>
      <c r="U6356" s="3">
        <v>1.6899999999999998E-2</v>
      </c>
      <c r="V6356" s="3">
        <v>0.21640000000000001</v>
      </c>
    </row>
    <row r="6358" spans="1:22" ht="45">
      <c r="A6358" s="22" t="s">
        <v>1429</v>
      </c>
    </row>
    <row r="6359" spans="1:22">
      <c r="A6359" t="s">
        <v>185</v>
      </c>
      <c r="B6359" t="s">
        <v>186</v>
      </c>
      <c r="C6359" t="s">
        <v>192</v>
      </c>
      <c r="D6359" t="s">
        <v>184</v>
      </c>
      <c r="E6359" t="s">
        <v>193</v>
      </c>
      <c r="F6359" t="s">
        <v>1412</v>
      </c>
      <c r="G6359" t="s">
        <v>257</v>
      </c>
      <c r="H6359" t="s">
        <v>1413</v>
      </c>
      <c r="I6359" t="s">
        <v>1414</v>
      </c>
      <c r="J6359" t="s">
        <v>1415</v>
      </c>
      <c r="K6359" t="s">
        <v>1416</v>
      </c>
      <c r="L6359" t="s">
        <v>1417</v>
      </c>
      <c r="M6359" t="s">
        <v>1418</v>
      </c>
      <c r="N6359" t="s">
        <v>1419</v>
      </c>
      <c r="O6359" t="s">
        <v>1420</v>
      </c>
      <c r="P6359" t="s">
        <v>1421</v>
      </c>
      <c r="Q6359" t="s">
        <v>1422</v>
      </c>
      <c r="R6359" t="s">
        <v>1423</v>
      </c>
      <c r="S6359" t="s">
        <v>1424</v>
      </c>
      <c r="T6359" t="s">
        <v>1425</v>
      </c>
      <c r="U6359" t="s">
        <v>1426</v>
      </c>
      <c r="V6359" t="s">
        <v>1427</v>
      </c>
    </row>
    <row r="6360" spans="1:22">
      <c r="A6360" t="s">
        <v>195</v>
      </c>
      <c r="B6360" t="s">
        <v>207</v>
      </c>
      <c r="C6360">
        <v>322</v>
      </c>
      <c r="D6360" t="s">
        <v>194</v>
      </c>
      <c r="E6360">
        <v>2677</v>
      </c>
      <c r="F6360" s="3">
        <v>0.2752</v>
      </c>
      <c r="H6360" s="3">
        <v>1.4E-3</v>
      </c>
      <c r="K6360" s="3">
        <v>0.14460000000000001</v>
      </c>
      <c r="L6360" s="3">
        <v>2.87E-2</v>
      </c>
      <c r="M6360" s="3">
        <v>8.0000000000000004E-4</v>
      </c>
      <c r="Q6360" s="3">
        <v>0.38800000000000001</v>
      </c>
      <c r="S6360" s="3">
        <v>1.3299999999999999E-2</v>
      </c>
      <c r="U6360" s="3">
        <v>3.8800000000000001E-2</v>
      </c>
      <c r="V6360" s="3">
        <v>0.10920000000000001</v>
      </c>
    </row>
    <row r="6361" spans="1:22">
      <c r="A6361" t="s">
        <v>195</v>
      </c>
      <c r="B6361" t="s">
        <v>209</v>
      </c>
      <c r="C6361">
        <v>867</v>
      </c>
      <c r="D6361" t="s">
        <v>194</v>
      </c>
      <c r="E6361">
        <v>2677</v>
      </c>
      <c r="F6361" s="3">
        <v>0.26229999999999998</v>
      </c>
      <c r="G6361" s="3">
        <v>4.0000000000000001E-3</v>
      </c>
      <c r="H6361" s="3">
        <v>2E-3</v>
      </c>
      <c r="I6361" s="3">
        <v>1.6000000000000001E-3</v>
      </c>
      <c r="J6361" s="3">
        <v>5.4000000000000003E-3</v>
      </c>
      <c r="K6361" s="3">
        <v>0.12</v>
      </c>
      <c r="L6361" s="3">
        <v>3.1899999999999998E-2</v>
      </c>
      <c r="M6361" s="3">
        <v>7.0000000000000001E-3</v>
      </c>
      <c r="P6361" s="3">
        <v>2.9999999999999997E-4</v>
      </c>
      <c r="Q6361" s="3">
        <v>0.24010000000000001</v>
      </c>
      <c r="R6361" s="3">
        <v>1.37E-2</v>
      </c>
      <c r="S6361" s="3">
        <v>1.4E-2</v>
      </c>
      <c r="T6361" s="3">
        <v>2.5999999999999999E-3</v>
      </c>
      <c r="U6361" s="3">
        <v>2.46E-2</v>
      </c>
      <c r="V6361" s="3">
        <v>0.27039999999999997</v>
      </c>
    </row>
    <row r="6362" spans="1:22">
      <c r="A6362" t="s">
        <v>199</v>
      </c>
      <c r="B6362" t="s">
        <v>207</v>
      </c>
      <c r="C6362">
        <v>283</v>
      </c>
      <c r="D6362" t="s">
        <v>194</v>
      </c>
      <c r="E6362">
        <v>2677</v>
      </c>
      <c r="F6362" s="3">
        <v>0.23680000000000001</v>
      </c>
      <c r="I6362" s="3">
        <v>2.3E-3</v>
      </c>
      <c r="J6362" s="3">
        <v>4.7000000000000002E-3</v>
      </c>
      <c r="K6362" s="3">
        <v>0.1709</v>
      </c>
      <c r="L6362" s="3">
        <v>5.0799999999999998E-2</v>
      </c>
      <c r="M6362" s="3">
        <v>4.1000000000000003E-3</v>
      </c>
      <c r="Q6362" s="3">
        <v>0.3604</v>
      </c>
      <c r="R6362" s="3">
        <v>5.9499999999999997E-2</v>
      </c>
      <c r="S6362" s="3">
        <v>2.3099999999999999E-2</v>
      </c>
      <c r="U6362" s="3">
        <v>2.5999999999999999E-3</v>
      </c>
      <c r="V6362" s="3">
        <v>8.48E-2</v>
      </c>
    </row>
    <row r="6363" spans="1:22">
      <c r="A6363" t="s">
        <v>199</v>
      </c>
      <c r="B6363" t="s">
        <v>209</v>
      </c>
      <c r="C6363">
        <v>1205</v>
      </c>
      <c r="D6363" t="s">
        <v>194</v>
      </c>
      <c r="E6363">
        <v>2677</v>
      </c>
      <c r="F6363" s="3">
        <v>0.23319999999999999</v>
      </c>
      <c r="H6363" s="3">
        <v>1E-4</v>
      </c>
      <c r="I6363" s="3">
        <v>1.1000000000000001E-3</v>
      </c>
      <c r="J6363" s="3">
        <v>4.1999999999999997E-3</v>
      </c>
      <c r="K6363" s="3">
        <v>0.13850000000000001</v>
      </c>
      <c r="L6363" s="3">
        <v>2.23E-2</v>
      </c>
      <c r="M6363" s="3">
        <v>5.7000000000000002E-3</v>
      </c>
      <c r="N6363" s="3">
        <v>2.0000000000000001E-4</v>
      </c>
      <c r="O6363" s="3">
        <v>0</v>
      </c>
      <c r="P6363" s="3">
        <v>0</v>
      </c>
      <c r="Q6363" s="3">
        <v>0.31440000000000001</v>
      </c>
      <c r="R6363" s="3">
        <v>2.3400000000000001E-2</v>
      </c>
      <c r="S6363" s="3">
        <v>2.5000000000000001E-2</v>
      </c>
      <c r="T6363" s="3">
        <v>2.0000000000000001E-4</v>
      </c>
      <c r="U6363" s="3">
        <v>8.6E-3</v>
      </c>
      <c r="V6363" s="3">
        <v>0.22309999999999999</v>
      </c>
    </row>
    <row r="6364" spans="1:22">
      <c r="A6364" t="s">
        <v>200</v>
      </c>
      <c r="B6364" t="s">
        <v>200</v>
      </c>
      <c r="C6364">
        <v>2677</v>
      </c>
      <c r="D6364" t="s">
        <v>200</v>
      </c>
      <c r="E6364">
        <v>2677</v>
      </c>
      <c r="F6364" s="3">
        <v>0.24790000000000001</v>
      </c>
      <c r="G6364" s="3">
        <v>1.2999999999999999E-3</v>
      </c>
      <c r="H6364" s="3">
        <v>8.9999999999999998E-4</v>
      </c>
      <c r="I6364" s="3">
        <v>1.1999999999999999E-3</v>
      </c>
      <c r="J6364" s="3">
        <v>4.1000000000000003E-3</v>
      </c>
      <c r="K6364" s="3">
        <v>0.1353</v>
      </c>
      <c r="L6364" s="3">
        <v>2.81E-2</v>
      </c>
      <c r="M6364" s="3">
        <v>5.4999999999999997E-3</v>
      </c>
      <c r="N6364" s="3">
        <v>1E-4</v>
      </c>
      <c r="O6364" s="3">
        <v>0</v>
      </c>
      <c r="P6364" s="3">
        <v>1E-4</v>
      </c>
      <c r="Q6364" s="3">
        <v>0.3014</v>
      </c>
      <c r="R6364" s="3">
        <v>0.02</v>
      </c>
      <c r="S6364" s="3">
        <v>1.9900000000000001E-2</v>
      </c>
      <c r="T6364" s="3">
        <v>1E-3</v>
      </c>
      <c r="U6364" s="3">
        <v>1.6899999999999998E-2</v>
      </c>
      <c r="V6364" s="3">
        <v>0.21640000000000001</v>
      </c>
    </row>
    <row r="6366" spans="1:22" ht="45">
      <c r="A6366" s="22" t="s">
        <v>1430</v>
      </c>
    </row>
    <row r="6367" spans="1:22">
      <c r="A6367" t="s">
        <v>185</v>
      </c>
      <c r="B6367" t="s">
        <v>192</v>
      </c>
      <c r="C6367" t="s">
        <v>184</v>
      </c>
      <c r="D6367" t="s">
        <v>193</v>
      </c>
      <c r="E6367" t="s">
        <v>1412</v>
      </c>
      <c r="F6367" t="s">
        <v>257</v>
      </c>
      <c r="G6367" t="s">
        <v>1413</v>
      </c>
      <c r="H6367" t="s">
        <v>1414</v>
      </c>
      <c r="I6367" t="s">
        <v>1415</v>
      </c>
      <c r="J6367" t="s">
        <v>1416</v>
      </c>
      <c r="K6367" t="s">
        <v>1417</v>
      </c>
      <c r="L6367" t="s">
        <v>1418</v>
      </c>
      <c r="M6367" t="s">
        <v>1419</v>
      </c>
      <c r="N6367" t="s">
        <v>1420</v>
      </c>
      <c r="O6367" t="s">
        <v>1421</v>
      </c>
      <c r="P6367" t="s">
        <v>1422</v>
      </c>
      <c r="Q6367" t="s">
        <v>1423</v>
      </c>
      <c r="R6367" t="s">
        <v>1424</v>
      </c>
      <c r="S6367" t="s">
        <v>1425</v>
      </c>
      <c r="T6367" t="s">
        <v>1426</v>
      </c>
      <c r="U6367" t="s">
        <v>1427</v>
      </c>
    </row>
    <row r="6368" spans="1:22">
      <c r="A6368" t="s">
        <v>195</v>
      </c>
      <c r="B6368">
        <v>1189</v>
      </c>
      <c r="C6368" t="s">
        <v>194</v>
      </c>
      <c r="D6368">
        <v>2677</v>
      </c>
      <c r="E6368" s="3">
        <v>0.2656</v>
      </c>
      <c r="F6368" s="3">
        <v>3.0000000000000001E-3</v>
      </c>
      <c r="G6368" s="3">
        <v>1.8E-3</v>
      </c>
      <c r="H6368" s="3">
        <v>1.1999999999999999E-3</v>
      </c>
      <c r="I6368" s="3">
        <v>4.0000000000000001E-3</v>
      </c>
      <c r="J6368" s="3">
        <v>0.1263</v>
      </c>
      <c r="K6368" s="3">
        <v>3.1099999999999999E-2</v>
      </c>
      <c r="L6368" s="3">
        <v>5.4000000000000003E-3</v>
      </c>
      <c r="O6368" s="3">
        <v>2.0000000000000001E-4</v>
      </c>
      <c r="P6368" s="3">
        <v>0.27810000000000001</v>
      </c>
      <c r="Q6368" s="3">
        <v>1.0200000000000001E-2</v>
      </c>
      <c r="R6368" s="3">
        <v>1.38E-2</v>
      </c>
      <c r="S6368" s="3">
        <v>1.9E-3</v>
      </c>
      <c r="T6368" s="3">
        <v>2.8299999999999999E-2</v>
      </c>
      <c r="U6368" s="3">
        <v>0.22900000000000001</v>
      </c>
    </row>
    <row r="6369" spans="1:22">
      <c r="A6369" t="s">
        <v>199</v>
      </c>
      <c r="B6369">
        <v>1488</v>
      </c>
      <c r="C6369" t="s">
        <v>194</v>
      </c>
      <c r="D6369">
        <v>2677</v>
      </c>
      <c r="E6369" s="3">
        <v>0.23369999999999999</v>
      </c>
      <c r="G6369" s="3">
        <v>1E-4</v>
      </c>
      <c r="H6369" s="3">
        <v>1.1999999999999999E-3</v>
      </c>
      <c r="I6369" s="3">
        <v>4.1999999999999997E-3</v>
      </c>
      <c r="J6369" s="3">
        <v>0.1424</v>
      </c>
      <c r="K6369" s="3">
        <v>2.58E-2</v>
      </c>
      <c r="L6369" s="3">
        <v>5.4999999999999997E-3</v>
      </c>
      <c r="M6369" s="3">
        <v>2.0000000000000001E-4</v>
      </c>
      <c r="N6369" s="3">
        <v>0</v>
      </c>
      <c r="O6369" s="3">
        <v>0</v>
      </c>
      <c r="P6369" s="3">
        <v>0.32</v>
      </c>
      <c r="Q6369" s="3">
        <v>2.7799999999999998E-2</v>
      </c>
      <c r="R6369" s="3">
        <v>2.47E-2</v>
      </c>
      <c r="S6369" s="3">
        <v>2.0000000000000001E-4</v>
      </c>
      <c r="T6369" s="3">
        <v>7.9000000000000008E-3</v>
      </c>
      <c r="U6369" s="3">
        <v>0.20630000000000001</v>
      </c>
    </row>
    <row r="6370" spans="1:22">
      <c r="A6370" t="s">
        <v>200</v>
      </c>
      <c r="B6370">
        <v>2677</v>
      </c>
      <c r="C6370" t="s">
        <v>200</v>
      </c>
      <c r="D6370">
        <v>2677</v>
      </c>
      <c r="E6370" s="3">
        <v>0.24790000000000001</v>
      </c>
      <c r="F6370" s="3">
        <v>1.2999999999999999E-3</v>
      </c>
      <c r="G6370" s="3">
        <v>8.9999999999999998E-4</v>
      </c>
      <c r="H6370" s="3">
        <v>1.1999999999999999E-3</v>
      </c>
      <c r="I6370" s="3">
        <v>4.1000000000000003E-3</v>
      </c>
      <c r="J6370" s="3">
        <v>0.1353</v>
      </c>
      <c r="K6370" s="3">
        <v>2.81E-2</v>
      </c>
      <c r="L6370" s="3">
        <v>5.4999999999999997E-3</v>
      </c>
      <c r="M6370" s="3">
        <v>1E-4</v>
      </c>
      <c r="N6370" s="3">
        <v>0</v>
      </c>
      <c r="O6370" s="3">
        <v>1E-4</v>
      </c>
      <c r="P6370" s="3">
        <v>0.3014</v>
      </c>
      <c r="Q6370" s="3">
        <v>0.02</v>
      </c>
      <c r="R6370" s="3">
        <v>1.9900000000000001E-2</v>
      </c>
      <c r="S6370" s="3">
        <v>1E-3</v>
      </c>
      <c r="T6370" s="3">
        <v>1.6899999999999998E-2</v>
      </c>
      <c r="U6370" s="3">
        <v>0.21640000000000001</v>
      </c>
    </row>
    <row r="6372" spans="1:22" ht="30">
      <c r="A6372" s="22" t="s">
        <v>1431</v>
      </c>
    </row>
    <row r="6373" spans="1:22">
      <c r="A6373" t="s">
        <v>185</v>
      </c>
      <c r="B6373" t="s">
        <v>186</v>
      </c>
      <c r="C6373" t="s">
        <v>192</v>
      </c>
      <c r="D6373" t="s">
        <v>184</v>
      </c>
      <c r="E6373" t="s">
        <v>193</v>
      </c>
      <c r="F6373" t="s">
        <v>1412</v>
      </c>
      <c r="G6373" t="s">
        <v>257</v>
      </c>
      <c r="H6373" t="s">
        <v>1413</v>
      </c>
      <c r="I6373" t="s">
        <v>1414</v>
      </c>
      <c r="J6373" t="s">
        <v>1415</v>
      </c>
      <c r="K6373" t="s">
        <v>1416</v>
      </c>
      <c r="L6373" t="s">
        <v>1417</v>
      </c>
      <c r="M6373" t="s">
        <v>1418</v>
      </c>
      <c r="N6373" t="s">
        <v>1419</v>
      </c>
      <c r="O6373" t="s">
        <v>1420</v>
      </c>
      <c r="P6373" t="s">
        <v>1421</v>
      </c>
      <c r="Q6373" t="s">
        <v>1422</v>
      </c>
      <c r="R6373" t="s">
        <v>1423</v>
      </c>
      <c r="S6373" t="s">
        <v>1424</v>
      </c>
      <c r="T6373" t="s">
        <v>1425</v>
      </c>
      <c r="U6373" t="s">
        <v>1426</v>
      </c>
      <c r="V6373" t="s">
        <v>1427</v>
      </c>
    </row>
    <row r="6374" spans="1:22">
      <c r="A6374" t="s">
        <v>195</v>
      </c>
      <c r="B6374" t="s">
        <v>212</v>
      </c>
      <c r="C6374">
        <v>873</v>
      </c>
      <c r="D6374" t="s">
        <v>194</v>
      </c>
      <c r="E6374">
        <v>2677</v>
      </c>
      <c r="F6374" s="3">
        <v>0.26479999999999998</v>
      </c>
      <c r="G6374" s="3">
        <v>3.8999999999999998E-3</v>
      </c>
      <c r="H6374" s="3">
        <v>2E-3</v>
      </c>
      <c r="I6374" s="3">
        <v>1.1000000000000001E-3</v>
      </c>
      <c r="J6374" s="3">
        <v>2.7000000000000001E-3</v>
      </c>
      <c r="K6374" s="3">
        <v>0.12889999999999999</v>
      </c>
      <c r="L6374" s="3">
        <v>3.5299999999999998E-2</v>
      </c>
      <c r="M6374" s="3">
        <v>4.1000000000000003E-3</v>
      </c>
      <c r="P6374" s="3">
        <v>2.9999999999999997E-4</v>
      </c>
      <c r="Q6374" s="3">
        <v>0.2742</v>
      </c>
      <c r="R6374" s="3">
        <v>8.2000000000000007E-3</v>
      </c>
      <c r="S6374" s="3">
        <v>1.3599999999999999E-2</v>
      </c>
      <c r="U6374" s="3">
        <v>2.3900000000000001E-2</v>
      </c>
      <c r="V6374" s="3">
        <v>0.23710000000000001</v>
      </c>
    </row>
    <row r="6375" spans="1:22">
      <c r="A6375" t="s">
        <v>195</v>
      </c>
      <c r="B6375" t="s">
        <v>214</v>
      </c>
      <c r="C6375">
        <v>181</v>
      </c>
      <c r="D6375" t="s">
        <v>194</v>
      </c>
      <c r="E6375">
        <v>2677</v>
      </c>
      <c r="F6375" s="3">
        <v>0.23599999999999999</v>
      </c>
      <c r="J6375" s="3">
        <v>2.7000000000000001E-3</v>
      </c>
      <c r="K6375" s="3">
        <v>0.112</v>
      </c>
      <c r="L6375" s="3">
        <v>1.15E-2</v>
      </c>
      <c r="M6375" s="3">
        <v>1.0200000000000001E-2</v>
      </c>
      <c r="Q6375" s="3">
        <v>0.34399999999999997</v>
      </c>
      <c r="R6375" s="3">
        <v>2.46E-2</v>
      </c>
      <c r="S6375" s="3">
        <v>1.26E-2</v>
      </c>
      <c r="U6375" s="3">
        <v>3.1300000000000001E-2</v>
      </c>
      <c r="V6375" s="3">
        <v>0.21510000000000001</v>
      </c>
    </row>
    <row r="6376" spans="1:22">
      <c r="A6376" t="s">
        <v>195</v>
      </c>
      <c r="B6376" t="s">
        <v>215</v>
      </c>
      <c r="C6376">
        <v>135</v>
      </c>
      <c r="D6376" t="s">
        <v>194</v>
      </c>
      <c r="E6376">
        <v>2677</v>
      </c>
      <c r="F6376" s="3">
        <v>0.33110000000000001</v>
      </c>
      <c r="H6376" s="3">
        <v>4.3E-3</v>
      </c>
      <c r="I6376" s="3">
        <v>4.8999999999999998E-3</v>
      </c>
      <c r="J6376" s="3">
        <v>1.8800000000000001E-2</v>
      </c>
      <c r="K6376" s="3">
        <v>0.13170000000000001</v>
      </c>
      <c r="L6376" s="3">
        <v>3.2099999999999997E-2</v>
      </c>
      <c r="M6376" s="3">
        <v>8.0999999999999996E-3</v>
      </c>
      <c r="Q6376" s="3">
        <v>0.1835</v>
      </c>
      <c r="S6376" s="3">
        <v>1.8200000000000001E-2</v>
      </c>
      <c r="T6376" s="3">
        <v>2.2700000000000001E-2</v>
      </c>
      <c r="U6376" s="3">
        <v>6.13E-2</v>
      </c>
      <c r="V6376" s="3">
        <v>0.18329999999999999</v>
      </c>
    </row>
    <row r="6377" spans="1:22">
      <c r="A6377" t="s">
        <v>199</v>
      </c>
      <c r="B6377" t="s">
        <v>212</v>
      </c>
      <c r="C6377">
        <v>1118</v>
      </c>
      <c r="D6377" t="s">
        <v>194</v>
      </c>
      <c r="E6377">
        <v>2677</v>
      </c>
      <c r="F6377" s="3">
        <v>0.2419</v>
      </c>
      <c r="I6377" s="3">
        <v>2.9999999999999997E-4</v>
      </c>
      <c r="J6377" s="3">
        <v>4.8999999999999998E-3</v>
      </c>
      <c r="K6377" s="3">
        <v>0.1358</v>
      </c>
      <c r="L6377" s="3">
        <v>2.52E-2</v>
      </c>
      <c r="M6377" s="3">
        <v>5.7999999999999996E-3</v>
      </c>
      <c r="O6377" s="3">
        <v>0</v>
      </c>
      <c r="P6377" s="3">
        <v>0</v>
      </c>
      <c r="Q6377" s="3">
        <v>0.29599999999999999</v>
      </c>
      <c r="R6377" s="3">
        <v>2.5000000000000001E-2</v>
      </c>
      <c r="S6377" s="3">
        <v>2.8000000000000001E-2</v>
      </c>
      <c r="T6377" s="3">
        <v>2.9999999999999997E-4</v>
      </c>
      <c r="U6377" s="3">
        <v>4.7000000000000002E-3</v>
      </c>
      <c r="V6377" s="3">
        <v>0.23200000000000001</v>
      </c>
    </row>
    <row r="6378" spans="1:22">
      <c r="A6378" t="s">
        <v>199</v>
      </c>
      <c r="B6378" t="s">
        <v>214</v>
      </c>
      <c r="C6378">
        <v>197</v>
      </c>
      <c r="D6378" t="s">
        <v>194</v>
      </c>
      <c r="E6378">
        <v>2677</v>
      </c>
      <c r="F6378" s="3">
        <v>0.22839999999999999</v>
      </c>
      <c r="I6378" s="3">
        <v>6.4999999999999997E-3</v>
      </c>
      <c r="J6378" s="3">
        <v>1.5E-3</v>
      </c>
      <c r="K6378" s="3">
        <v>5.91E-2</v>
      </c>
      <c r="L6378" s="3">
        <v>3.5099999999999999E-2</v>
      </c>
      <c r="M6378" s="3">
        <v>3.3999999999999998E-3</v>
      </c>
      <c r="N6378" s="3">
        <v>1.1999999999999999E-3</v>
      </c>
      <c r="Q6378" s="3">
        <v>0.45519999999999999</v>
      </c>
      <c r="R6378" s="3">
        <v>3.6200000000000003E-2</v>
      </c>
      <c r="S6378" s="3">
        <v>0.02</v>
      </c>
      <c r="U6378" s="3">
        <v>6.7000000000000002E-3</v>
      </c>
      <c r="V6378" s="3">
        <v>0.14680000000000001</v>
      </c>
    </row>
    <row r="6379" spans="1:22">
      <c r="A6379" t="s">
        <v>199</v>
      </c>
      <c r="B6379" t="s">
        <v>215</v>
      </c>
      <c r="C6379">
        <v>173</v>
      </c>
      <c r="D6379" t="s">
        <v>194</v>
      </c>
      <c r="E6379">
        <v>2677</v>
      </c>
      <c r="F6379" s="3">
        <v>0.1681</v>
      </c>
      <c r="H6379" s="3">
        <v>1.2999999999999999E-3</v>
      </c>
      <c r="J6379" s="3">
        <v>3.3E-3</v>
      </c>
      <c r="K6379" s="3">
        <v>0.35299999999999998</v>
      </c>
      <c r="L6379" s="3">
        <v>1.4E-2</v>
      </c>
      <c r="M6379" s="3">
        <v>6.4999999999999997E-3</v>
      </c>
      <c r="Q6379" s="3">
        <v>0.29389999999999999</v>
      </c>
      <c r="R6379" s="3">
        <v>3.8699999999999998E-2</v>
      </c>
      <c r="S6379" s="3">
        <v>3.2000000000000002E-3</v>
      </c>
      <c r="U6379" s="3">
        <v>3.8899999999999997E-2</v>
      </c>
      <c r="V6379" s="3">
        <v>7.9100000000000004E-2</v>
      </c>
    </row>
    <row r="6380" spans="1:22">
      <c r="A6380" t="s">
        <v>200</v>
      </c>
      <c r="B6380" t="s">
        <v>200</v>
      </c>
      <c r="C6380">
        <v>2677</v>
      </c>
      <c r="D6380" t="s">
        <v>200</v>
      </c>
      <c r="E6380">
        <v>2677</v>
      </c>
      <c r="F6380" s="3">
        <v>0.24790000000000001</v>
      </c>
      <c r="G6380" s="3">
        <v>1.2999999999999999E-3</v>
      </c>
      <c r="H6380" s="3">
        <v>8.9999999999999998E-4</v>
      </c>
      <c r="I6380" s="3">
        <v>1.1999999999999999E-3</v>
      </c>
      <c r="J6380" s="3">
        <v>4.1000000000000003E-3</v>
      </c>
      <c r="K6380" s="3">
        <v>0.1353</v>
      </c>
      <c r="L6380" s="3">
        <v>2.81E-2</v>
      </c>
      <c r="M6380" s="3">
        <v>5.4999999999999997E-3</v>
      </c>
      <c r="N6380" s="3">
        <v>1E-4</v>
      </c>
      <c r="O6380" s="3">
        <v>0</v>
      </c>
      <c r="P6380" s="3">
        <v>1E-4</v>
      </c>
      <c r="Q6380" s="3">
        <v>0.3014</v>
      </c>
      <c r="R6380" s="3">
        <v>0.02</v>
      </c>
      <c r="S6380" s="3">
        <v>1.9900000000000001E-2</v>
      </c>
      <c r="T6380" s="3">
        <v>1E-3</v>
      </c>
      <c r="U6380" s="3">
        <v>1.6899999999999998E-2</v>
      </c>
      <c r="V6380" s="3">
        <v>0.21640000000000001</v>
      </c>
    </row>
    <row r="6382" spans="1:22" ht="45">
      <c r="A6382" s="22" t="s">
        <v>1432</v>
      </c>
    </row>
    <row r="6383" spans="1:22">
      <c r="A6383" t="s">
        <v>185</v>
      </c>
      <c r="B6383" t="s">
        <v>186</v>
      </c>
      <c r="C6383" t="s">
        <v>192</v>
      </c>
      <c r="D6383" t="s">
        <v>184</v>
      </c>
      <c r="E6383" t="s">
        <v>193</v>
      </c>
      <c r="F6383" t="s">
        <v>1412</v>
      </c>
      <c r="G6383" t="s">
        <v>257</v>
      </c>
      <c r="H6383" t="s">
        <v>1413</v>
      </c>
      <c r="I6383" t="s">
        <v>1414</v>
      </c>
      <c r="J6383" t="s">
        <v>1415</v>
      </c>
      <c r="K6383" t="s">
        <v>1416</v>
      </c>
      <c r="L6383" t="s">
        <v>1417</v>
      </c>
      <c r="M6383" t="s">
        <v>1418</v>
      </c>
      <c r="N6383" t="s">
        <v>1419</v>
      </c>
      <c r="O6383" t="s">
        <v>1420</v>
      </c>
      <c r="P6383" t="s">
        <v>1421</v>
      </c>
      <c r="Q6383" t="s">
        <v>1422</v>
      </c>
      <c r="R6383" t="s">
        <v>1423</v>
      </c>
      <c r="S6383" t="s">
        <v>1424</v>
      </c>
      <c r="T6383" t="s">
        <v>1425</v>
      </c>
      <c r="U6383" t="s">
        <v>1426</v>
      </c>
      <c r="V6383" t="s">
        <v>1427</v>
      </c>
    </row>
    <row r="6384" spans="1:22">
      <c r="A6384" t="s">
        <v>195</v>
      </c>
      <c r="B6384" t="s">
        <v>217</v>
      </c>
      <c r="C6384">
        <v>499</v>
      </c>
      <c r="D6384" t="s">
        <v>194</v>
      </c>
      <c r="E6384">
        <v>2677</v>
      </c>
      <c r="F6384" s="3">
        <v>0.2757</v>
      </c>
      <c r="G6384" s="3">
        <v>7.0000000000000001E-3</v>
      </c>
      <c r="H6384" s="3">
        <v>3.8E-3</v>
      </c>
      <c r="I6384" s="3">
        <v>2.8999999999999998E-3</v>
      </c>
      <c r="J6384" s="3">
        <v>3.7000000000000002E-3</v>
      </c>
      <c r="K6384" s="3">
        <v>0.1242</v>
      </c>
      <c r="L6384" s="3">
        <v>2.35E-2</v>
      </c>
      <c r="M6384" s="3">
        <v>6.4000000000000003E-3</v>
      </c>
      <c r="Q6384" s="3">
        <v>0.26440000000000002</v>
      </c>
      <c r="R6384" s="3">
        <v>1.1599999999999999E-2</v>
      </c>
      <c r="S6384" s="3">
        <v>1.03E-2</v>
      </c>
      <c r="T6384" s="3">
        <v>3.8999999999999998E-3</v>
      </c>
      <c r="U6384" s="3">
        <v>3.0200000000000001E-2</v>
      </c>
      <c r="V6384" s="3">
        <v>0.2324</v>
      </c>
    </row>
    <row r="6385" spans="1:22">
      <c r="A6385" t="s">
        <v>195</v>
      </c>
      <c r="B6385" t="s">
        <v>219</v>
      </c>
      <c r="C6385">
        <v>507</v>
      </c>
      <c r="D6385" t="s">
        <v>194</v>
      </c>
      <c r="E6385">
        <v>2677</v>
      </c>
      <c r="F6385" s="3">
        <v>0.29320000000000002</v>
      </c>
      <c r="H6385" s="3">
        <v>5.9999999999999995E-4</v>
      </c>
      <c r="J6385" s="3">
        <v>2.3E-3</v>
      </c>
      <c r="K6385" s="3">
        <v>0.1124</v>
      </c>
      <c r="L6385" s="3">
        <v>3.0200000000000001E-2</v>
      </c>
      <c r="M6385" s="3">
        <v>3.3999999999999998E-3</v>
      </c>
      <c r="P6385" s="3">
        <v>5.9999999999999995E-4</v>
      </c>
      <c r="Q6385" s="3">
        <v>0.28860000000000002</v>
      </c>
      <c r="R6385" s="3">
        <v>1.3599999999999999E-2</v>
      </c>
      <c r="S6385" s="3">
        <v>1.3599999999999999E-2</v>
      </c>
      <c r="T6385" s="3">
        <v>5.9999999999999995E-4</v>
      </c>
      <c r="U6385" s="3">
        <v>2.2200000000000001E-2</v>
      </c>
      <c r="V6385" s="3">
        <v>0.21870000000000001</v>
      </c>
    </row>
    <row r="6386" spans="1:22">
      <c r="A6386" t="s">
        <v>195</v>
      </c>
      <c r="B6386" t="s">
        <v>220</v>
      </c>
      <c r="C6386">
        <v>182</v>
      </c>
      <c r="D6386" t="s">
        <v>194</v>
      </c>
      <c r="E6386">
        <v>2677</v>
      </c>
      <c r="F6386" s="3">
        <v>0.18579999999999999</v>
      </c>
      <c r="J6386" s="3">
        <v>8.3000000000000001E-3</v>
      </c>
      <c r="K6386" s="3">
        <v>0.16</v>
      </c>
      <c r="L6386" s="3">
        <v>0.05</v>
      </c>
      <c r="M6386" s="3">
        <v>7.3000000000000001E-3</v>
      </c>
      <c r="Q6386" s="3">
        <v>0.28720000000000001</v>
      </c>
      <c r="S6386" s="3">
        <v>2.2200000000000001E-2</v>
      </c>
      <c r="U6386" s="3">
        <v>3.6499999999999998E-2</v>
      </c>
      <c r="V6386" s="3">
        <v>0.24249999999999999</v>
      </c>
    </row>
    <row r="6387" spans="1:22">
      <c r="A6387" t="s">
        <v>199</v>
      </c>
      <c r="B6387" t="s">
        <v>217</v>
      </c>
      <c r="C6387">
        <v>814</v>
      </c>
      <c r="D6387" t="s">
        <v>194</v>
      </c>
      <c r="E6387">
        <v>2677</v>
      </c>
      <c r="F6387" s="3">
        <v>0.192</v>
      </c>
      <c r="H6387" s="3">
        <v>2.0000000000000001E-4</v>
      </c>
      <c r="I6387" s="3">
        <v>2.9999999999999997E-4</v>
      </c>
      <c r="J6387" s="3">
        <v>1.1999999999999999E-3</v>
      </c>
      <c r="K6387" s="3">
        <v>0.16250000000000001</v>
      </c>
      <c r="L6387" s="3">
        <v>3.0200000000000001E-2</v>
      </c>
      <c r="M6387" s="3">
        <v>5.1000000000000004E-3</v>
      </c>
      <c r="Q6387" s="3">
        <v>0.28910000000000002</v>
      </c>
      <c r="R6387" s="3">
        <v>3.2899999999999999E-2</v>
      </c>
      <c r="S6387" s="3">
        <v>2.24E-2</v>
      </c>
      <c r="T6387" s="3">
        <v>2.9999999999999997E-4</v>
      </c>
      <c r="U6387" s="3">
        <v>1.01E-2</v>
      </c>
      <c r="V6387" s="3">
        <v>0.25369999999999998</v>
      </c>
    </row>
    <row r="6388" spans="1:22">
      <c r="A6388" t="s">
        <v>199</v>
      </c>
      <c r="B6388" t="s">
        <v>219</v>
      </c>
      <c r="C6388">
        <v>451</v>
      </c>
      <c r="D6388" t="s">
        <v>194</v>
      </c>
      <c r="E6388">
        <v>2677</v>
      </c>
      <c r="F6388" s="3">
        <v>0.2772</v>
      </c>
      <c r="I6388" s="3">
        <v>4.1999999999999997E-3</v>
      </c>
      <c r="J6388" s="3">
        <v>6.4000000000000003E-3</v>
      </c>
      <c r="K6388" s="3">
        <v>9.9500000000000005E-2</v>
      </c>
      <c r="L6388" s="3">
        <v>1.15E-2</v>
      </c>
      <c r="M6388" s="3">
        <v>6.8999999999999999E-3</v>
      </c>
      <c r="N6388" s="3">
        <v>6.9999999999999999E-4</v>
      </c>
      <c r="Q6388" s="3">
        <v>0.40699999999999997</v>
      </c>
      <c r="R6388" s="3">
        <v>3.3099999999999997E-2</v>
      </c>
      <c r="S6388" s="3">
        <v>2.5399999999999999E-2</v>
      </c>
      <c r="U6388" s="3">
        <v>6.4000000000000003E-3</v>
      </c>
      <c r="V6388" s="3">
        <v>0.1217</v>
      </c>
    </row>
    <row r="6389" spans="1:22">
      <c r="A6389" t="s">
        <v>199</v>
      </c>
      <c r="B6389" t="s">
        <v>220</v>
      </c>
      <c r="C6389">
        <v>223</v>
      </c>
      <c r="D6389" t="s">
        <v>194</v>
      </c>
      <c r="E6389">
        <v>2677</v>
      </c>
      <c r="F6389" s="3">
        <v>0.32390000000000002</v>
      </c>
      <c r="J6389" s="3">
        <v>1.23E-2</v>
      </c>
      <c r="K6389" s="3">
        <v>0.1336</v>
      </c>
      <c r="L6389" s="3">
        <v>3.1300000000000001E-2</v>
      </c>
      <c r="M6389" s="3">
        <v>5.1000000000000004E-3</v>
      </c>
      <c r="O6389" s="3">
        <v>1E-4</v>
      </c>
      <c r="P6389" s="3">
        <v>1E-4</v>
      </c>
      <c r="Q6389" s="3">
        <v>0.30059999999999998</v>
      </c>
      <c r="R6389" s="3">
        <v>1E-4</v>
      </c>
      <c r="S6389" s="3">
        <v>3.2399999999999998E-2</v>
      </c>
      <c r="U6389" s="3">
        <v>1.6000000000000001E-3</v>
      </c>
      <c r="V6389" s="3">
        <v>0.15870000000000001</v>
      </c>
    </row>
    <row r="6390" spans="1:22">
      <c r="A6390" t="s">
        <v>200</v>
      </c>
      <c r="B6390" t="s">
        <v>200</v>
      </c>
      <c r="C6390">
        <v>2677</v>
      </c>
      <c r="D6390" t="s">
        <v>200</v>
      </c>
      <c r="E6390">
        <v>2677</v>
      </c>
      <c r="F6390" s="3">
        <v>0.24790000000000001</v>
      </c>
      <c r="G6390" s="3">
        <v>1.2999999999999999E-3</v>
      </c>
      <c r="H6390" s="3">
        <v>8.9999999999999998E-4</v>
      </c>
      <c r="I6390" s="3">
        <v>1.1999999999999999E-3</v>
      </c>
      <c r="J6390" s="3">
        <v>4.1000000000000003E-3</v>
      </c>
      <c r="K6390" s="3">
        <v>0.1353</v>
      </c>
      <c r="L6390" s="3">
        <v>2.81E-2</v>
      </c>
      <c r="M6390" s="3">
        <v>5.4999999999999997E-3</v>
      </c>
      <c r="N6390" s="3">
        <v>1E-4</v>
      </c>
      <c r="O6390" s="3">
        <v>0</v>
      </c>
      <c r="P6390" s="3">
        <v>1E-4</v>
      </c>
      <c r="Q6390" s="3">
        <v>0.3014</v>
      </c>
      <c r="R6390" s="3">
        <v>0.02</v>
      </c>
      <c r="S6390" s="3">
        <v>1.9900000000000001E-2</v>
      </c>
      <c r="T6390" s="3">
        <v>1E-3</v>
      </c>
      <c r="U6390" s="3">
        <v>1.6899999999999998E-2</v>
      </c>
      <c r="V6390" s="3">
        <v>0.21640000000000001</v>
      </c>
    </row>
    <row r="6392" spans="1:22" ht="45">
      <c r="A6392" s="22" t="s">
        <v>1433</v>
      </c>
    </row>
    <row r="6393" spans="1:22">
      <c r="A6393" t="s">
        <v>184</v>
      </c>
      <c r="B6393" t="s">
        <v>185</v>
      </c>
      <c r="C6393" t="s">
        <v>186</v>
      </c>
      <c r="D6393" t="s">
        <v>187</v>
      </c>
      <c r="E6393" t="s">
        <v>188</v>
      </c>
      <c r="F6393" t="s">
        <v>189</v>
      </c>
      <c r="G6393" t="s">
        <v>190</v>
      </c>
      <c r="H6393" t="s">
        <v>191</v>
      </c>
      <c r="I6393" t="s">
        <v>192</v>
      </c>
      <c r="J6393" t="s">
        <v>193</v>
      </c>
    </row>
    <row r="6394" spans="1:22">
      <c r="A6394" t="s">
        <v>194</v>
      </c>
      <c r="B6394" t="s">
        <v>195</v>
      </c>
      <c r="C6394" t="s">
        <v>196</v>
      </c>
      <c r="D6394" t="s">
        <v>197</v>
      </c>
      <c r="E6394">
        <v>18.834585468899409</v>
      </c>
      <c r="F6394">
        <v>10</v>
      </c>
      <c r="G6394">
        <v>1</v>
      </c>
      <c r="H6394">
        <v>180</v>
      </c>
      <c r="I6394">
        <v>234</v>
      </c>
      <c r="J6394">
        <v>1348</v>
      </c>
    </row>
    <row r="6395" spans="1:22">
      <c r="A6395" t="s">
        <v>194</v>
      </c>
      <c r="B6395" t="s">
        <v>195</v>
      </c>
      <c r="C6395" t="s">
        <v>198</v>
      </c>
      <c r="D6395" t="s">
        <v>197</v>
      </c>
      <c r="E6395">
        <v>13.485106186714621</v>
      </c>
      <c r="F6395">
        <v>10</v>
      </c>
      <c r="G6395">
        <v>1</v>
      </c>
      <c r="H6395">
        <v>200</v>
      </c>
      <c r="I6395">
        <v>440</v>
      </c>
      <c r="J6395">
        <v>1348</v>
      </c>
    </row>
    <row r="6396" spans="1:22">
      <c r="A6396" t="s">
        <v>194</v>
      </c>
      <c r="B6396" t="s">
        <v>199</v>
      </c>
      <c r="C6396" t="s">
        <v>196</v>
      </c>
      <c r="D6396" t="s">
        <v>197</v>
      </c>
      <c r="E6396">
        <v>12.33313848548992</v>
      </c>
      <c r="F6396">
        <v>10</v>
      </c>
      <c r="G6396">
        <v>1</v>
      </c>
      <c r="H6396">
        <v>150</v>
      </c>
      <c r="I6396">
        <v>204</v>
      </c>
      <c r="J6396">
        <v>1348</v>
      </c>
    </row>
    <row r="6397" spans="1:22">
      <c r="A6397" t="s">
        <v>194</v>
      </c>
      <c r="B6397" t="s">
        <v>199</v>
      </c>
      <c r="C6397" t="s">
        <v>198</v>
      </c>
      <c r="D6397" t="s">
        <v>197</v>
      </c>
      <c r="E6397">
        <v>11.728316134986089</v>
      </c>
      <c r="F6397">
        <v>10</v>
      </c>
      <c r="G6397">
        <v>1</v>
      </c>
      <c r="H6397">
        <v>140</v>
      </c>
      <c r="I6397">
        <v>455</v>
      </c>
      <c r="J6397">
        <v>1348</v>
      </c>
    </row>
    <row r="6398" spans="1:22">
      <c r="A6398" t="s">
        <v>200</v>
      </c>
      <c r="B6398" t="s">
        <v>200</v>
      </c>
      <c r="C6398" t="s">
        <v>200</v>
      </c>
      <c r="D6398" t="s">
        <v>200</v>
      </c>
      <c r="E6398">
        <v>13.314784996522279</v>
      </c>
      <c r="F6398">
        <v>10</v>
      </c>
      <c r="G6398">
        <v>1</v>
      </c>
      <c r="H6398">
        <v>200</v>
      </c>
      <c r="I6398">
        <v>1348</v>
      </c>
      <c r="J6398">
        <v>1348</v>
      </c>
    </row>
    <row r="6400" spans="1:22" ht="60">
      <c r="A6400" s="22" t="s">
        <v>1434</v>
      </c>
    </row>
    <row r="6401" spans="1:10">
      <c r="A6401" t="s">
        <v>184</v>
      </c>
      <c r="B6401" t="s">
        <v>185</v>
      </c>
      <c r="C6401" t="s">
        <v>186</v>
      </c>
      <c r="D6401" t="s">
        <v>187</v>
      </c>
      <c r="E6401" t="s">
        <v>188</v>
      </c>
      <c r="F6401" t="s">
        <v>189</v>
      </c>
      <c r="G6401" t="s">
        <v>190</v>
      </c>
      <c r="H6401" t="s">
        <v>191</v>
      </c>
      <c r="I6401" t="s">
        <v>192</v>
      </c>
      <c r="J6401" t="s">
        <v>193</v>
      </c>
    </row>
    <row r="6402" spans="1:10">
      <c r="A6402" t="s">
        <v>194</v>
      </c>
      <c r="B6402" t="s">
        <v>195</v>
      </c>
      <c r="C6402" t="s">
        <v>202</v>
      </c>
      <c r="D6402" t="s">
        <v>203</v>
      </c>
      <c r="E6402">
        <v>15.127497050991989</v>
      </c>
      <c r="F6402">
        <v>10</v>
      </c>
      <c r="G6402">
        <v>1</v>
      </c>
      <c r="H6402">
        <v>180</v>
      </c>
      <c r="I6402">
        <v>306</v>
      </c>
      <c r="J6402">
        <v>1348</v>
      </c>
    </row>
    <row r="6403" spans="1:10">
      <c r="A6403" t="s">
        <v>194</v>
      </c>
      <c r="B6403" t="s">
        <v>195</v>
      </c>
      <c r="C6403" t="s">
        <v>204</v>
      </c>
      <c r="D6403" t="s">
        <v>203</v>
      </c>
      <c r="E6403">
        <v>14.346844185291459</v>
      </c>
      <c r="F6403">
        <v>10</v>
      </c>
      <c r="G6403">
        <v>1</v>
      </c>
      <c r="H6403">
        <v>120</v>
      </c>
      <c r="I6403">
        <v>178</v>
      </c>
      <c r="J6403">
        <v>1348</v>
      </c>
    </row>
    <row r="6404" spans="1:10">
      <c r="A6404" t="s">
        <v>194</v>
      </c>
      <c r="B6404" t="s">
        <v>195</v>
      </c>
      <c r="C6404" t="s">
        <v>205</v>
      </c>
      <c r="D6404" t="s">
        <v>203</v>
      </c>
      <c r="E6404">
        <v>14.32323318276474</v>
      </c>
      <c r="F6404">
        <v>10</v>
      </c>
      <c r="G6404">
        <v>1</v>
      </c>
      <c r="H6404">
        <v>200</v>
      </c>
      <c r="I6404">
        <v>190</v>
      </c>
      <c r="J6404">
        <v>1348</v>
      </c>
    </row>
    <row r="6405" spans="1:10">
      <c r="A6405" t="s">
        <v>194</v>
      </c>
      <c r="B6405" t="s">
        <v>199</v>
      </c>
      <c r="C6405" t="s">
        <v>202</v>
      </c>
      <c r="D6405" t="s">
        <v>203</v>
      </c>
      <c r="E6405">
        <v>8.8188876470564175</v>
      </c>
      <c r="F6405">
        <v>5</v>
      </c>
      <c r="G6405">
        <v>1</v>
      </c>
      <c r="H6405">
        <v>60</v>
      </c>
      <c r="I6405">
        <v>212</v>
      </c>
      <c r="J6405">
        <v>1348</v>
      </c>
    </row>
    <row r="6406" spans="1:10">
      <c r="A6406" t="s">
        <v>194</v>
      </c>
      <c r="B6406" t="s">
        <v>199</v>
      </c>
      <c r="C6406" t="s">
        <v>204</v>
      </c>
      <c r="D6406" t="s">
        <v>203</v>
      </c>
      <c r="E6406">
        <v>17.531068380515489</v>
      </c>
      <c r="F6406">
        <v>15</v>
      </c>
      <c r="G6406">
        <v>1</v>
      </c>
      <c r="H6406">
        <v>150</v>
      </c>
      <c r="I6406">
        <v>198</v>
      </c>
      <c r="J6406">
        <v>1348</v>
      </c>
    </row>
    <row r="6407" spans="1:10">
      <c r="A6407" t="s">
        <v>194</v>
      </c>
      <c r="B6407" t="s">
        <v>199</v>
      </c>
      <c r="C6407" t="s">
        <v>205</v>
      </c>
      <c r="D6407" t="s">
        <v>203</v>
      </c>
      <c r="E6407">
        <v>15.459189955881421</v>
      </c>
      <c r="F6407">
        <v>10</v>
      </c>
      <c r="G6407">
        <v>1</v>
      </c>
      <c r="H6407">
        <v>140</v>
      </c>
      <c r="I6407">
        <v>249</v>
      </c>
      <c r="J6407">
        <v>1348</v>
      </c>
    </row>
    <row r="6408" spans="1:10">
      <c r="A6408" t="s">
        <v>200</v>
      </c>
      <c r="B6408" t="s">
        <v>200</v>
      </c>
      <c r="C6408" t="s">
        <v>200</v>
      </c>
      <c r="D6408" t="s">
        <v>200</v>
      </c>
      <c r="E6408">
        <v>13.314784996522279</v>
      </c>
      <c r="F6408">
        <v>10</v>
      </c>
      <c r="G6408">
        <v>1</v>
      </c>
      <c r="H6408">
        <v>200</v>
      </c>
      <c r="I6408">
        <v>1348</v>
      </c>
      <c r="J6408">
        <v>1348</v>
      </c>
    </row>
    <row r="6410" spans="1:10" ht="45">
      <c r="A6410" s="22" t="s">
        <v>1435</v>
      </c>
    </row>
    <row r="6411" spans="1:10">
      <c r="A6411" t="s">
        <v>184</v>
      </c>
      <c r="B6411" t="s">
        <v>185</v>
      </c>
      <c r="C6411" t="s">
        <v>186</v>
      </c>
      <c r="D6411" t="s">
        <v>187</v>
      </c>
      <c r="E6411" t="s">
        <v>188</v>
      </c>
      <c r="F6411" t="s">
        <v>189</v>
      </c>
      <c r="G6411" t="s">
        <v>190</v>
      </c>
      <c r="H6411" t="s">
        <v>191</v>
      </c>
      <c r="I6411" t="s">
        <v>192</v>
      </c>
      <c r="J6411" t="s">
        <v>193</v>
      </c>
    </row>
    <row r="6412" spans="1:10">
      <c r="A6412" t="s">
        <v>194</v>
      </c>
      <c r="B6412" t="s">
        <v>195</v>
      </c>
      <c r="C6412" t="s">
        <v>207</v>
      </c>
      <c r="D6412" t="s">
        <v>208</v>
      </c>
      <c r="E6412">
        <v>20.5843226529195</v>
      </c>
      <c r="F6412">
        <v>10</v>
      </c>
      <c r="G6412">
        <v>1</v>
      </c>
      <c r="H6412">
        <v>180</v>
      </c>
      <c r="I6412">
        <v>164</v>
      </c>
      <c r="J6412">
        <v>1348</v>
      </c>
    </row>
    <row r="6413" spans="1:10">
      <c r="A6413" t="s">
        <v>194</v>
      </c>
      <c r="B6413" t="s">
        <v>195</v>
      </c>
      <c r="C6413" t="s">
        <v>209</v>
      </c>
      <c r="D6413" t="s">
        <v>208</v>
      </c>
      <c r="E6413">
        <v>13.332659271248399</v>
      </c>
      <c r="F6413">
        <v>10</v>
      </c>
      <c r="G6413">
        <v>1</v>
      </c>
      <c r="H6413">
        <v>200</v>
      </c>
      <c r="I6413">
        <v>517</v>
      </c>
      <c r="J6413">
        <v>1348</v>
      </c>
    </row>
    <row r="6414" spans="1:10">
      <c r="A6414" t="s">
        <v>194</v>
      </c>
      <c r="B6414" t="s">
        <v>199</v>
      </c>
      <c r="C6414" t="s">
        <v>207</v>
      </c>
      <c r="D6414" t="s">
        <v>208</v>
      </c>
      <c r="E6414">
        <v>16.839957890047518</v>
      </c>
      <c r="F6414">
        <v>15</v>
      </c>
      <c r="G6414">
        <v>1</v>
      </c>
      <c r="H6414">
        <v>90</v>
      </c>
      <c r="I6414">
        <v>129</v>
      </c>
      <c r="J6414">
        <v>1348</v>
      </c>
    </row>
    <row r="6415" spans="1:10">
      <c r="A6415" t="s">
        <v>194</v>
      </c>
      <c r="B6415" t="s">
        <v>199</v>
      </c>
      <c r="C6415" t="s">
        <v>209</v>
      </c>
      <c r="D6415" t="s">
        <v>208</v>
      </c>
      <c r="E6415">
        <v>11.306280590515559</v>
      </c>
      <c r="F6415">
        <v>10</v>
      </c>
      <c r="G6415">
        <v>1</v>
      </c>
      <c r="H6415">
        <v>150</v>
      </c>
      <c r="I6415">
        <v>538</v>
      </c>
      <c r="J6415">
        <v>1348</v>
      </c>
    </row>
    <row r="6416" spans="1:10">
      <c r="A6416" t="s">
        <v>200</v>
      </c>
      <c r="B6416" t="s">
        <v>200</v>
      </c>
      <c r="C6416" t="s">
        <v>200</v>
      </c>
      <c r="D6416" t="s">
        <v>200</v>
      </c>
      <c r="E6416">
        <v>13.314784996522279</v>
      </c>
      <c r="F6416">
        <v>10</v>
      </c>
      <c r="G6416">
        <v>1</v>
      </c>
      <c r="H6416">
        <v>200</v>
      </c>
      <c r="I6416">
        <v>1348</v>
      </c>
      <c r="J6416">
        <v>1348</v>
      </c>
    </row>
    <row r="6418" spans="1:10" ht="45">
      <c r="A6418" s="22" t="s">
        <v>1436</v>
      </c>
    </row>
    <row r="6419" spans="1:10">
      <c r="A6419" t="s">
        <v>184</v>
      </c>
      <c r="B6419" t="s">
        <v>185</v>
      </c>
      <c r="C6419" t="s">
        <v>188</v>
      </c>
      <c r="D6419" t="s">
        <v>189</v>
      </c>
      <c r="E6419" t="s">
        <v>190</v>
      </c>
      <c r="F6419" t="s">
        <v>191</v>
      </c>
      <c r="G6419" t="s">
        <v>192</v>
      </c>
      <c r="H6419" t="s">
        <v>193</v>
      </c>
    </row>
    <row r="6420" spans="1:10">
      <c r="A6420" t="s">
        <v>194</v>
      </c>
      <c r="B6420" t="s">
        <v>195</v>
      </c>
      <c r="C6420">
        <v>14.84157616883946</v>
      </c>
      <c r="D6420">
        <v>10</v>
      </c>
      <c r="E6420">
        <v>1</v>
      </c>
      <c r="F6420">
        <v>200</v>
      </c>
      <c r="G6420">
        <v>681</v>
      </c>
      <c r="H6420">
        <v>1348</v>
      </c>
    </row>
    <row r="6421" spans="1:10">
      <c r="A6421" t="s">
        <v>194</v>
      </c>
      <c r="B6421" t="s">
        <v>199</v>
      </c>
      <c r="C6421">
        <v>11.81869081544612</v>
      </c>
      <c r="D6421">
        <v>10</v>
      </c>
      <c r="E6421">
        <v>1</v>
      </c>
      <c r="F6421">
        <v>150</v>
      </c>
      <c r="G6421">
        <v>667</v>
      </c>
      <c r="H6421">
        <v>1348</v>
      </c>
    </row>
    <row r="6422" spans="1:10">
      <c r="A6422" t="s">
        <v>200</v>
      </c>
      <c r="B6422" t="s">
        <v>200</v>
      </c>
      <c r="C6422">
        <v>13.314784996522279</v>
      </c>
      <c r="D6422">
        <v>10</v>
      </c>
      <c r="E6422">
        <v>1</v>
      </c>
      <c r="F6422">
        <v>200</v>
      </c>
      <c r="G6422">
        <v>1348</v>
      </c>
      <c r="H6422">
        <v>1348</v>
      </c>
    </row>
    <row r="6424" spans="1:10" ht="45">
      <c r="A6424" s="22" t="s">
        <v>1437</v>
      </c>
    </row>
    <row r="6425" spans="1:10">
      <c r="A6425" t="s">
        <v>184</v>
      </c>
      <c r="B6425" t="s">
        <v>185</v>
      </c>
      <c r="C6425" t="s">
        <v>186</v>
      </c>
      <c r="D6425" t="s">
        <v>187</v>
      </c>
      <c r="E6425" t="s">
        <v>188</v>
      </c>
      <c r="F6425" t="s">
        <v>189</v>
      </c>
      <c r="G6425" t="s">
        <v>190</v>
      </c>
      <c r="H6425" t="s">
        <v>191</v>
      </c>
      <c r="I6425" t="s">
        <v>192</v>
      </c>
      <c r="J6425" t="s">
        <v>193</v>
      </c>
    </row>
    <row r="6426" spans="1:10">
      <c r="A6426" t="s">
        <v>194</v>
      </c>
      <c r="B6426" t="s">
        <v>195</v>
      </c>
      <c r="C6426" t="s">
        <v>212</v>
      </c>
      <c r="D6426" t="s">
        <v>213</v>
      </c>
      <c r="E6426">
        <v>13.447739833938609</v>
      </c>
      <c r="F6426">
        <v>10</v>
      </c>
      <c r="G6426">
        <v>1</v>
      </c>
      <c r="H6426">
        <v>200</v>
      </c>
      <c r="I6426">
        <v>517</v>
      </c>
      <c r="J6426">
        <v>1348</v>
      </c>
    </row>
    <row r="6427" spans="1:10">
      <c r="A6427" t="s">
        <v>194</v>
      </c>
      <c r="B6427" t="s">
        <v>195</v>
      </c>
      <c r="C6427" t="s">
        <v>214</v>
      </c>
      <c r="D6427" t="s">
        <v>213</v>
      </c>
      <c r="E6427">
        <v>19.400172990659652</v>
      </c>
      <c r="F6427">
        <v>10</v>
      </c>
      <c r="G6427">
        <v>1</v>
      </c>
      <c r="H6427">
        <v>180</v>
      </c>
      <c r="I6427">
        <v>87</v>
      </c>
      <c r="J6427">
        <v>1348</v>
      </c>
    </row>
    <row r="6428" spans="1:10">
      <c r="A6428" t="s">
        <v>194</v>
      </c>
      <c r="B6428" t="s">
        <v>195</v>
      </c>
      <c r="C6428" t="s">
        <v>215</v>
      </c>
      <c r="D6428" t="s">
        <v>213</v>
      </c>
      <c r="E6428">
        <v>19.261624848705821</v>
      </c>
      <c r="F6428">
        <v>15</v>
      </c>
      <c r="G6428">
        <v>1</v>
      </c>
      <c r="H6428">
        <v>90</v>
      </c>
      <c r="I6428">
        <v>77</v>
      </c>
      <c r="J6428">
        <v>1348</v>
      </c>
    </row>
    <row r="6429" spans="1:10">
      <c r="A6429" t="s">
        <v>194</v>
      </c>
      <c r="B6429" t="s">
        <v>199</v>
      </c>
      <c r="C6429" t="s">
        <v>212</v>
      </c>
      <c r="D6429" t="s">
        <v>213</v>
      </c>
      <c r="E6429">
        <v>11.139500587617521</v>
      </c>
      <c r="F6429">
        <v>10</v>
      </c>
      <c r="G6429">
        <v>1</v>
      </c>
      <c r="H6429">
        <v>120</v>
      </c>
      <c r="I6429">
        <v>521</v>
      </c>
      <c r="J6429">
        <v>1348</v>
      </c>
    </row>
    <row r="6430" spans="1:10">
      <c r="A6430" t="s">
        <v>194</v>
      </c>
      <c r="B6430" t="s">
        <v>199</v>
      </c>
      <c r="C6430" t="s">
        <v>214</v>
      </c>
      <c r="D6430" t="s">
        <v>213</v>
      </c>
      <c r="E6430">
        <v>13.27591934707878</v>
      </c>
      <c r="F6430">
        <v>10</v>
      </c>
      <c r="G6430">
        <v>1</v>
      </c>
      <c r="H6430">
        <v>140</v>
      </c>
      <c r="I6430">
        <v>85</v>
      </c>
      <c r="J6430">
        <v>1348</v>
      </c>
    </row>
    <row r="6431" spans="1:10">
      <c r="A6431" t="s">
        <v>194</v>
      </c>
      <c r="B6431" t="s">
        <v>199</v>
      </c>
      <c r="C6431" t="s">
        <v>215</v>
      </c>
      <c r="D6431" t="s">
        <v>213</v>
      </c>
      <c r="E6431">
        <v>19.770733690464599</v>
      </c>
      <c r="F6431">
        <v>15</v>
      </c>
      <c r="G6431">
        <v>1</v>
      </c>
      <c r="H6431">
        <v>150</v>
      </c>
      <c r="I6431">
        <v>61</v>
      </c>
      <c r="J6431">
        <v>1348</v>
      </c>
    </row>
    <row r="6432" spans="1:10">
      <c r="A6432" t="s">
        <v>200</v>
      </c>
      <c r="B6432" t="s">
        <v>200</v>
      </c>
      <c r="C6432" t="s">
        <v>200</v>
      </c>
      <c r="D6432" t="s">
        <v>200</v>
      </c>
      <c r="E6432">
        <v>13.314784996522279</v>
      </c>
      <c r="F6432">
        <v>10</v>
      </c>
      <c r="G6432">
        <v>1</v>
      </c>
      <c r="H6432">
        <v>200</v>
      </c>
      <c r="I6432">
        <v>1348</v>
      </c>
      <c r="J6432">
        <v>1348</v>
      </c>
    </row>
    <row r="6434" spans="1:12" ht="45">
      <c r="A6434" s="22" t="s">
        <v>1438</v>
      </c>
    </row>
    <row r="6435" spans="1:12">
      <c r="A6435" t="s">
        <v>184</v>
      </c>
      <c r="B6435" t="s">
        <v>185</v>
      </c>
      <c r="C6435" t="s">
        <v>186</v>
      </c>
      <c r="D6435" t="s">
        <v>187</v>
      </c>
      <c r="E6435" t="s">
        <v>188</v>
      </c>
      <c r="F6435" t="s">
        <v>189</v>
      </c>
      <c r="G6435" t="s">
        <v>190</v>
      </c>
      <c r="H6435" t="s">
        <v>191</v>
      </c>
      <c r="I6435" t="s">
        <v>192</v>
      </c>
      <c r="J6435" t="s">
        <v>193</v>
      </c>
    </row>
    <row r="6436" spans="1:12">
      <c r="A6436" t="s">
        <v>194</v>
      </c>
      <c r="B6436" t="s">
        <v>195</v>
      </c>
      <c r="C6436" t="s">
        <v>217</v>
      </c>
      <c r="D6436" t="s">
        <v>218</v>
      </c>
      <c r="E6436">
        <v>16.287293210241611</v>
      </c>
      <c r="F6436">
        <v>10</v>
      </c>
      <c r="G6436">
        <v>1</v>
      </c>
      <c r="H6436">
        <v>180</v>
      </c>
      <c r="I6436">
        <v>293</v>
      </c>
      <c r="J6436">
        <v>1348</v>
      </c>
    </row>
    <row r="6437" spans="1:12">
      <c r="A6437" t="s">
        <v>194</v>
      </c>
      <c r="B6437" t="s">
        <v>195</v>
      </c>
      <c r="C6437" t="s">
        <v>219</v>
      </c>
      <c r="D6437" t="s">
        <v>218</v>
      </c>
      <c r="E6437">
        <v>13.254469593107521</v>
      </c>
      <c r="F6437">
        <v>10</v>
      </c>
      <c r="G6437">
        <v>1</v>
      </c>
      <c r="H6437">
        <v>200</v>
      </c>
      <c r="I6437">
        <v>283</v>
      </c>
      <c r="J6437">
        <v>1348</v>
      </c>
    </row>
    <row r="6438" spans="1:12">
      <c r="A6438" t="s">
        <v>194</v>
      </c>
      <c r="B6438" t="s">
        <v>195</v>
      </c>
      <c r="C6438" t="s">
        <v>220</v>
      </c>
      <c r="D6438" t="s">
        <v>218</v>
      </c>
      <c r="E6438">
        <v>14.848750165506081</v>
      </c>
      <c r="F6438">
        <v>10</v>
      </c>
      <c r="G6438">
        <v>1</v>
      </c>
      <c r="H6438">
        <v>156</v>
      </c>
      <c r="I6438">
        <v>104</v>
      </c>
      <c r="J6438">
        <v>1348</v>
      </c>
    </row>
    <row r="6439" spans="1:12">
      <c r="A6439" t="s">
        <v>194</v>
      </c>
      <c r="B6439" t="s">
        <v>199</v>
      </c>
      <c r="C6439" t="s">
        <v>217</v>
      </c>
      <c r="D6439" t="s">
        <v>218</v>
      </c>
      <c r="E6439">
        <v>11.65698051315152</v>
      </c>
      <c r="F6439">
        <v>10</v>
      </c>
      <c r="G6439">
        <v>1</v>
      </c>
      <c r="H6439">
        <v>150</v>
      </c>
      <c r="I6439">
        <v>369</v>
      </c>
      <c r="J6439">
        <v>1348</v>
      </c>
    </row>
    <row r="6440" spans="1:12">
      <c r="A6440" t="s">
        <v>194</v>
      </c>
      <c r="B6440" t="s">
        <v>199</v>
      </c>
      <c r="C6440" t="s">
        <v>219</v>
      </c>
      <c r="D6440" t="s">
        <v>218</v>
      </c>
      <c r="E6440">
        <v>12.1573318745096</v>
      </c>
      <c r="F6440">
        <v>5</v>
      </c>
      <c r="G6440">
        <v>1</v>
      </c>
      <c r="H6440">
        <v>140</v>
      </c>
      <c r="I6440">
        <v>201</v>
      </c>
      <c r="J6440">
        <v>1348</v>
      </c>
    </row>
    <row r="6441" spans="1:12">
      <c r="A6441" t="s">
        <v>194</v>
      </c>
      <c r="B6441" t="s">
        <v>199</v>
      </c>
      <c r="C6441" t="s">
        <v>220</v>
      </c>
      <c r="D6441" t="s">
        <v>218</v>
      </c>
      <c r="E6441">
        <v>11.94375312133506</v>
      </c>
      <c r="F6441">
        <v>10</v>
      </c>
      <c r="G6441">
        <v>1</v>
      </c>
      <c r="H6441">
        <v>90</v>
      </c>
      <c r="I6441">
        <v>97</v>
      </c>
      <c r="J6441">
        <v>1348</v>
      </c>
    </row>
    <row r="6442" spans="1:12">
      <c r="A6442" t="s">
        <v>200</v>
      </c>
      <c r="B6442" t="s">
        <v>200</v>
      </c>
      <c r="C6442" t="s">
        <v>200</v>
      </c>
      <c r="D6442" t="s">
        <v>200</v>
      </c>
      <c r="E6442">
        <v>13.314784996522279</v>
      </c>
      <c r="F6442">
        <v>10</v>
      </c>
      <c r="G6442">
        <v>1</v>
      </c>
      <c r="H6442">
        <v>200</v>
      </c>
      <c r="I6442">
        <v>1348</v>
      </c>
      <c r="J6442">
        <v>1348</v>
      </c>
    </row>
    <row r="6444" spans="1:12" ht="45">
      <c r="A6444" s="22" t="s">
        <v>1439</v>
      </c>
    </row>
    <row r="6445" spans="1:12">
      <c r="A6445" t="s">
        <v>185</v>
      </c>
      <c r="B6445" t="s">
        <v>186</v>
      </c>
      <c r="C6445" t="s">
        <v>192</v>
      </c>
      <c r="D6445" t="s">
        <v>184</v>
      </c>
      <c r="E6445" t="s">
        <v>193</v>
      </c>
      <c r="F6445" t="s">
        <v>1440</v>
      </c>
      <c r="G6445" t="s">
        <v>257</v>
      </c>
      <c r="H6445" t="s">
        <v>1441</v>
      </c>
      <c r="I6445" t="s">
        <v>1442</v>
      </c>
      <c r="J6445" t="s">
        <v>247</v>
      </c>
      <c r="K6445" t="s">
        <v>1443</v>
      </c>
      <c r="L6445" t="s">
        <v>1444</v>
      </c>
    </row>
    <row r="6446" spans="1:12">
      <c r="A6446" t="s">
        <v>195</v>
      </c>
      <c r="B6446" t="s">
        <v>196</v>
      </c>
      <c r="C6446">
        <v>413</v>
      </c>
      <c r="D6446" t="s">
        <v>194</v>
      </c>
      <c r="E6446">
        <v>2677</v>
      </c>
      <c r="F6446" s="3">
        <v>4.5900000000000003E-2</v>
      </c>
      <c r="G6446" s="3">
        <v>6.8999999999999999E-3</v>
      </c>
      <c r="H6446" s="3">
        <v>0.54369999999999996</v>
      </c>
      <c r="I6446" s="3">
        <v>0.25609999999999999</v>
      </c>
      <c r="K6446" s="3">
        <v>1.52E-2</v>
      </c>
      <c r="L6446" s="3">
        <v>0.13220000000000001</v>
      </c>
    </row>
    <row r="6447" spans="1:12">
      <c r="A6447" t="s">
        <v>195</v>
      </c>
      <c r="B6447" t="s">
        <v>198</v>
      </c>
      <c r="C6447">
        <v>755</v>
      </c>
      <c r="D6447" t="s">
        <v>194</v>
      </c>
      <c r="E6447">
        <v>2677</v>
      </c>
      <c r="F6447" s="3">
        <v>3.9600000000000003E-2</v>
      </c>
      <c r="G6447" s="3">
        <v>5.3E-3</v>
      </c>
      <c r="H6447" s="3">
        <v>0.62319999999999998</v>
      </c>
      <c r="I6447" s="3">
        <v>0.2084</v>
      </c>
      <c r="K6447" s="3">
        <v>5.7000000000000002E-3</v>
      </c>
      <c r="L6447" s="3">
        <v>0.1178</v>
      </c>
    </row>
    <row r="6448" spans="1:12">
      <c r="A6448" t="s">
        <v>199</v>
      </c>
      <c r="B6448" t="s">
        <v>196</v>
      </c>
      <c r="C6448">
        <v>525</v>
      </c>
      <c r="D6448" t="s">
        <v>194</v>
      </c>
      <c r="E6448">
        <v>2677</v>
      </c>
      <c r="F6448" s="3">
        <v>5.6099999999999997E-2</v>
      </c>
      <c r="G6448" s="3">
        <v>1.4E-3</v>
      </c>
      <c r="H6448" s="3">
        <v>0.52959999999999996</v>
      </c>
      <c r="I6448" s="3">
        <v>0.17460000000000001</v>
      </c>
      <c r="K6448" s="3">
        <v>2.01E-2</v>
      </c>
      <c r="L6448" s="3">
        <v>0.21820000000000001</v>
      </c>
    </row>
    <row r="6449" spans="1:12">
      <c r="A6449" t="s">
        <v>199</v>
      </c>
      <c r="B6449" t="s">
        <v>198</v>
      </c>
      <c r="C6449">
        <v>945</v>
      </c>
      <c r="D6449" t="s">
        <v>194</v>
      </c>
      <c r="E6449">
        <v>2677</v>
      </c>
      <c r="F6449" s="3">
        <v>4.6199999999999998E-2</v>
      </c>
      <c r="G6449" s="3">
        <v>3.0999999999999999E-3</v>
      </c>
      <c r="H6449" s="3">
        <v>0.57089999999999996</v>
      </c>
      <c r="I6449" s="3">
        <v>0.1913</v>
      </c>
      <c r="J6449" s="3">
        <v>2.0000000000000001E-4</v>
      </c>
      <c r="K6449" s="3">
        <v>6.7999999999999996E-3</v>
      </c>
      <c r="L6449" s="3">
        <v>0.18149999999999999</v>
      </c>
    </row>
    <row r="6450" spans="1:12">
      <c r="A6450" t="s">
        <v>200</v>
      </c>
      <c r="B6450" t="s">
        <v>200</v>
      </c>
      <c r="C6450">
        <v>2677</v>
      </c>
      <c r="D6450" t="s">
        <v>200</v>
      </c>
      <c r="E6450">
        <v>2677</v>
      </c>
      <c r="F6450" s="3">
        <v>4.4999999999999998E-2</v>
      </c>
      <c r="G6450" s="3">
        <v>4.1999999999999997E-3</v>
      </c>
      <c r="H6450" s="3">
        <v>0.5806</v>
      </c>
      <c r="I6450" s="3">
        <v>0.2026</v>
      </c>
      <c r="J6450" s="3">
        <v>1E-4</v>
      </c>
      <c r="K6450" s="3">
        <v>8.8000000000000005E-3</v>
      </c>
      <c r="L6450" s="3">
        <v>0.15870000000000001</v>
      </c>
    </row>
    <row r="6452" spans="1:12" ht="45">
      <c r="A6452" s="22" t="s">
        <v>1445</v>
      </c>
    </row>
    <row r="6453" spans="1:12">
      <c r="A6453" t="s">
        <v>185</v>
      </c>
      <c r="B6453" t="s">
        <v>186</v>
      </c>
      <c r="C6453" t="s">
        <v>192</v>
      </c>
      <c r="D6453" t="s">
        <v>184</v>
      </c>
      <c r="E6453" t="s">
        <v>193</v>
      </c>
      <c r="F6453" t="s">
        <v>1440</v>
      </c>
      <c r="G6453" t="s">
        <v>257</v>
      </c>
      <c r="H6453" t="s">
        <v>1441</v>
      </c>
      <c r="I6453" t="s">
        <v>1442</v>
      </c>
      <c r="J6453" t="s">
        <v>247</v>
      </c>
      <c r="K6453" t="s">
        <v>1443</v>
      </c>
      <c r="L6453" t="s">
        <v>1444</v>
      </c>
    </row>
    <row r="6454" spans="1:12">
      <c r="A6454" t="s">
        <v>195</v>
      </c>
      <c r="B6454" t="s">
        <v>202</v>
      </c>
      <c r="C6454">
        <v>533</v>
      </c>
      <c r="D6454" t="s">
        <v>194</v>
      </c>
      <c r="E6454">
        <v>2677</v>
      </c>
      <c r="F6454" s="3">
        <v>4.58E-2</v>
      </c>
      <c r="G6454" s="3">
        <v>5.4999999999999997E-3</v>
      </c>
      <c r="H6454" s="3">
        <v>0.58620000000000005</v>
      </c>
      <c r="I6454" s="3">
        <v>0.23080000000000001</v>
      </c>
      <c r="K6454" s="3">
        <v>1.0200000000000001E-2</v>
      </c>
      <c r="L6454" s="3">
        <v>0.12139999999999999</v>
      </c>
    </row>
    <row r="6455" spans="1:12">
      <c r="A6455" t="s">
        <v>195</v>
      </c>
      <c r="B6455" t="s">
        <v>204</v>
      </c>
      <c r="C6455">
        <v>301</v>
      </c>
      <c r="D6455" t="s">
        <v>194</v>
      </c>
      <c r="E6455">
        <v>2677</v>
      </c>
      <c r="F6455" s="3">
        <v>2.9399999999999999E-2</v>
      </c>
      <c r="G6455" s="3">
        <v>6.0000000000000001E-3</v>
      </c>
      <c r="H6455" s="3">
        <v>0.64690000000000003</v>
      </c>
      <c r="I6455" s="3">
        <v>0.16220000000000001</v>
      </c>
      <c r="K6455" s="3">
        <v>6.8999999999999999E-3</v>
      </c>
      <c r="L6455" s="3">
        <v>0.14860000000000001</v>
      </c>
    </row>
    <row r="6456" spans="1:12">
      <c r="A6456" t="s">
        <v>195</v>
      </c>
      <c r="B6456" t="s">
        <v>205</v>
      </c>
      <c r="C6456">
        <v>334</v>
      </c>
      <c r="D6456" t="s">
        <v>194</v>
      </c>
      <c r="E6456">
        <v>2677</v>
      </c>
      <c r="F6456" s="3">
        <v>3.8399999999999997E-2</v>
      </c>
      <c r="G6456" s="3">
        <v>6.3E-3</v>
      </c>
      <c r="H6456" s="3">
        <v>0.60629999999999995</v>
      </c>
      <c r="I6456" s="3">
        <v>0.2681</v>
      </c>
      <c r="K6456" s="3">
        <v>1.1999999999999999E-3</v>
      </c>
      <c r="L6456" s="3">
        <v>7.9699999999999993E-2</v>
      </c>
    </row>
    <row r="6457" spans="1:12">
      <c r="A6457" t="s">
        <v>199</v>
      </c>
      <c r="B6457" t="s">
        <v>202</v>
      </c>
      <c r="C6457">
        <v>538</v>
      </c>
      <c r="D6457" t="s">
        <v>194</v>
      </c>
      <c r="E6457">
        <v>2677</v>
      </c>
      <c r="F6457" s="3">
        <v>5.3800000000000001E-2</v>
      </c>
      <c r="H6457" s="3">
        <v>0.54459999999999997</v>
      </c>
      <c r="I6457" s="3">
        <v>0.17430000000000001</v>
      </c>
      <c r="K6457" s="3">
        <v>9.1000000000000004E-3</v>
      </c>
      <c r="L6457" s="3">
        <v>0.21820000000000001</v>
      </c>
    </row>
    <row r="6458" spans="1:12">
      <c r="A6458" t="s">
        <v>199</v>
      </c>
      <c r="B6458" t="s">
        <v>204</v>
      </c>
      <c r="C6458">
        <v>426</v>
      </c>
      <c r="D6458" t="s">
        <v>194</v>
      </c>
      <c r="E6458">
        <v>2677</v>
      </c>
      <c r="F6458" s="3">
        <v>2.9600000000000001E-2</v>
      </c>
      <c r="G6458" s="3">
        <v>1.1999999999999999E-3</v>
      </c>
      <c r="H6458" s="3">
        <v>0.57909999999999995</v>
      </c>
      <c r="I6458" s="3">
        <v>0.2069</v>
      </c>
      <c r="K6458" s="3">
        <v>1.0500000000000001E-2</v>
      </c>
      <c r="L6458" s="3">
        <v>0.1726</v>
      </c>
    </row>
    <row r="6459" spans="1:12">
      <c r="A6459" t="s">
        <v>199</v>
      </c>
      <c r="B6459" t="s">
        <v>205</v>
      </c>
      <c r="C6459">
        <v>506</v>
      </c>
      <c r="D6459" t="s">
        <v>194</v>
      </c>
      <c r="E6459">
        <v>2677</v>
      </c>
      <c r="F6459" s="3">
        <v>4.7199999999999999E-2</v>
      </c>
      <c r="G6459" s="3">
        <v>1.52E-2</v>
      </c>
      <c r="H6459" s="3">
        <v>0.61539999999999995</v>
      </c>
      <c r="I6459" s="3">
        <v>0.21940000000000001</v>
      </c>
      <c r="J6459" s="3">
        <v>8.0000000000000004E-4</v>
      </c>
      <c r="K6459" s="3">
        <v>8.2000000000000007E-3</v>
      </c>
      <c r="L6459" s="3">
        <v>9.3899999999999997E-2</v>
      </c>
    </row>
    <row r="6460" spans="1:12">
      <c r="A6460" t="s">
        <v>200</v>
      </c>
      <c r="B6460" t="s">
        <v>200</v>
      </c>
      <c r="C6460">
        <v>2677</v>
      </c>
      <c r="D6460" t="s">
        <v>200</v>
      </c>
      <c r="E6460">
        <v>2677</v>
      </c>
      <c r="F6460" s="3">
        <v>4.4999999999999998E-2</v>
      </c>
      <c r="G6460" s="3">
        <v>4.1999999999999997E-3</v>
      </c>
      <c r="H6460" s="3">
        <v>0.5806</v>
      </c>
      <c r="I6460" s="3">
        <v>0.2026</v>
      </c>
      <c r="J6460" s="3">
        <v>1E-4</v>
      </c>
      <c r="K6460" s="3">
        <v>8.8000000000000005E-3</v>
      </c>
      <c r="L6460" s="3">
        <v>0.15870000000000001</v>
      </c>
    </row>
    <row r="6462" spans="1:12" ht="45">
      <c r="A6462" s="22" t="s">
        <v>1446</v>
      </c>
    </row>
    <row r="6463" spans="1:12">
      <c r="A6463" t="s">
        <v>185</v>
      </c>
      <c r="B6463" t="s">
        <v>186</v>
      </c>
      <c r="C6463" t="s">
        <v>192</v>
      </c>
      <c r="D6463" t="s">
        <v>184</v>
      </c>
      <c r="E6463" t="s">
        <v>193</v>
      </c>
      <c r="F6463" t="s">
        <v>1440</v>
      </c>
      <c r="G6463" t="s">
        <v>257</v>
      </c>
      <c r="H6463" t="s">
        <v>1441</v>
      </c>
      <c r="I6463" t="s">
        <v>1442</v>
      </c>
      <c r="J6463" t="s">
        <v>247</v>
      </c>
      <c r="K6463" t="s">
        <v>1443</v>
      </c>
      <c r="L6463" t="s">
        <v>1444</v>
      </c>
    </row>
    <row r="6464" spans="1:12">
      <c r="A6464" t="s">
        <v>195</v>
      </c>
      <c r="B6464" t="s">
        <v>207</v>
      </c>
      <c r="C6464">
        <v>322</v>
      </c>
      <c r="D6464" t="s">
        <v>194</v>
      </c>
      <c r="E6464">
        <v>2677</v>
      </c>
      <c r="F6464" s="3">
        <v>4.3700000000000003E-2</v>
      </c>
      <c r="G6464" s="3">
        <v>1.4E-2</v>
      </c>
      <c r="H6464" s="3">
        <v>0.54310000000000003</v>
      </c>
      <c r="I6464" s="3">
        <v>0.29599999999999999</v>
      </c>
      <c r="K6464" s="3">
        <v>1.9199999999999998E-2</v>
      </c>
      <c r="L6464" s="3">
        <v>8.3799999999999999E-2</v>
      </c>
    </row>
    <row r="6465" spans="1:12">
      <c r="A6465" t="s">
        <v>195</v>
      </c>
      <c r="B6465" t="s">
        <v>209</v>
      </c>
      <c r="C6465">
        <v>867</v>
      </c>
      <c r="D6465" t="s">
        <v>194</v>
      </c>
      <c r="E6465">
        <v>2677</v>
      </c>
      <c r="F6465" s="3">
        <v>4.02E-2</v>
      </c>
      <c r="G6465" s="3">
        <v>2.8E-3</v>
      </c>
      <c r="H6465" s="3">
        <v>0.62319999999999998</v>
      </c>
      <c r="I6465" s="3">
        <v>0.1943</v>
      </c>
      <c r="K6465" s="3">
        <v>4.4000000000000003E-3</v>
      </c>
      <c r="L6465" s="3">
        <v>0.1351</v>
      </c>
    </row>
    <row r="6466" spans="1:12">
      <c r="A6466" t="s">
        <v>199</v>
      </c>
      <c r="B6466" t="s">
        <v>207</v>
      </c>
      <c r="C6466">
        <v>283</v>
      </c>
      <c r="D6466" t="s">
        <v>194</v>
      </c>
      <c r="E6466">
        <v>2677</v>
      </c>
      <c r="F6466" s="3">
        <v>0.16969999999999999</v>
      </c>
      <c r="G6466" s="3">
        <v>3.8E-3</v>
      </c>
      <c r="H6466" s="3">
        <v>0.48670000000000002</v>
      </c>
      <c r="I6466" s="3">
        <v>0.16700000000000001</v>
      </c>
      <c r="K6466" s="3">
        <v>3.5400000000000001E-2</v>
      </c>
      <c r="L6466" s="3">
        <v>0.13739999999999999</v>
      </c>
    </row>
    <row r="6467" spans="1:12">
      <c r="A6467" t="s">
        <v>199</v>
      </c>
      <c r="B6467" t="s">
        <v>209</v>
      </c>
      <c r="C6467">
        <v>1205</v>
      </c>
      <c r="D6467" t="s">
        <v>194</v>
      </c>
      <c r="E6467">
        <v>2677</v>
      </c>
      <c r="F6467" s="3">
        <v>3.1399999999999997E-2</v>
      </c>
      <c r="G6467" s="3">
        <v>2.8E-3</v>
      </c>
      <c r="H6467" s="3">
        <v>0.5736</v>
      </c>
      <c r="I6467" s="3">
        <v>0.19139999999999999</v>
      </c>
      <c r="J6467" s="3">
        <v>1E-4</v>
      </c>
      <c r="K6467" s="3">
        <v>5.5999999999999999E-3</v>
      </c>
      <c r="L6467" s="3">
        <v>0.1951</v>
      </c>
    </row>
    <row r="6468" spans="1:12">
      <c r="A6468" t="s">
        <v>200</v>
      </c>
      <c r="B6468" t="s">
        <v>200</v>
      </c>
      <c r="C6468">
        <v>2677</v>
      </c>
      <c r="D6468" t="s">
        <v>200</v>
      </c>
      <c r="E6468">
        <v>2677</v>
      </c>
      <c r="F6468" s="3">
        <v>4.4999999999999998E-2</v>
      </c>
      <c r="G6468" s="3">
        <v>4.1999999999999997E-3</v>
      </c>
      <c r="H6468" s="3">
        <v>0.5806</v>
      </c>
      <c r="I6468" s="3">
        <v>0.2026</v>
      </c>
      <c r="J6468" s="3">
        <v>1E-4</v>
      </c>
      <c r="K6468" s="3">
        <v>8.8000000000000005E-3</v>
      </c>
      <c r="L6468" s="3">
        <v>0.15870000000000001</v>
      </c>
    </row>
    <row r="6470" spans="1:12" ht="45">
      <c r="A6470" s="22" t="s">
        <v>1447</v>
      </c>
    </row>
    <row r="6471" spans="1:12">
      <c r="A6471" t="s">
        <v>185</v>
      </c>
      <c r="B6471" t="s">
        <v>192</v>
      </c>
      <c r="C6471" t="s">
        <v>184</v>
      </c>
      <c r="D6471" t="s">
        <v>193</v>
      </c>
      <c r="E6471" t="s">
        <v>1440</v>
      </c>
      <c r="F6471" t="s">
        <v>257</v>
      </c>
      <c r="G6471" t="s">
        <v>1441</v>
      </c>
      <c r="H6471" t="s">
        <v>1442</v>
      </c>
      <c r="I6471" t="s">
        <v>247</v>
      </c>
      <c r="J6471" t="s">
        <v>1443</v>
      </c>
      <c r="K6471" t="s">
        <v>1444</v>
      </c>
    </row>
    <row r="6472" spans="1:12">
      <c r="A6472" t="s">
        <v>195</v>
      </c>
      <c r="B6472">
        <v>1189</v>
      </c>
      <c r="C6472" t="s">
        <v>194</v>
      </c>
      <c r="D6472">
        <v>2677</v>
      </c>
      <c r="E6472" s="3">
        <v>4.1099999999999998E-2</v>
      </c>
      <c r="F6472" s="3">
        <v>5.7000000000000002E-3</v>
      </c>
      <c r="G6472" s="3">
        <v>0.60260000000000002</v>
      </c>
      <c r="H6472" s="3">
        <v>0.2205</v>
      </c>
      <c r="J6472" s="3">
        <v>8.2000000000000007E-3</v>
      </c>
      <c r="K6472" s="3">
        <v>0.12189999999999999</v>
      </c>
    </row>
    <row r="6473" spans="1:12">
      <c r="A6473" t="s">
        <v>199</v>
      </c>
      <c r="B6473">
        <v>1488</v>
      </c>
      <c r="C6473" t="s">
        <v>194</v>
      </c>
      <c r="D6473">
        <v>2677</v>
      </c>
      <c r="E6473" s="3">
        <v>4.82E-2</v>
      </c>
      <c r="F6473" s="3">
        <v>3.0000000000000001E-3</v>
      </c>
      <c r="G6473" s="3">
        <v>0.56299999999999994</v>
      </c>
      <c r="H6473" s="3">
        <v>0.18840000000000001</v>
      </c>
      <c r="I6473" s="3">
        <v>1E-4</v>
      </c>
      <c r="J6473" s="3">
        <v>9.1999999999999998E-3</v>
      </c>
      <c r="K6473" s="3">
        <v>0.18809999999999999</v>
      </c>
    </row>
    <row r="6474" spans="1:12">
      <c r="A6474" t="s">
        <v>200</v>
      </c>
      <c r="B6474">
        <v>2677</v>
      </c>
      <c r="C6474" t="s">
        <v>200</v>
      </c>
      <c r="D6474">
        <v>2677</v>
      </c>
      <c r="E6474" s="3">
        <v>4.4999999999999998E-2</v>
      </c>
      <c r="F6474" s="3">
        <v>4.1999999999999997E-3</v>
      </c>
      <c r="G6474" s="3">
        <v>0.5806</v>
      </c>
      <c r="H6474" s="3">
        <v>0.2026</v>
      </c>
      <c r="I6474" s="3">
        <v>1E-4</v>
      </c>
      <c r="J6474" s="3">
        <v>8.8000000000000005E-3</v>
      </c>
      <c r="K6474" s="3">
        <v>0.15870000000000001</v>
      </c>
    </row>
    <row r="6476" spans="1:12" ht="45">
      <c r="A6476" s="22" t="s">
        <v>1448</v>
      </c>
    </row>
    <row r="6477" spans="1:12">
      <c r="A6477" t="s">
        <v>185</v>
      </c>
      <c r="B6477" t="s">
        <v>186</v>
      </c>
      <c r="C6477" t="s">
        <v>192</v>
      </c>
      <c r="D6477" t="s">
        <v>184</v>
      </c>
      <c r="E6477" t="s">
        <v>193</v>
      </c>
      <c r="F6477" t="s">
        <v>1440</v>
      </c>
      <c r="G6477" t="s">
        <v>257</v>
      </c>
      <c r="H6477" t="s">
        <v>1441</v>
      </c>
      <c r="I6477" t="s">
        <v>1442</v>
      </c>
      <c r="J6477" t="s">
        <v>247</v>
      </c>
      <c r="K6477" t="s">
        <v>1443</v>
      </c>
      <c r="L6477" t="s">
        <v>1444</v>
      </c>
    </row>
    <row r="6478" spans="1:12">
      <c r="A6478" t="s">
        <v>195</v>
      </c>
      <c r="B6478" t="s">
        <v>212</v>
      </c>
      <c r="C6478">
        <v>873</v>
      </c>
      <c r="D6478" t="s">
        <v>194</v>
      </c>
      <c r="E6478">
        <v>2677</v>
      </c>
      <c r="F6478" s="3">
        <v>4.4499999999999998E-2</v>
      </c>
      <c r="G6478" s="3">
        <v>3.5999999999999999E-3</v>
      </c>
      <c r="H6478" s="3">
        <v>0.61670000000000003</v>
      </c>
      <c r="I6478" s="3">
        <v>0.20749999999999999</v>
      </c>
      <c r="K6478" s="3">
        <v>8.8999999999999999E-3</v>
      </c>
      <c r="L6478" s="3">
        <v>0.1188</v>
      </c>
    </row>
    <row r="6479" spans="1:12">
      <c r="A6479" t="s">
        <v>195</v>
      </c>
      <c r="B6479" t="s">
        <v>214</v>
      </c>
      <c r="C6479">
        <v>181</v>
      </c>
      <c r="D6479" t="s">
        <v>194</v>
      </c>
      <c r="E6479">
        <v>2677</v>
      </c>
      <c r="F6479" s="3">
        <v>1.72E-2</v>
      </c>
      <c r="G6479" s="3">
        <v>1.29E-2</v>
      </c>
      <c r="H6479" s="3">
        <v>0.5302</v>
      </c>
      <c r="I6479" s="3">
        <v>0.27479999999999999</v>
      </c>
      <c r="K6479" s="3">
        <v>4.0000000000000002E-4</v>
      </c>
      <c r="L6479" s="3">
        <v>0.16450000000000001</v>
      </c>
    </row>
    <row r="6480" spans="1:12">
      <c r="A6480" t="s">
        <v>195</v>
      </c>
      <c r="B6480" t="s">
        <v>215</v>
      </c>
      <c r="C6480">
        <v>135</v>
      </c>
      <c r="D6480" t="s">
        <v>194</v>
      </c>
      <c r="E6480">
        <v>2677</v>
      </c>
      <c r="F6480" s="3">
        <v>5.7799999999999997E-2</v>
      </c>
      <c r="G6480" s="3">
        <v>1.01E-2</v>
      </c>
      <c r="H6480" s="3">
        <v>0.61939999999999995</v>
      </c>
      <c r="I6480" s="3">
        <v>0.22950000000000001</v>
      </c>
      <c r="K6480" s="3">
        <v>1.7399999999999999E-2</v>
      </c>
      <c r="L6480" s="3">
        <v>6.5799999999999997E-2</v>
      </c>
    </row>
    <row r="6481" spans="1:12">
      <c r="A6481" t="s">
        <v>199</v>
      </c>
      <c r="B6481" t="s">
        <v>212</v>
      </c>
      <c r="C6481">
        <v>1118</v>
      </c>
      <c r="D6481" t="s">
        <v>194</v>
      </c>
      <c r="E6481">
        <v>2677</v>
      </c>
      <c r="F6481" s="3">
        <v>0.05</v>
      </c>
      <c r="G6481" s="3">
        <v>3.2000000000000002E-3</v>
      </c>
      <c r="H6481" s="3">
        <v>0.57620000000000005</v>
      </c>
      <c r="I6481" s="3">
        <v>0.1754</v>
      </c>
      <c r="J6481" s="3">
        <v>2.0000000000000001E-4</v>
      </c>
      <c r="K6481" s="3">
        <v>9.2999999999999992E-3</v>
      </c>
      <c r="L6481" s="3">
        <v>0.18579999999999999</v>
      </c>
    </row>
    <row r="6482" spans="1:12">
      <c r="A6482" t="s">
        <v>199</v>
      </c>
      <c r="B6482" t="s">
        <v>214</v>
      </c>
      <c r="C6482">
        <v>197</v>
      </c>
      <c r="D6482" t="s">
        <v>194</v>
      </c>
      <c r="E6482">
        <v>2677</v>
      </c>
      <c r="F6482" s="3">
        <v>3.9399999999999998E-2</v>
      </c>
      <c r="G6482" s="3">
        <v>1.6000000000000001E-3</v>
      </c>
      <c r="H6482" s="3">
        <v>0.51819999999999999</v>
      </c>
      <c r="I6482" s="3">
        <v>0.2777</v>
      </c>
      <c r="K6482" s="3">
        <v>1.4200000000000001E-2</v>
      </c>
      <c r="L6482" s="3">
        <v>0.1489</v>
      </c>
    </row>
    <row r="6483" spans="1:12">
      <c r="A6483" t="s">
        <v>199</v>
      </c>
      <c r="B6483" t="s">
        <v>215</v>
      </c>
      <c r="C6483">
        <v>173</v>
      </c>
      <c r="D6483" t="s">
        <v>194</v>
      </c>
      <c r="E6483">
        <v>2677</v>
      </c>
      <c r="F6483" s="3">
        <v>4.7699999999999999E-2</v>
      </c>
      <c r="G6483" s="3">
        <v>3.0000000000000001E-3</v>
      </c>
      <c r="H6483" s="3">
        <v>0.52410000000000001</v>
      </c>
      <c r="I6483" s="3">
        <v>0.1452</v>
      </c>
      <c r="L6483" s="3">
        <v>0.28000000000000003</v>
      </c>
    </row>
    <row r="6484" spans="1:12">
      <c r="A6484" t="s">
        <v>200</v>
      </c>
      <c r="B6484" t="s">
        <v>200</v>
      </c>
      <c r="C6484">
        <v>2677</v>
      </c>
      <c r="D6484" t="s">
        <v>200</v>
      </c>
      <c r="E6484">
        <v>2677</v>
      </c>
      <c r="F6484" s="3">
        <v>4.4999999999999998E-2</v>
      </c>
      <c r="G6484" s="3">
        <v>4.1999999999999997E-3</v>
      </c>
      <c r="H6484" s="3">
        <v>0.5806</v>
      </c>
      <c r="I6484" s="3">
        <v>0.2026</v>
      </c>
      <c r="J6484" s="3">
        <v>1E-4</v>
      </c>
      <c r="K6484" s="3">
        <v>8.8000000000000005E-3</v>
      </c>
      <c r="L6484" s="3">
        <v>0.15870000000000001</v>
      </c>
    </row>
    <row r="6486" spans="1:12" ht="45">
      <c r="A6486" s="22" t="s">
        <v>1449</v>
      </c>
    </row>
    <row r="6487" spans="1:12">
      <c r="A6487" t="s">
        <v>185</v>
      </c>
      <c r="B6487" t="s">
        <v>186</v>
      </c>
      <c r="C6487" t="s">
        <v>192</v>
      </c>
      <c r="D6487" t="s">
        <v>184</v>
      </c>
      <c r="E6487" t="s">
        <v>193</v>
      </c>
      <c r="F6487" t="s">
        <v>1440</v>
      </c>
      <c r="G6487" t="s">
        <v>257</v>
      </c>
      <c r="H6487" t="s">
        <v>1441</v>
      </c>
      <c r="I6487" t="s">
        <v>1442</v>
      </c>
      <c r="J6487" t="s">
        <v>247</v>
      </c>
      <c r="K6487" t="s">
        <v>1443</v>
      </c>
      <c r="L6487" t="s">
        <v>1444</v>
      </c>
    </row>
    <row r="6488" spans="1:12">
      <c r="A6488" t="s">
        <v>195</v>
      </c>
      <c r="B6488" t="s">
        <v>217</v>
      </c>
      <c r="C6488">
        <v>499</v>
      </c>
      <c r="D6488" t="s">
        <v>194</v>
      </c>
      <c r="E6488">
        <v>2677</v>
      </c>
      <c r="F6488" s="3">
        <v>4.7E-2</v>
      </c>
      <c r="G6488" s="3">
        <v>2.0999999999999999E-3</v>
      </c>
      <c r="H6488" s="3">
        <v>0.63229999999999997</v>
      </c>
      <c r="I6488" s="3">
        <v>0.2087</v>
      </c>
      <c r="K6488" s="3">
        <v>7.3000000000000001E-3</v>
      </c>
      <c r="L6488" s="3">
        <v>0.10249999999999999</v>
      </c>
    </row>
    <row r="6489" spans="1:12">
      <c r="A6489" t="s">
        <v>195</v>
      </c>
      <c r="B6489" t="s">
        <v>219</v>
      </c>
      <c r="C6489">
        <v>507</v>
      </c>
      <c r="D6489" t="s">
        <v>194</v>
      </c>
      <c r="E6489">
        <v>2677</v>
      </c>
      <c r="F6489" s="3">
        <v>4.5100000000000001E-2</v>
      </c>
      <c r="G6489" s="3">
        <v>9.1999999999999998E-3</v>
      </c>
      <c r="H6489" s="3">
        <v>0.58550000000000002</v>
      </c>
      <c r="I6489" s="3">
        <v>0.22500000000000001</v>
      </c>
      <c r="K6489" s="3">
        <v>9.7000000000000003E-3</v>
      </c>
      <c r="L6489" s="3">
        <v>0.1255</v>
      </c>
    </row>
    <row r="6490" spans="1:12">
      <c r="A6490" t="s">
        <v>195</v>
      </c>
      <c r="B6490" t="s">
        <v>220</v>
      </c>
      <c r="C6490">
        <v>182</v>
      </c>
      <c r="D6490" t="s">
        <v>194</v>
      </c>
      <c r="E6490">
        <v>2677</v>
      </c>
      <c r="F6490" s="3">
        <v>1.9599999999999999E-2</v>
      </c>
      <c r="G6490" s="3">
        <v>6.1999999999999998E-3</v>
      </c>
      <c r="H6490" s="3">
        <v>0.57179999999999997</v>
      </c>
      <c r="I6490" s="3">
        <v>0.2374</v>
      </c>
      <c r="K6490" s="3">
        <v>7.1999999999999998E-3</v>
      </c>
      <c r="L6490" s="3">
        <v>0.1578</v>
      </c>
    </row>
    <row r="6491" spans="1:12">
      <c r="A6491" t="s">
        <v>199</v>
      </c>
      <c r="B6491" t="s">
        <v>217</v>
      </c>
      <c r="C6491">
        <v>814</v>
      </c>
      <c r="D6491" t="s">
        <v>194</v>
      </c>
      <c r="E6491">
        <v>2677</v>
      </c>
      <c r="F6491" s="3">
        <v>4.1799999999999997E-2</v>
      </c>
      <c r="G6491" s="3">
        <v>3.8999999999999998E-3</v>
      </c>
      <c r="H6491" s="3">
        <v>0.57720000000000005</v>
      </c>
      <c r="I6491" s="3">
        <v>0.18990000000000001</v>
      </c>
      <c r="J6491" s="3">
        <v>2.0000000000000001E-4</v>
      </c>
      <c r="K6491" s="3">
        <v>1.04E-2</v>
      </c>
      <c r="L6491" s="3">
        <v>0.17660000000000001</v>
      </c>
    </row>
    <row r="6492" spans="1:12">
      <c r="A6492" t="s">
        <v>199</v>
      </c>
      <c r="B6492" t="s">
        <v>219</v>
      </c>
      <c r="C6492">
        <v>451</v>
      </c>
      <c r="D6492" t="s">
        <v>194</v>
      </c>
      <c r="E6492">
        <v>2677</v>
      </c>
      <c r="F6492" s="3">
        <v>6.2700000000000006E-2</v>
      </c>
      <c r="G6492" s="3">
        <v>2.3999999999999998E-3</v>
      </c>
      <c r="H6492" s="3">
        <v>0.51019999999999999</v>
      </c>
      <c r="I6492" s="3">
        <v>0.24779999999999999</v>
      </c>
      <c r="K6492" s="3">
        <v>4.1000000000000003E-3</v>
      </c>
      <c r="L6492" s="3">
        <v>0.17280000000000001</v>
      </c>
    </row>
    <row r="6493" spans="1:12">
      <c r="A6493" t="s">
        <v>199</v>
      </c>
      <c r="B6493" t="s">
        <v>220</v>
      </c>
      <c r="C6493">
        <v>223</v>
      </c>
      <c r="D6493" t="s">
        <v>194</v>
      </c>
      <c r="E6493">
        <v>2677</v>
      </c>
      <c r="F6493" s="3">
        <v>4.9599999999999998E-2</v>
      </c>
      <c r="G6493" s="3">
        <v>1E-4</v>
      </c>
      <c r="H6493" s="3">
        <v>0.59209999999999996</v>
      </c>
      <c r="I6493" s="3">
        <v>8.9200000000000002E-2</v>
      </c>
      <c r="K6493" s="3">
        <v>1.2699999999999999E-2</v>
      </c>
      <c r="L6493" s="3">
        <v>0.25619999999999998</v>
      </c>
    </row>
    <row r="6494" spans="1:12">
      <c r="A6494" t="s">
        <v>200</v>
      </c>
      <c r="B6494" t="s">
        <v>200</v>
      </c>
      <c r="C6494">
        <v>2677</v>
      </c>
      <c r="D6494" t="s">
        <v>200</v>
      </c>
      <c r="E6494">
        <v>2677</v>
      </c>
      <c r="F6494" s="3">
        <v>4.4999999999999998E-2</v>
      </c>
      <c r="G6494" s="3">
        <v>4.1999999999999997E-3</v>
      </c>
      <c r="H6494" s="3">
        <v>0.5806</v>
      </c>
      <c r="I6494" s="3">
        <v>0.2026</v>
      </c>
      <c r="J6494" s="3">
        <v>1E-4</v>
      </c>
      <c r="K6494" s="3">
        <v>8.8000000000000005E-3</v>
      </c>
      <c r="L6494" s="3">
        <v>0.15870000000000001</v>
      </c>
    </row>
    <row r="6496" spans="1:12" ht="45">
      <c r="A6496" s="22" t="s">
        <v>1450</v>
      </c>
    </row>
    <row r="6497" spans="1:10">
      <c r="A6497" t="s">
        <v>185</v>
      </c>
      <c r="B6497" t="s">
        <v>186</v>
      </c>
      <c r="C6497" t="s">
        <v>192</v>
      </c>
      <c r="D6497" t="s">
        <v>184</v>
      </c>
      <c r="E6497" t="s">
        <v>193</v>
      </c>
      <c r="F6497" t="s">
        <v>257</v>
      </c>
      <c r="G6497" t="s">
        <v>1451</v>
      </c>
      <c r="H6497" t="s">
        <v>1452</v>
      </c>
      <c r="I6497" t="s">
        <v>247</v>
      </c>
      <c r="J6497" t="s">
        <v>227</v>
      </c>
    </row>
    <row r="6498" spans="1:10">
      <c r="A6498" t="s">
        <v>195</v>
      </c>
      <c r="B6498" t="s">
        <v>196</v>
      </c>
      <c r="C6498">
        <v>413</v>
      </c>
      <c r="D6498" t="s">
        <v>194</v>
      </c>
      <c r="E6498">
        <v>2677</v>
      </c>
      <c r="F6498" s="3">
        <v>1.32E-2</v>
      </c>
      <c r="G6498" s="3">
        <v>0.14749999999999999</v>
      </c>
      <c r="H6498" s="3">
        <v>0.65810000000000002</v>
      </c>
      <c r="J6498" s="3">
        <v>0.1812</v>
      </c>
    </row>
    <row r="6499" spans="1:10">
      <c r="A6499" t="s">
        <v>195</v>
      </c>
      <c r="B6499" t="s">
        <v>198</v>
      </c>
      <c r="C6499">
        <v>755</v>
      </c>
      <c r="D6499" t="s">
        <v>194</v>
      </c>
      <c r="E6499">
        <v>2677</v>
      </c>
      <c r="F6499" s="3">
        <v>4.4999999999999997E-3</v>
      </c>
      <c r="G6499" s="3">
        <v>9.9099999999999994E-2</v>
      </c>
      <c r="H6499" s="3">
        <v>0.65349999999999997</v>
      </c>
      <c r="I6499" s="3">
        <v>7.4999999999999997E-3</v>
      </c>
      <c r="J6499" s="3">
        <v>0.2354</v>
      </c>
    </row>
    <row r="6500" spans="1:10">
      <c r="A6500" t="s">
        <v>199</v>
      </c>
      <c r="B6500" t="s">
        <v>196</v>
      </c>
      <c r="C6500">
        <v>525</v>
      </c>
      <c r="D6500" t="s">
        <v>194</v>
      </c>
      <c r="E6500">
        <v>2677</v>
      </c>
      <c r="F6500" s="3">
        <v>3.7000000000000002E-3</v>
      </c>
      <c r="G6500" s="3">
        <v>8.6900000000000005E-2</v>
      </c>
      <c r="H6500" s="3">
        <v>0.6159</v>
      </c>
      <c r="I6500" s="3">
        <v>1.1999999999999999E-3</v>
      </c>
      <c r="J6500" s="3">
        <v>0.2923</v>
      </c>
    </row>
    <row r="6501" spans="1:10">
      <c r="A6501" t="s">
        <v>199</v>
      </c>
      <c r="B6501" t="s">
        <v>198</v>
      </c>
      <c r="C6501">
        <v>945</v>
      </c>
      <c r="D6501" t="s">
        <v>194</v>
      </c>
      <c r="E6501">
        <v>2677</v>
      </c>
      <c r="G6501" s="3">
        <v>5.5100000000000003E-2</v>
      </c>
      <c r="H6501" s="3">
        <v>0.63480000000000003</v>
      </c>
      <c r="I6501" s="3">
        <v>7.3000000000000001E-3</v>
      </c>
      <c r="J6501" s="3">
        <v>0.30280000000000001</v>
      </c>
    </row>
    <row r="6502" spans="1:10">
      <c r="A6502" t="s">
        <v>200</v>
      </c>
      <c r="B6502" t="s">
        <v>200</v>
      </c>
      <c r="C6502">
        <v>2677</v>
      </c>
      <c r="D6502" t="s">
        <v>200</v>
      </c>
      <c r="E6502">
        <v>2677</v>
      </c>
      <c r="F6502" s="3">
        <v>3.3999999999999998E-3</v>
      </c>
      <c r="G6502" s="3">
        <v>8.3699999999999997E-2</v>
      </c>
      <c r="H6502" s="3">
        <v>0.64119999999999999</v>
      </c>
      <c r="I6502" s="3">
        <v>5.8999999999999999E-3</v>
      </c>
      <c r="J6502" s="3">
        <v>0.26590000000000003</v>
      </c>
    </row>
    <row r="6504" spans="1:10" ht="45">
      <c r="A6504" s="22" t="s">
        <v>1453</v>
      </c>
    </row>
    <row r="6505" spans="1:10">
      <c r="A6505" t="s">
        <v>185</v>
      </c>
      <c r="B6505" t="s">
        <v>186</v>
      </c>
      <c r="C6505" t="s">
        <v>192</v>
      </c>
      <c r="D6505" t="s">
        <v>184</v>
      </c>
      <c r="E6505" t="s">
        <v>193</v>
      </c>
      <c r="F6505" t="s">
        <v>257</v>
      </c>
      <c r="G6505" t="s">
        <v>1451</v>
      </c>
      <c r="H6505" t="s">
        <v>1452</v>
      </c>
      <c r="I6505" t="s">
        <v>247</v>
      </c>
      <c r="J6505" t="s">
        <v>227</v>
      </c>
    </row>
    <row r="6506" spans="1:10">
      <c r="A6506" t="s">
        <v>195</v>
      </c>
      <c r="B6506" t="s">
        <v>202</v>
      </c>
      <c r="C6506">
        <v>533</v>
      </c>
      <c r="D6506" t="s">
        <v>194</v>
      </c>
      <c r="E6506">
        <v>2677</v>
      </c>
      <c r="F6506" s="3">
        <v>8.6999999999999994E-3</v>
      </c>
      <c r="G6506" s="3">
        <v>0.1244</v>
      </c>
      <c r="H6506" s="3">
        <v>0.62819999999999998</v>
      </c>
      <c r="I6506" s="3">
        <v>8.0999999999999996E-3</v>
      </c>
      <c r="J6506" s="3">
        <v>0.23069999999999999</v>
      </c>
    </row>
    <row r="6507" spans="1:10">
      <c r="A6507" t="s">
        <v>195</v>
      </c>
      <c r="B6507" t="s">
        <v>204</v>
      </c>
      <c r="C6507">
        <v>301</v>
      </c>
      <c r="D6507" t="s">
        <v>194</v>
      </c>
      <c r="E6507">
        <v>2677</v>
      </c>
      <c r="F6507" s="3">
        <v>3.7000000000000002E-3</v>
      </c>
      <c r="G6507" s="3">
        <v>8.8499999999999995E-2</v>
      </c>
      <c r="H6507" s="3">
        <v>0.72219999999999995</v>
      </c>
      <c r="I6507" s="3">
        <v>1E-3</v>
      </c>
      <c r="J6507" s="3">
        <v>0.18459999999999999</v>
      </c>
    </row>
    <row r="6508" spans="1:10">
      <c r="A6508" t="s">
        <v>195</v>
      </c>
      <c r="B6508" t="s">
        <v>205</v>
      </c>
      <c r="C6508">
        <v>334</v>
      </c>
      <c r="D6508" t="s">
        <v>194</v>
      </c>
      <c r="E6508">
        <v>2677</v>
      </c>
      <c r="F6508" s="3">
        <v>2.8E-3</v>
      </c>
      <c r="G6508" s="3">
        <v>9.0399999999999994E-2</v>
      </c>
      <c r="H6508" s="3">
        <v>0.67490000000000006</v>
      </c>
      <c r="J6508" s="3">
        <v>0.2319</v>
      </c>
    </row>
    <row r="6509" spans="1:10">
      <c r="A6509" t="s">
        <v>199</v>
      </c>
      <c r="B6509" t="s">
        <v>202</v>
      </c>
      <c r="C6509">
        <v>538</v>
      </c>
      <c r="D6509" t="s">
        <v>194</v>
      </c>
      <c r="E6509">
        <v>2677</v>
      </c>
      <c r="F6509" s="3">
        <v>8.0000000000000004E-4</v>
      </c>
      <c r="G6509" s="3">
        <v>5.6099999999999997E-2</v>
      </c>
      <c r="H6509" s="3">
        <v>0.63849999999999996</v>
      </c>
      <c r="I6509" s="3">
        <v>9.1999999999999998E-3</v>
      </c>
      <c r="J6509" s="3">
        <v>0.2954</v>
      </c>
    </row>
    <row r="6510" spans="1:10">
      <c r="A6510" t="s">
        <v>199</v>
      </c>
      <c r="B6510" t="s">
        <v>204</v>
      </c>
      <c r="C6510">
        <v>426</v>
      </c>
      <c r="D6510" t="s">
        <v>194</v>
      </c>
      <c r="E6510">
        <v>2677</v>
      </c>
      <c r="G6510" s="3">
        <v>7.9100000000000004E-2</v>
      </c>
      <c r="H6510" s="3">
        <v>0.55400000000000005</v>
      </c>
      <c r="I6510" s="3">
        <v>1.1000000000000001E-3</v>
      </c>
      <c r="J6510" s="3">
        <v>0.36580000000000001</v>
      </c>
    </row>
    <row r="6511" spans="1:10">
      <c r="A6511" t="s">
        <v>199</v>
      </c>
      <c r="B6511" t="s">
        <v>205</v>
      </c>
      <c r="C6511">
        <v>506</v>
      </c>
      <c r="D6511" t="s">
        <v>194</v>
      </c>
      <c r="E6511">
        <v>2677</v>
      </c>
      <c r="F6511" s="3">
        <v>8.9999999999999998E-4</v>
      </c>
      <c r="G6511" s="3">
        <v>5.8799999999999998E-2</v>
      </c>
      <c r="H6511" s="3">
        <v>0.6925</v>
      </c>
      <c r="I6511" s="3">
        <v>8.0000000000000004E-4</v>
      </c>
      <c r="J6511" s="3">
        <v>0.24690000000000001</v>
      </c>
    </row>
    <row r="6512" spans="1:10">
      <c r="A6512" t="s">
        <v>200</v>
      </c>
      <c r="B6512" t="s">
        <v>200</v>
      </c>
      <c r="C6512">
        <v>2677</v>
      </c>
      <c r="D6512" t="s">
        <v>200</v>
      </c>
      <c r="E6512">
        <v>2677</v>
      </c>
      <c r="F6512" s="3">
        <v>3.3999999999999998E-3</v>
      </c>
      <c r="G6512" s="3">
        <v>8.3699999999999997E-2</v>
      </c>
      <c r="H6512" s="3">
        <v>0.64119999999999999</v>
      </c>
      <c r="I6512" s="3">
        <v>5.8999999999999999E-3</v>
      </c>
      <c r="J6512" s="3">
        <v>0.26590000000000003</v>
      </c>
    </row>
    <row r="6514" spans="1:10" ht="45">
      <c r="A6514" s="22" t="s">
        <v>1454</v>
      </c>
    </row>
    <row r="6515" spans="1:10">
      <c r="A6515" t="s">
        <v>185</v>
      </c>
      <c r="B6515" t="s">
        <v>186</v>
      </c>
      <c r="C6515" t="s">
        <v>192</v>
      </c>
      <c r="D6515" t="s">
        <v>184</v>
      </c>
      <c r="E6515" t="s">
        <v>193</v>
      </c>
      <c r="F6515" t="s">
        <v>257</v>
      </c>
      <c r="G6515" t="s">
        <v>1451</v>
      </c>
      <c r="H6515" t="s">
        <v>1452</v>
      </c>
      <c r="I6515" t="s">
        <v>247</v>
      </c>
      <c r="J6515" t="s">
        <v>227</v>
      </c>
    </row>
    <row r="6516" spans="1:10">
      <c r="A6516" t="s">
        <v>195</v>
      </c>
      <c r="B6516" t="s">
        <v>207</v>
      </c>
      <c r="C6516">
        <v>322</v>
      </c>
      <c r="D6516" t="s">
        <v>194</v>
      </c>
      <c r="E6516">
        <v>2677</v>
      </c>
      <c r="F6516" s="3">
        <v>2.8E-3</v>
      </c>
      <c r="G6516" s="3">
        <v>0.15859999999999999</v>
      </c>
      <c r="H6516" s="3">
        <v>0.53269999999999995</v>
      </c>
      <c r="I6516" s="3">
        <v>2.12E-2</v>
      </c>
      <c r="J6516" s="3">
        <v>0.28460000000000002</v>
      </c>
    </row>
    <row r="6517" spans="1:10">
      <c r="A6517" t="s">
        <v>195</v>
      </c>
      <c r="B6517" t="s">
        <v>209</v>
      </c>
      <c r="C6517">
        <v>867</v>
      </c>
      <c r="D6517" t="s">
        <v>194</v>
      </c>
      <c r="E6517">
        <v>2677</v>
      </c>
      <c r="F6517" s="3">
        <v>8.0999999999999996E-3</v>
      </c>
      <c r="G6517" s="3">
        <v>9.5799999999999996E-2</v>
      </c>
      <c r="H6517" s="3">
        <v>0.69620000000000004</v>
      </c>
      <c r="J6517" s="3">
        <v>0.19989999999999999</v>
      </c>
    </row>
    <row r="6518" spans="1:10">
      <c r="A6518" t="s">
        <v>199</v>
      </c>
      <c r="B6518" t="s">
        <v>207</v>
      </c>
      <c r="C6518">
        <v>283</v>
      </c>
      <c r="D6518" t="s">
        <v>194</v>
      </c>
      <c r="E6518">
        <v>2677</v>
      </c>
      <c r="G6518" s="3">
        <v>0.20019999999999999</v>
      </c>
      <c r="H6518" s="3">
        <v>0.53620000000000001</v>
      </c>
      <c r="I6518" s="3">
        <v>4.3E-3</v>
      </c>
      <c r="J6518" s="3">
        <v>0.25929999999999997</v>
      </c>
    </row>
    <row r="6519" spans="1:10">
      <c r="A6519" t="s">
        <v>199</v>
      </c>
      <c r="B6519" t="s">
        <v>209</v>
      </c>
      <c r="C6519">
        <v>1205</v>
      </c>
      <c r="D6519" t="s">
        <v>194</v>
      </c>
      <c r="E6519">
        <v>2677</v>
      </c>
      <c r="F6519" s="3">
        <v>8.0000000000000004E-4</v>
      </c>
      <c r="G6519" s="3">
        <v>4.19E-2</v>
      </c>
      <c r="H6519" s="3">
        <v>0.64390000000000003</v>
      </c>
      <c r="I6519" s="3">
        <v>6.4999999999999997E-3</v>
      </c>
      <c r="J6519" s="3">
        <v>0.307</v>
      </c>
    </row>
    <row r="6520" spans="1:10">
      <c r="A6520" t="s">
        <v>200</v>
      </c>
      <c r="B6520" t="s">
        <v>200</v>
      </c>
      <c r="C6520">
        <v>2677</v>
      </c>
      <c r="D6520" t="s">
        <v>200</v>
      </c>
      <c r="E6520">
        <v>2677</v>
      </c>
      <c r="F6520" s="3">
        <v>3.3999999999999998E-3</v>
      </c>
      <c r="G6520" s="3">
        <v>8.3699999999999997E-2</v>
      </c>
      <c r="H6520" s="3">
        <v>0.64119999999999999</v>
      </c>
      <c r="I6520" s="3">
        <v>5.8999999999999999E-3</v>
      </c>
      <c r="J6520" s="3">
        <v>0.26590000000000003</v>
      </c>
    </row>
    <row r="6522" spans="1:10" ht="45">
      <c r="A6522" s="22" t="s">
        <v>1455</v>
      </c>
    </row>
    <row r="6523" spans="1:10">
      <c r="A6523" t="s">
        <v>185</v>
      </c>
      <c r="B6523" t="s">
        <v>192</v>
      </c>
      <c r="C6523" t="s">
        <v>184</v>
      </c>
      <c r="D6523" t="s">
        <v>193</v>
      </c>
      <c r="E6523" t="s">
        <v>257</v>
      </c>
      <c r="F6523" t="s">
        <v>1451</v>
      </c>
      <c r="G6523" t="s">
        <v>1452</v>
      </c>
      <c r="H6523" t="s">
        <v>247</v>
      </c>
      <c r="I6523" t="s">
        <v>227</v>
      </c>
    </row>
    <row r="6524" spans="1:10">
      <c r="A6524" t="s">
        <v>195</v>
      </c>
      <c r="B6524">
        <v>1189</v>
      </c>
      <c r="C6524" t="s">
        <v>194</v>
      </c>
      <c r="D6524">
        <v>2677</v>
      </c>
      <c r="E6524" s="3">
        <v>6.7999999999999996E-3</v>
      </c>
      <c r="F6524" s="3">
        <v>0.112</v>
      </c>
      <c r="G6524" s="3">
        <v>0.6542</v>
      </c>
      <c r="H6524" s="3">
        <v>5.4999999999999997E-3</v>
      </c>
      <c r="I6524" s="3">
        <v>0.22159999999999999</v>
      </c>
    </row>
    <row r="6525" spans="1:10">
      <c r="A6525" t="s">
        <v>199</v>
      </c>
      <c r="B6525">
        <v>1488</v>
      </c>
      <c r="C6525" t="s">
        <v>194</v>
      </c>
      <c r="D6525">
        <v>2677</v>
      </c>
      <c r="E6525" s="3">
        <v>6.9999999999999999E-4</v>
      </c>
      <c r="F6525" s="3">
        <v>6.1199999999999997E-2</v>
      </c>
      <c r="G6525" s="3">
        <v>0.63080000000000003</v>
      </c>
      <c r="H6525" s="3">
        <v>6.1999999999999998E-3</v>
      </c>
      <c r="I6525" s="3">
        <v>0.30120000000000002</v>
      </c>
    </row>
    <row r="6526" spans="1:10">
      <c r="A6526" t="s">
        <v>200</v>
      </c>
      <c r="B6526">
        <v>2677</v>
      </c>
      <c r="C6526" t="s">
        <v>200</v>
      </c>
      <c r="D6526">
        <v>2677</v>
      </c>
      <c r="E6526" s="3">
        <v>3.3999999999999998E-3</v>
      </c>
      <c r="F6526" s="3">
        <v>8.3699999999999997E-2</v>
      </c>
      <c r="G6526" s="3">
        <v>0.64119999999999999</v>
      </c>
      <c r="H6526" s="3">
        <v>5.8999999999999999E-3</v>
      </c>
      <c r="I6526" s="3">
        <v>0.26590000000000003</v>
      </c>
    </row>
    <row r="6528" spans="1:10" ht="45">
      <c r="A6528" s="22" t="s">
        <v>1456</v>
      </c>
    </row>
    <row r="6529" spans="1:10">
      <c r="A6529" t="s">
        <v>185</v>
      </c>
      <c r="B6529" t="s">
        <v>186</v>
      </c>
      <c r="C6529" t="s">
        <v>192</v>
      </c>
      <c r="D6529" t="s">
        <v>184</v>
      </c>
      <c r="E6529" t="s">
        <v>193</v>
      </c>
      <c r="F6529" t="s">
        <v>257</v>
      </c>
      <c r="G6529" t="s">
        <v>1451</v>
      </c>
      <c r="H6529" t="s">
        <v>1452</v>
      </c>
      <c r="I6529" t="s">
        <v>247</v>
      </c>
      <c r="J6529" t="s">
        <v>227</v>
      </c>
    </row>
    <row r="6530" spans="1:10">
      <c r="A6530" t="s">
        <v>195</v>
      </c>
      <c r="B6530" t="s">
        <v>212</v>
      </c>
      <c r="C6530">
        <v>873</v>
      </c>
      <c r="D6530" t="s">
        <v>194</v>
      </c>
      <c r="E6530">
        <v>2677</v>
      </c>
      <c r="F6530" s="3">
        <v>4.4000000000000003E-3</v>
      </c>
      <c r="G6530" s="3">
        <v>0.1124</v>
      </c>
      <c r="H6530" s="3">
        <v>0.65269999999999995</v>
      </c>
      <c r="J6530" s="3">
        <v>0.23050000000000001</v>
      </c>
    </row>
    <row r="6531" spans="1:10">
      <c r="A6531" t="s">
        <v>195</v>
      </c>
      <c r="B6531" t="s">
        <v>214</v>
      </c>
      <c r="C6531">
        <v>181</v>
      </c>
      <c r="D6531" t="s">
        <v>194</v>
      </c>
      <c r="E6531">
        <v>2677</v>
      </c>
      <c r="F6531" s="3">
        <v>2.1100000000000001E-2</v>
      </c>
      <c r="G6531" s="3">
        <v>9.1800000000000007E-2</v>
      </c>
      <c r="H6531" s="3">
        <v>0.68640000000000001</v>
      </c>
      <c r="I6531" s="3">
        <v>3.3000000000000002E-2</v>
      </c>
      <c r="J6531" s="3">
        <v>0.1676</v>
      </c>
    </row>
    <row r="6532" spans="1:10">
      <c r="A6532" t="s">
        <v>195</v>
      </c>
      <c r="B6532" t="s">
        <v>215</v>
      </c>
      <c r="C6532">
        <v>135</v>
      </c>
      <c r="D6532" t="s">
        <v>194</v>
      </c>
      <c r="E6532">
        <v>2677</v>
      </c>
      <c r="G6532" s="3">
        <v>0.14799999999999999</v>
      </c>
      <c r="H6532" s="3">
        <v>0.60329999999999995</v>
      </c>
      <c r="J6532" s="3">
        <v>0.2487</v>
      </c>
    </row>
    <row r="6533" spans="1:10">
      <c r="A6533" t="s">
        <v>199</v>
      </c>
      <c r="B6533" t="s">
        <v>212</v>
      </c>
      <c r="C6533">
        <v>1118</v>
      </c>
      <c r="D6533" t="s">
        <v>194</v>
      </c>
      <c r="E6533">
        <v>2677</v>
      </c>
      <c r="F6533" s="3">
        <v>6.9999999999999999E-4</v>
      </c>
      <c r="G6533" s="3">
        <v>5.8099999999999999E-2</v>
      </c>
      <c r="H6533" s="3">
        <v>0.66069999999999995</v>
      </c>
      <c r="I6533" s="3">
        <v>1.6999999999999999E-3</v>
      </c>
      <c r="J6533" s="3">
        <v>0.27889999999999998</v>
      </c>
    </row>
    <row r="6534" spans="1:10">
      <c r="A6534" t="s">
        <v>199</v>
      </c>
      <c r="B6534" t="s">
        <v>214</v>
      </c>
      <c r="C6534">
        <v>197</v>
      </c>
      <c r="D6534" t="s">
        <v>194</v>
      </c>
      <c r="E6534">
        <v>2677</v>
      </c>
      <c r="F6534" s="3">
        <v>8.9999999999999998E-4</v>
      </c>
      <c r="G6534" s="3">
        <v>6.7500000000000004E-2</v>
      </c>
      <c r="H6534" s="3">
        <v>0.53129999999999999</v>
      </c>
      <c r="I6534" s="3">
        <v>3.2300000000000002E-2</v>
      </c>
      <c r="J6534" s="3">
        <v>0.3679</v>
      </c>
    </row>
    <row r="6535" spans="1:10">
      <c r="A6535" t="s">
        <v>199</v>
      </c>
      <c r="B6535" t="s">
        <v>215</v>
      </c>
      <c r="C6535">
        <v>173</v>
      </c>
      <c r="D6535" t="s">
        <v>194</v>
      </c>
      <c r="E6535">
        <v>2677</v>
      </c>
      <c r="G6535" s="3">
        <v>7.8100000000000003E-2</v>
      </c>
      <c r="H6535" s="3">
        <v>0.53810000000000002</v>
      </c>
      <c r="J6535" s="3">
        <v>0.38379999999999997</v>
      </c>
    </row>
    <row r="6536" spans="1:10">
      <c r="A6536" t="s">
        <v>200</v>
      </c>
      <c r="B6536" t="s">
        <v>200</v>
      </c>
      <c r="C6536">
        <v>2677</v>
      </c>
      <c r="D6536" t="s">
        <v>200</v>
      </c>
      <c r="E6536">
        <v>2677</v>
      </c>
      <c r="F6536" s="3">
        <v>3.3999999999999998E-3</v>
      </c>
      <c r="G6536" s="3">
        <v>8.3699999999999997E-2</v>
      </c>
      <c r="H6536" s="3">
        <v>0.64119999999999999</v>
      </c>
      <c r="I6536" s="3">
        <v>5.8999999999999999E-3</v>
      </c>
      <c r="J6536" s="3">
        <v>0.26590000000000003</v>
      </c>
    </row>
    <row r="6538" spans="1:10" ht="45">
      <c r="A6538" s="22" t="s">
        <v>1457</v>
      </c>
    </row>
    <row r="6539" spans="1:10">
      <c r="A6539" t="s">
        <v>185</v>
      </c>
      <c r="B6539" t="s">
        <v>186</v>
      </c>
      <c r="C6539" t="s">
        <v>192</v>
      </c>
      <c r="D6539" t="s">
        <v>184</v>
      </c>
      <c r="E6539" t="s">
        <v>193</v>
      </c>
      <c r="F6539" t="s">
        <v>257</v>
      </c>
      <c r="G6539" t="s">
        <v>1451</v>
      </c>
      <c r="H6539" t="s">
        <v>1452</v>
      </c>
      <c r="I6539" t="s">
        <v>247</v>
      </c>
      <c r="J6539" t="s">
        <v>227</v>
      </c>
    </row>
    <row r="6540" spans="1:10">
      <c r="A6540" t="s">
        <v>195</v>
      </c>
      <c r="B6540" t="s">
        <v>217</v>
      </c>
      <c r="C6540">
        <v>499</v>
      </c>
      <c r="D6540" t="s">
        <v>194</v>
      </c>
      <c r="E6540">
        <v>2677</v>
      </c>
      <c r="F6540" s="3">
        <v>1.2999999999999999E-3</v>
      </c>
      <c r="G6540" s="3">
        <v>0.1173</v>
      </c>
      <c r="H6540" s="3">
        <v>0.64500000000000002</v>
      </c>
      <c r="J6540" s="3">
        <v>0.2364</v>
      </c>
    </row>
    <row r="6541" spans="1:10">
      <c r="A6541" t="s">
        <v>195</v>
      </c>
      <c r="B6541" t="s">
        <v>219</v>
      </c>
      <c r="C6541">
        <v>507</v>
      </c>
      <c r="D6541" t="s">
        <v>194</v>
      </c>
      <c r="E6541">
        <v>2677</v>
      </c>
      <c r="F6541" s="3">
        <v>1.4999999999999999E-2</v>
      </c>
      <c r="G6541" s="3">
        <v>0.13109999999999999</v>
      </c>
      <c r="H6541" s="3">
        <v>0.65</v>
      </c>
      <c r="I6541" s="3">
        <v>5.9999999999999995E-4</v>
      </c>
      <c r="J6541" s="3">
        <v>0.2034</v>
      </c>
    </row>
    <row r="6542" spans="1:10">
      <c r="A6542" t="s">
        <v>195</v>
      </c>
      <c r="B6542" t="s">
        <v>220</v>
      </c>
      <c r="C6542">
        <v>182</v>
      </c>
      <c r="D6542" t="s">
        <v>194</v>
      </c>
      <c r="E6542">
        <v>2677</v>
      </c>
      <c r="F6542" s="3">
        <v>1.9E-3</v>
      </c>
      <c r="G6542" s="3">
        <v>6.0299999999999999E-2</v>
      </c>
      <c r="H6542" s="3">
        <v>0.68320000000000003</v>
      </c>
      <c r="I6542" s="3">
        <v>2.7799999999999998E-2</v>
      </c>
      <c r="J6542" s="3">
        <v>0.2268</v>
      </c>
    </row>
    <row r="6543" spans="1:10">
      <c r="A6543" t="s">
        <v>199</v>
      </c>
      <c r="B6543" t="s">
        <v>217</v>
      </c>
      <c r="C6543">
        <v>814</v>
      </c>
      <c r="D6543" t="s">
        <v>194</v>
      </c>
      <c r="E6543">
        <v>2677</v>
      </c>
      <c r="F6543" s="3">
        <v>8.9999999999999998E-4</v>
      </c>
      <c r="G6543" s="3">
        <v>5.3400000000000003E-2</v>
      </c>
      <c r="H6543" s="3">
        <v>0.65059999999999996</v>
      </c>
      <c r="I6543" s="3">
        <v>2.9999999999999997E-4</v>
      </c>
      <c r="J6543" s="3">
        <v>0.29480000000000001</v>
      </c>
    </row>
    <row r="6544" spans="1:10">
      <c r="A6544" t="s">
        <v>199</v>
      </c>
      <c r="B6544" t="s">
        <v>219</v>
      </c>
      <c r="C6544">
        <v>451</v>
      </c>
      <c r="D6544" t="s">
        <v>194</v>
      </c>
      <c r="E6544">
        <v>2677</v>
      </c>
      <c r="F6544" s="3">
        <v>5.9999999999999995E-4</v>
      </c>
      <c r="G6544" s="3">
        <v>9.4899999999999998E-2</v>
      </c>
      <c r="H6544" s="3">
        <v>0.55149999999999999</v>
      </c>
      <c r="I6544" s="3">
        <v>2.2499999999999999E-2</v>
      </c>
      <c r="J6544" s="3">
        <v>0.33050000000000002</v>
      </c>
    </row>
    <row r="6545" spans="1:10">
      <c r="A6545" t="s">
        <v>199</v>
      </c>
      <c r="B6545" t="s">
        <v>220</v>
      </c>
      <c r="C6545">
        <v>223</v>
      </c>
      <c r="D6545" t="s">
        <v>194</v>
      </c>
      <c r="E6545">
        <v>2677</v>
      </c>
      <c r="G6545" s="3">
        <v>3.7699999999999997E-2</v>
      </c>
      <c r="H6545" s="3">
        <v>0.68010000000000004</v>
      </c>
      <c r="I6545" s="3">
        <v>2.8999999999999998E-3</v>
      </c>
      <c r="J6545" s="3">
        <v>0.27929999999999999</v>
      </c>
    </row>
    <row r="6546" spans="1:10">
      <c r="A6546" t="s">
        <v>200</v>
      </c>
      <c r="B6546" t="s">
        <v>200</v>
      </c>
      <c r="C6546">
        <v>2677</v>
      </c>
      <c r="D6546" t="s">
        <v>200</v>
      </c>
      <c r="E6546">
        <v>2677</v>
      </c>
      <c r="F6546" s="3">
        <v>3.3999999999999998E-3</v>
      </c>
      <c r="G6546" s="3">
        <v>8.3699999999999997E-2</v>
      </c>
      <c r="H6546" s="3">
        <v>0.64119999999999999</v>
      </c>
      <c r="I6546" s="3">
        <v>5.8999999999999999E-3</v>
      </c>
      <c r="J6546" s="3">
        <v>0.26590000000000003</v>
      </c>
    </row>
    <row r="6548" spans="1:10" ht="45">
      <c r="A6548" s="22" t="s">
        <v>1458</v>
      </c>
    </row>
    <row r="6549" spans="1:10">
      <c r="A6549" t="s">
        <v>184</v>
      </c>
      <c r="B6549" t="s">
        <v>185</v>
      </c>
      <c r="C6549" t="s">
        <v>186</v>
      </c>
      <c r="D6549" t="s">
        <v>187</v>
      </c>
      <c r="E6549" t="s">
        <v>188</v>
      </c>
      <c r="F6549" t="s">
        <v>189</v>
      </c>
      <c r="G6549" t="s">
        <v>190</v>
      </c>
      <c r="H6549" t="s">
        <v>191</v>
      </c>
      <c r="I6549" t="s">
        <v>192</v>
      </c>
      <c r="J6549" t="s">
        <v>193</v>
      </c>
    </row>
    <row r="6550" spans="1:10">
      <c r="A6550" t="s">
        <v>194</v>
      </c>
      <c r="B6550" t="s">
        <v>195</v>
      </c>
      <c r="C6550" t="s">
        <v>196</v>
      </c>
      <c r="D6550" t="s">
        <v>197</v>
      </c>
      <c r="E6550">
        <v>0.22956739530602679</v>
      </c>
      <c r="F6550">
        <v>0</v>
      </c>
      <c r="G6550">
        <v>0</v>
      </c>
      <c r="H6550">
        <v>14</v>
      </c>
      <c r="I6550">
        <v>370</v>
      </c>
      <c r="J6550">
        <v>2437</v>
      </c>
    </row>
    <row r="6551" spans="1:10">
      <c r="A6551" t="s">
        <v>194</v>
      </c>
      <c r="B6551" t="s">
        <v>195</v>
      </c>
      <c r="C6551" t="s">
        <v>198</v>
      </c>
      <c r="D6551" t="s">
        <v>197</v>
      </c>
      <c r="E6551">
        <v>0.20822119403508579</v>
      </c>
      <c r="F6551">
        <v>0</v>
      </c>
      <c r="G6551">
        <v>0</v>
      </c>
      <c r="H6551">
        <v>15</v>
      </c>
      <c r="I6551">
        <v>683</v>
      </c>
      <c r="J6551">
        <v>2437</v>
      </c>
    </row>
    <row r="6552" spans="1:10">
      <c r="A6552" t="s">
        <v>194</v>
      </c>
      <c r="B6552" t="s">
        <v>199</v>
      </c>
      <c r="C6552" t="s">
        <v>196</v>
      </c>
      <c r="D6552" t="s">
        <v>197</v>
      </c>
      <c r="E6552">
        <v>0.11178645048787279</v>
      </c>
      <c r="F6552">
        <v>0</v>
      </c>
      <c r="G6552">
        <v>0</v>
      </c>
      <c r="H6552">
        <v>25</v>
      </c>
      <c r="I6552">
        <v>487</v>
      </c>
      <c r="J6552">
        <v>2437</v>
      </c>
    </row>
    <row r="6553" spans="1:10">
      <c r="A6553" t="s">
        <v>194</v>
      </c>
      <c r="B6553" t="s">
        <v>199</v>
      </c>
      <c r="C6553" t="s">
        <v>198</v>
      </c>
      <c r="D6553" t="s">
        <v>197</v>
      </c>
      <c r="E6553">
        <v>0.1205711143086893</v>
      </c>
      <c r="F6553">
        <v>0</v>
      </c>
      <c r="G6553">
        <v>0</v>
      </c>
      <c r="H6553">
        <v>30</v>
      </c>
      <c r="I6553">
        <v>864</v>
      </c>
      <c r="J6553">
        <v>2437</v>
      </c>
    </row>
    <row r="6554" spans="1:10">
      <c r="A6554" t="s">
        <v>200</v>
      </c>
      <c r="B6554" t="s">
        <v>200</v>
      </c>
      <c r="C6554" t="s">
        <v>200</v>
      </c>
      <c r="D6554" t="s">
        <v>200</v>
      </c>
      <c r="E6554">
        <v>0.15957611132493951</v>
      </c>
      <c r="F6554">
        <v>0</v>
      </c>
      <c r="G6554">
        <v>0</v>
      </c>
      <c r="H6554">
        <v>30</v>
      </c>
      <c r="I6554">
        <v>2437</v>
      </c>
      <c r="J6554">
        <v>2437</v>
      </c>
    </row>
    <row r="6556" spans="1:10" ht="45">
      <c r="A6556" s="22" t="s">
        <v>1459</v>
      </c>
    </row>
    <row r="6557" spans="1:10">
      <c r="A6557" t="s">
        <v>184</v>
      </c>
      <c r="B6557" t="s">
        <v>185</v>
      </c>
      <c r="C6557" t="s">
        <v>186</v>
      </c>
      <c r="D6557" t="s">
        <v>187</v>
      </c>
      <c r="E6557" t="s">
        <v>188</v>
      </c>
      <c r="F6557" t="s">
        <v>189</v>
      </c>
      <c r="G6557" t="s">
        <v>190</v>
      </c>
      <c r="H6557" t="s">
        <v>191</v>
      </c>
      <c r="I6557" t="s">
        <v>192</v>
      </c>
      <c r="J6557" t="s">
        <v>193</v>
      </c>
    </row>
    <row r="6558" spans="1:10">
      <c r="A6558" t="s">
        <v>194</v>
      </c>
      <c r="B6558" t="s">
        <v>195</v>
      </c>
      <c r="C6558" t="s">
        <v>202</v>
      </c>
      <c r="D6558" t="s">
        <v>203</v>
      </c>
      <c r="E6558">
        <v>0.25111548920995641</v>
      </c>
      <c r="F6558">
        <v>0</v>
      </c>
      <c r="G6558">
        <v>0</v>
      </c>
      <c r="H6558">
        <v>15</v>
      </c>
      <c r="I6558">
        <v>496</v>
      </c>
      <c r="J6558">
        <v>2437</v>
      </c>
    </row>
    <row r="6559" spans="1:10">
      <c r="A6559" t="s">
        <v>194</v>
      </c>
      <c r="B6559" t="s">
        <v>195</v>
      </c>
      <c r="C6559" t="s">
        <v>204</v>
      </c>
      <c r="D6559" t="s">
        <v>203</v>
      </c>
      <c r="E6559">
        <v>0.13373214803316741</v>
      </c>
      <c r="F6559">
        <v>0</v>
      </c>
      <c r="G6559">
        <v>0</v>
      </c>
      <c r="H6559">
        <v>14</v>
      </c>
      <c r="I6559">
        <v>282</v>
      </c>
      <c r="J6559">
        <v>2437</v>
      </c>
    </row>
    <row r="6560" spans="1:10">
      <c r="A6560" t="s">
        <v>194</v>
      </c>
      <c r="B6560" t="s">
        <v>195</v>
      </c>
      <c r="C6560" t="s">
        <v>205</v>
      </c>
      <c r="D6560" t="s">
        <v>203</v>
      </c>
      <c r="E6560">
        <v>0.16345189986155981</v>
      </c>
      <c r="F6560">
        <v>0</v>
      </c>
      <c r="G6560">
        <v>0</v>
      </c>
      <c r="H6560">
        <v>14</v>
      </c>
      <c r="I6560">
        <v>275</v>
      </c>
      <c r="J6560">
        <v>2437</v>
      </c>
    </row>
    <row r="6561" spans="1:10">
      <c r="A6561" t="s">
        <v>194</v>
      </c>
      <c r="B6561" t="s">
        <v>199</v>
      </c>
      <c r="C6561" t="s">
        <v>202</v>
      </c>
      <c r="D6561" t="s">
        <v>203</v>
      </c>
      <c r="E6561">
        <v>0.14010846308030089</v>
      </c>
      <c r="F6561">
        <v>0</v>
      </c>
      <c r="G6561">
        <v>0</v>
      </c>
      <c r="H6561">
        <v>20</v>
      </c>
      <c r="I6561">
        <v>525</v>
      </c>
      <c r="J6561">
        <v>2437</v>
      </c>
    </row>
    <row r="6562" spans="1:10">
      <c r="A6562" t="s">
        <v>194</v>
      </c>
      <c r="B6562" t="s">
        <v>199</v>
      </c>
      <c r="C6562" t="s">
        <v>204</v>
      </c>
      <c r="D6562" t="s">
        <v>203</v>
      </c>
      <c r="E6562">
        <v>6.1718549974021708E-2</v>
      </c>
      <c r="F6562">
        <v>0</v>
      </c>
      <c r="G6562">
        <v>0</v>
      </c>
      <c r="H6562">
        <v>25</v>
      </c>
      <c r="I6562">
        <v>396</v>
      </c>
      <c r="J6562">
        <v>2437</v>
      </c>
    </row>
    <row r="6563" spans="1:10">
      <c r="A6563" t="s">
        <v>194</v>
      </c>
      <c r="B6563" t="s">
        <v>199</v>
      </c>
      <c r="C6563" t="s">
        <v>205</v>
      </c>
      <c r="D6563" t="s">
        <v>203</v>
      </c>
      <c r="E6563">
        <v>0.1028284967596954</v>
      </c>
      <c r="F6563">
        <v>0</v>
      </c>
      <c r="G6563">
        <v>0</v>
      </c>
      <c r="H6563">
        <v>30</v>
      </c>
      <c r="I6563">
        <v>430</v>
      </c>
      <c r="J6563">
        <v>2437</v>
      </c>
    </row>
    <row r="6564" spans="1:10">
      <c r="A6564" t="s">
        <v>200</v>
      </c>
      <c r="B6564" t="s">
        <v>200</v>
      </c>
      <c r="C6564" t="s">
        <v>200</v>
      </c>
      <c r="D6564" t="s">
        <v>200</v>
      </c>
      <c r="E6564">
        <v>0.15957611132493951</v>
      </c>
      <c r="F6564">
        <v>0</v>
      </c>
      <c r="G6564">
        <v>0</v>
      </c>
      <c r="H6564">
        <v>30</v>
      </c>
      <c r="I6564">
        <v>2437</v>
      </c>
      <c r="J6564">
        <v>2437</v>
      </c>
    </row>
    <row r="6566" spans="1:10" ht="45">
      <c r="A6566" s="22" t="s">
        <v>1460</v>
      </c>
    </row>
    <row r="6567" spans="1:10">
      <c r="A6567" t="s">
        <v>184</v>
      </c>
      <c r="B6567" t="s">
        <v>185</v>
      </c>
      <c r="C6567" t="s">
        <v>186</v>
      </c>
      <c r="D6567" t="s">
        <v>187</v>
      </c>
      <c r="E6567" t="s">
        <v>188</v>
      </c>
      <c r="F6567" t="s">
        <v>189</v>
      </c>
      <c r="G6567" t="s">
        <v>190</v>
      </c>
      <c r="H6567" t="s">
        <v>191</v>
      </c>
      <c r="I6567" t="s">
        <v>192</v>
      </c>
      <c r="J6567" t="s">
        <v>193</v>
      </c>
    </row>
    <row r="6568" spans="1:10">
      <c r="A6568" t="s">
        <v>194</v>
      </c>
      <c r="B6568" t="s">
        <v>195</v>
      </c>
      <c r="C6568" t="s">
        <v>207</v>
      </c>
      <c r="D6568" t="s">
        <v>208</v>
      </c>
      <c r="E6568">
        <v>0.1005616547676528</v>
      </c>
      <c r="F6568">
        <v>0</v>
      </c>
      <c r="G6568">
        <v>0</v>
      </c>
      <c r="H6568">
        <v>14</v>
      </c>
      <c r="I6568">
        <v>286</v>
      </c>
      <c r="J6568">
        <v>2437</v>
      </c>
    </row>
    <row r="6569" spans="1:10">
      <c r="A6569" t="s">
        <v>194</v>
      </c>
      <c r="B6569" t="s">
        <v>195</v>
      </c>
      <c r="C6569" t="s">
        <v>209</v>
      </c>
      <c r="D6569" t="s">
        <v>208</v>
      </c>
      <c r="E6569">
        <v>0.25034259632669181</v>
      </c>
      <c r="F6569">
        <v>0</v>
      </c>
      <c r="G6569">
        <v>0</v>
      </c>
      <c r="H6569">
        <v>15</v>
      </c>
      <c r="I6569">
        <v>785</v>
      </c>
      <c r="J6569">
        <v>2437</v>
      </c>
    </row>
    <row r="6570" spans="1:10">
      <c r="A6570" t="s">
        <v>194</v>
      </c>
      <c r="B6570" t="s">
        <v>199</v>
      </c>
      <c r="C6570" t="s">
        <v>207</v>
      </c>
      <c r="D6570" t="s">
        <v>208</v>
      </c>
      <c r="E6570">
        <v>0.55169096242668281</v>
      </c>
      <c r="F6570">
        <v>0</v>
      </c>
      <c r="G6570">
        <v>0</v>
      </c>
      <c r="H6570">
        <v>28</v>
      </c>
      <c r="I6570">
        <v>251</v>
      </c>
      <c r="J6570">
        <v>2437</v>
      </c>
    </row>
    <row r="6571" spans="1:10">
      <c r="A6571" t="s">
        <v>194</v>
      </c>
      <c r="B6571" t="s">
        <v>199</v>
      </c>
      <c r="C6571" t="s">
        <v>209</v>
      </c>
      <c r="D6571" t="s">
        <v>208</v>
      </c>
      <c r="E6571">
        <v>5.9218637761695933E-2</v>
      </c>
      <c r="F6571">
        <v>0</v>
      </c>
      <c r="G6571">
        <v>0</v>
      </c>
      <c r="H6571">
        <v>30</v>
      </c>
      <c r="I6571">
        <v>1115</v>
      </c>
      <c r="J6571">
        <v>2437</v>
      </c>
    </row>
    <row r="6572" spans="1:10">
      <c r="A6572" t="s">
        <v>200</v>
      </c>
      <c r="B6572" t="s">
        <v>200</v>
      </c>
      <c r="C6572" t="s">
        <v>200</v>
      </c>
      <c r="D6572" t="s">
        <v>200</v>
      </c>
      <c r="E6572">
        <v>0.15957611132493951</v>
      </c>
      <c r="F6572">
        <v>0</v>
      </c>
      <c r="G6572">
        <v>0</v>
      </c>
      <c r="H6572">
        <v>30</v>
      </c>
      <c r="I6572">
        <v>2437</v>
      </c>
      <c r="J6572">
        <v>2437</v>
      </c>
    </row>
    <row r="6574" spans="1:10" ht="45">
      <c r="A6574" s="22" t="s">
        <v>1461</v>
      </c>
    </row>
    <row r="6575" spans="1:10">
      <c r="A6575" t="s">
        <v>184</v>
      </c>
      <c r="B6575" t="s">
        <v>185</v>
      </c>
      <c r="C6575" t="s">
        <v>188</v>
      </c>
      <c r="D6575" t="s">
        <v>189</v>
      </c>
      <c r="E6575" t="s">
        <v>190</v>
      </c>
      <c r="F6575" t="s">
        <v>191</v>
      </c>
      <c r="G6575" t="s">
        <v>192</v>
      </c>
      <c r="H6575" t="s">
        <v>193</v>
      </c>
    </row>
    <row r="6576" spans="1:10">
      <c r="A6576" t="s">
        <v>194</v>
      </c>
      <c r="B6576" t="s">
        <v>195</v>
      </c>
      <c r="C6576">
        <v>0.2128095582205427</v>
      </c>
      <c r="D6576">
        <v>0</v>
      </c>
      <c r="E6576">
        <v>0</v>
      </c>
      <c r="F6576">
        <v>15</v>
      </c>
      <c r="G6576">
        <v>1071</v>
      </c>
      <c r="H6576">
        <v>2437</v>
      </c>
    </row>
    <row r="6577" spans="1:10">
      <c r="A6577" t="s">
        <v>194</v>
      </c>
      <c r="B6577" t="s">
        <v>199</v>
      </c>
      <c r="C6577">
        <v>0.1190624676624332</v>
      </c>
      <c r="D6577">
        <v>0</v>
      </c>
      <c r="E6577">
        <v>0</v>
      </c>
      <c r="F6577">
        <v>30</v>
      </c>
      <c r="G6577">
        <v>1366</v>
      </c>
      <c r="H6577">
        <v>2437</v>
      </c>
    </row>
    <row r="6578" spans="1:10">
      <c r="A6578" t="s">
        <v>200</v>
      </c>
      <c r="B6578" t="s">
        <v>200</v>
      </c>
      <c r="C6578">
        <v>0.15957611132493951</v>
      </c>
      <c r="D6578">
        <v>0</v>
      </c>
      <c r="E6578">
        <v>0</v>
      </c>
      <c r="F6578">
        <v>30</v>
      </c>
      <c r="G6578">
        <v>2437</v>
      </c>
      <c r="H6578">
        <v>2437</v>
      </c>
    </row>
    <row r="6580" spans="1:10" ht="45">
      <c r="A6580" s="22" t="s">
        <v>1462</v>
      </c>
    </row>
    <row r="6581" spans="1:10">
      <c r="A6581" t="s">
        <v>184</v>
      </c>
      <c r="B6581" t="s">
        <v>185</v>
      </c>
      <c r="C6581" t="s">
        <v>186</v>
      </c>
      <c r="D6581" t="s">
        <v>187</v>
      </c>
      <c r="E6581" t="s">
        <v>188</v>
      </c>
      <c r="F6581" t="s">
        <v>189</v>
      </c>
      <c r="G6581" t="s">
        <v>190</v>
      </c>
      <c r="H6581" t="s">
        <v>191</v>
      </c>
      <c r="I6581" t="s">
        <v>192</v>
      </c>
      <c r="J6581" t="s">
        <v>193</v>
      </c>
    </row>
    <row r="6582" spans="1:10">
      <c r="A6582" t="s">
        <v>194</v>
      </c>
      <c r="B6582" t="s">
        <v>195</v>
      </c>
      <c r="C6582" t="s">
        <v>212</v>
      </c>
      <c r="D6582" t="s">
        <v>213</v>
      </c>
      <c r="E6582">
        <v>0.14532107866620461</v>
      </c>
      <c r="F6582">
        <v>0</v>
      </c>
      <c r="G6582">
        <v>0</v>
      </c>
      <c r="H6582">
        <v>15</v>
      </c>
      <c r="I6582">
        <v>788</v>
      </c>
      <c r="J6582">
        <v>2437</v>
      </c>
    </row>
    <row r="6583" spans="1:10">
      <c r="A6583" t="s">
        <v>194</v>
      </c>
      <c r="B6583" t="s">
        <v>195</v>
      </c>
      <c r="C6583" t="s">
        <v>214</v>
      </c>
      <c r="D6583" t="s">
        <v>213</v>
      </c>
      <c r="E6583">
        <v>0.47764486614824858</v>
      </c>
      <c r="F6583">
        <v>0</v>
      </c>
      <c r="G6583">
        <v>0</v>
      </c>
      <c r="H6583">
        <v>15</v>
      </c>
      <c r="I6583">
        <v>164</v>
      </c>
      <c r="J6583">
        <v>2437</v>
      </c>
    </row>
    <row r="6584" spans="1:10">
      <c r="A6584" t="s">
        <v>194</v>
      </c>
      <c r="B6584" t="s">
        <v>195</v>
      </c>
      <c r="C6584" t="s">
        <v>215</v>
      </c>
      <c r="D6584" t="s">
        <v>213</v>
      </c>
      <c r="E6584">
        <v>0.28049817702441487</v>
      </c>
      <c r="F6584">
        <v>0</v>
      </c>
      <c r="G6584">
        <v>0</v>
      </c>
      <c r="H6584">
        <v>14</v>
      </c>
      <c r="I6584">
        <v>119</v>
      </c>
      <c r="J6584">
        <v>2437</v>
      </c>
    </row>
    <row r="6585" spans="1:10">
      <c r="A6585" t="s">
        <v>194</v>
      </c>
      <c r="B6585" t="s">
        <v>199</v>
      </c>
      <c r="C6585" t="s">
        <v>212</v>
      </c>
      <c r="D6585" t="s">
        <v>213</v>
      </c>
      <c r="E6585">
        <v>0.1122300305593148</v>
      </c>
      <c r="F6585">
        <v>0</v>
      </c>
      <c r="G6585">
        <v>0</v>
      </c>
      <c r="H6585">
        <v>30</v>
      </c>
      <c r="I6585">
        <v>1028</v>
      </c>
      <c r="J6585">
        <v>2437</v>
      </c>
    </row>
    <row r="6586" spans="1:10">
      <c r="A6586" t="s">
        <v>194</v>
      </c>
      <c r="B6586" t="s">
        <v>199</v>
      </c>
      <c r="C6586" t="s">
        <v>214</v>
      </c>
      <c r="D6586" t="s">
        <v>213</v>
      </c>
      <c r="E6586">
        <v>0.13637366233890119</v>
      </c>
      <c r="F6586">
        <v>0</v>
      </c>
      <c r="G6586">
        <v>0</v>
      </c>
      <c r="H6586">
        <v>30</v>
      </c>
      <c r="I6586">
        <v>181</v>
      </c>
      <c r="J6586">
        <v>2437</v>
      </c>
    </row>
    <row r="6587" spans="1:10">
      <c r="A6587" t="s">
        <v>194</v>
      </c>
      <c r="B6587" t="s">
        <v>199</v>
      </c>
      <c r="C6587" t="s">
        <v>215</v>
      </c>
      <c r="D6587" t="s">
        <v>213</v>
      </c>
      <c r="E6587">
        <v>0.14976416992168801</v>
      </c>
      <c r="F6587">
        <v>0</v>
      </c>
      <c r="G6587">
        <v>0</v>
      </c>
      <c r="H6587">
        <v>14</v>
      </c>
      <c r="I6587">
        <v>157</v>
      </c>
      <c r="J6587">
        <v>2437</v>
      </c>
    </row>
    <row r="6588" spans="1:10">
      <c r="A6588" t="s">
        <v>200</v>
      </c>
      <c r="B6588" t="s">
        <v>200</v>
      </c>
      <c r="C6588" t="s">
        <v>200</v>
      </c>
      <c r="D6588" t="s">
        <v>200</v>
      </c>
      <c r="E6588">
        <v>0.15957611132493951</v>
      </c>
      <c r="F6588">
        <v>0</v>
      </c>
      <c r="G6588">
        <v>0</v>
      </c>
      <c r="H6588">
        <v>30</v>
      </c>
      <c r="I6588">
        <v>2437</v>
      </c>
      <c r="J6588">
        <v>2437</v>
      </c>
    </row>
    <row r="6590" spans="1:10" ht="45">
      <c r="A6590" s="22" t="s">
        <v>1463</v>
      </c>
    </row>
    <row r="6591" spans="1:10">
      <c r="A6591" t="s">
        <v>184</v>
      </c>
      <c r="B6591" t="s">
        <v>185</v>
      </c>
      <c r="C6591" t="s">
        <v>186</v>
      </c>
      <c r="D6591" t="s">
        <v>187</v>
      </c>
      <c r="E6591" t="s">
        <v>188</v>
      </c>
      <c r="F6591" t="s">
        <v>189</v>
      </c>
      <c r="G6591" t="s">
        <v>190</v>
      </c>
      <c r="H6591" t="s">
        <v>191</v>
      </c>
      <c r="I6591" t="s">
        <v>192</v>
      </c>
      <c r="J6591" t="s">
        <v>193</v>
      </c>
    </row>
    <row r="6592" spans="1:10">
      <c r="A6592" t="s">
        <v>194</v>
      </c>
      <c r="B6592" t="s">
        <v>195</v>
      </c>
      <c r="C6592" t="s">
        <v>217</v>
      </c>
      <c r="D6592" t="s">
        <v>218</v>
      </c>
      <c r="E6592">
        <v>0.22266357857571381</v>
      </c>
      <c r="F6592">
        <v>0</v>
      </c>
      <c r="G6592">
        <v>0</v>
      </c>
      <c r="H6592">
        <v>15</v>
      </c>
      <c r="I6592">
        <v>464</v>
      </c>
      <c r="J6592">
        <v>2437</v>
      </c>
    </row>
    <row r="6593" spans="1:23">
      <c r="A6593" t="s">
        <v>194</v>
      </c>
      <c r="B6593" t="s">
        <v>195</v>
      </c>
      <c r="C6593" t="s">
        <v>219</v>
      </c>
      <c r="D6593" t="s">
        <v>218</v>
      </c>
      <c r="E6593">
        <v>0.25495751669289202</v>
      </c>
      <c r="F6593">
        <v>0</v>
      </c>
      <c r="G6593">
        <v>0</v>
      </c>
      <c r="H6593">
        <v>15</v>
      </c>
      <c r="I6593">
        <v>441</v>
      </c>
      <c r="J6593">
        <v>2437</v>
      </c>
    </row>
    <row r="6594" spans="1:23">
      <c r="A6594" t="s">
        <v>194</v>
      </c>
      <c r="B6594" t="s">
        <v>195</v>
      </c>
      <c r="C6594" t="s">
        <v>220</v>
      </c>
      <c r="D6594" t="s">
        <v>218</v>
      </c>
      <c r="E6594">
        <v>0.106312086929963</v>
      </c>
      <c r="F6594">
        <v>0</v>
      </c>
      <c r="G6594">
        <v>0</v>
      </c>
      <c r="H6594">
        <v>7</v>
      </c>
      <c r="I6594">
        <v>165</v>
      </c>
      <c r="J6594">
        <v>2437</v>
      </c>
    </row>
    <row r="6595" spans="1:23">
      <c r="A6595" t="s">
        <v>194</v>
      </c>
      <c r="B6595" t="s">
        <v>199</v>
      </c>
      <c r="C6595" t="s">
        <v>217</v>
      </c>
      <c r="D6595" t="s">
        <v>218</v>
      </c>
      <c r="E6595">
        <v>0.13229887117723249</v>
      </c>
      <c r="F6595">
        <v>0</v>
      </c>
      <c r="G6595">
        <v>0</v>
      </c>
      <c r="H6595">
        <v>30</v>
      </c>
      <c r="I6595">
        <v>764</v>
      </c>
      <c r="J6595">
        <v>2437</v>
      </c>
    </row>
    <row r="6596" spans="1:23">
      <c r="A6596" t="s">
        <v>194</v>
      </c>
      <c r="B6596" t="s">
        <v>199</v>
      </c>
      <c r="C6596" t="s">
        <v>219</v>
      </c>
      <c r="D6596" t="s">
        <v>218</v>
      </c>
      <c r="E6596">
        <v>0.120143354460034</v>
      </c>
      <c r="F6596">
        <v>0</v>
      </c>
      <c r="G6596">
        <v>0</v>
      </c>
      <c r="H6596">
        <v>30</v>
      </c>
      <c r="I6596">
        <v>394</v>
      </c>
      <c r="J6596">
        <v>2437</v>
      </c>
    </row>
    <row r="6597" spans="1:23">
      <c r="A6597" t="s">
        <v>194</v>
      </c>
      <c r="B6597" t="s">
        <v>199</v>
      </c>
      <c r="C6597" t="s">
        <v>220</v>
      </c>
      <c r="D6597" t="s">
        <v>218</v>
      </c>
      <c r="E6597">
        <v>6.7171622659626368E-2</v>
      </c>
      <c r="F6597">
        <v>0</v>
      </c>
      <c r="G6597">
        <v>0</v>
      </c>
      <c r="H6597">
        <v>10</v>
      </c>
      <c r="I6597">
        <v>208</v>
      </c>
      <c r="J6597">
        <v>2437</v>
      </c>
    </row>
    <row r="6598" spans="1:23">
      <c r="A6598" t="s">
        <v>200</v>
      </c>
      <c r="B6598" t="s">
        <v>200</v>
      </c>
      <c r="C6598" t="s">
        <v>200</v>
      </c>
      <c r="D6598" t="s">
        <v>200</v>
      </c>
      <c r="E6598">
        <v>0.15957611132493951</v>
      </c>
      <c r="F6598">
        <v>0</v>
      </c>
      <c r="G6598">
        <v>0</v>
      </c>
      <c r="H6598">
        <v>30</v>
      </c>
      <c r="I6598">
        <v>2437</v>
      </c>
      <c r="J6598">
        <v>2437</v>
      </c>
    </row>
    <row r="6600" spans="1:23" ht="45">
      <c r="A6600" s="22" t="s">
        <v>1464</v>
      </c>
    </row>
    <row r="6601" spans="1:23">
      <c r="A6601" t="s">
        <v>185</v>
      </c>
      <c r="B6601" t="s">
        <v>186</v>
      </c>
      <c r="C6601" t="s">
        <v>192</v>
      </c>
      <c r="D6601" t="s">
        <v>184</v>
      </c>
      <c r="E6601" t="s">
        <v>193</v>
      </c>
      <c r="F6601" t="s">
        <v>1465</v>
      </c>
      <c r="G6601" t="s">
        <v>1466</v>
      </c>
      <c r="H6601" t="s">
        <v>257</v>
      </c>
      <c r="I6601" t="s">
        <v>1413</v>
      </c>
      <c r="J6601" t="s">
        <v>1414</v>
      </c>
      <c r="K6601" t="s">
        <v>1415</v>
      </c>
      <c r="L6601" t="s">
        <v>1467</v>
      </c>
      <c r="M6601" t="s">
        <v>1417</v>
      </c>
      <c r="N6601" t="s">
        <v>1468</v>
      </c>
      <c r="O6601" t="s">
        <v>1419</v>
      </c>
      <c r="P6601" t="s">
        <v>1469</v>
      </c>
      <c r="Q6601" t="s">
        <v>1470</v>
      </c>
      <c r="R6601" t="s">
        <v>1422</v>
      </c>
      <c r="S6601" t="s">
        <v>1423</v>
      </c>
      <c r="T6601" t="s">
        <v>1471</v>
      </c>
      <c r="U6601" t="s">
        <v>1472</v>
      </c>
      <c r="V6601" t="s">
        <v>1426</v>
      </c>
      <c r="W6601" t="s">
        <v>1427</v>
      </c>
    </row>
    <row r="6602" spans="1:23">
      <c r="A6602" t="s">
        <v>195</v>
      </c>
      <c r="B6602" t="s">
        <v>196</v>
      </c>
      <c r="C6602">
        <v>413</v>
      </c>
      <c r="D6602" t="s">
        <v>194</v>
      </c>
      <c r="E6602">
        <v>2675</v>
      </c>
      <c r="F6602" s="3">
        <v>1.1999999999999999E-3</v>
      </c>
      <c r="G6602" s="3">
        <v>4.0000000000000002E-4</v>
      </c>
      <c r="H6602" s="3">
        <v>1.1599999999999999E-2</v>
      </c>
      <c r="I6602" s="3">
        <v>9.7999999999999997E-3</v>
      </c>
      <c r="K6602" s="3">
        <v>3.95E-2</v>
      </c>
      <c r="L6602" s="3">
        <v>0.39550000000000002</v>
      </c>
      <c r="M6602" s="3">
        <v>1E-3</v>
      </c>
      <c r="N6602" s="3">
        <v>4.0099999999999997E-2</v>
      </c>
      <c r="O6602" s="3">
        <v>9.4999999999999998E-3</v>
      </c>
      <c r="P6602" s="3">
        <v>1.1999999999999999E-3</v>
      </c>
      <c r="R6602" s="3">
        <v>0.4093</v>
      </c>
      <c r="S6602" s="3">
        <v>8.3500000000000005E-2</v>
      </c>
      <c r="T6602" s="3">
        <v>9.1000000000000004E-3</v>
      </c>
      <c r="U6602" s="3">
        <v>7.1999999999999998E-3</v>
      </c>
      <c r="V6602" s="3">
        <v>4.65E-2</v>
      </c>
    </row>
    <row r="6603" spans="1:23">
      <c r="A6603" t="s">
        <v>195</v>
      </c>
      <c r="B6603" t="s">
        <v>198</v>
      </c>
      <c r="C6603">
        <v>755</v>
      </c>
      <c r="D6603" t="s">
        <v>194</v>
      </c>
      <c r="E6603">
        <v>2675</v>
      </c>
      <c r="F6603" s="3">
        <v>2.3599999999999999E-2</v>
      </c>
      <c r="I6603" s="3">
        <v>5.0000000000000001E-4</v>
      </c>
      <c r="J6603" s="3">
        <v>5.9999999999999995E-4</v>
      </c>
      <c r="K6603" s="3">
        <v>8.9999999999999993E-3</v>
      </c>
      <c r="L6603" s="3">
        <v>3.3799999999999997E-2</v>
      </c>
      <c r="M6603" s="3">
        <v>5.4999999999999997E-3</v>
      </c>
      <c r="N6603" s="3">
        <v>1.5E-3</v>
      </c>
      <c r="O6603" s="3">
        <v>5.9999999999999995E-4</v>
      </c>
      <c r="P6603" s="3">
        <v>2.0000000000000001E-4</v>
      </c>
      <c r="R6603" s="3">
        <v>0.80610000000000004</v>
      </c>
      <c r="S6603" s="3">
        <v>0.1341</v>
      </c>
      <c r="T6603" s="3">
        <v>8.0000000000000004E-4</v>
      </c>
      <c r="U6603" s="3">
        <v>2.7000000000000001E-3</v>
      </c>
      <c r="V6603" s="3">
        <v>7.1000000000000004E-3</v>
      </c>
      <c r="W6603" s="3">
        <v>1.6899999999999998E-2</v>
      </c>
    </row>
    <row r="6604" spans="1:23">
      <c r="A6604" t="s">
        <v>199</v>
      </c>
      <c r="B6604" t="s">
        <v>196</v>
      </c>
      <c r="C6604">
        <v>524</v>
      </c>
      <c r="D6604" t="s">
        <v>194</v>
      </c>
      <c r="E6604">
        <v>2675</v>
      </c>
      <c r="F6604" s="3">
        <v>1.23E-2</v>
      </c>
      <c r="I6604" s="3">
        <v>2.8999999999999998E-3</v>
      </c>
      <c r="J6604" s="3">
        <v>6.1999999999999998E-3</v>
      </c>
      <c r="K6604" s="3">
        <v>3.0099999999999998E-2</v>
      </c>
      <c r="L6604" s="3">
        <v>0.39319999999999999</v>
      </c>
      <c r="M6604" s="3">
        <v>1.8E-3</v>
      </c>
      <c r="N6604" s="3">
        <v>4.7000000000000002E-3</v>
      </c>
      <c r="O6604" s="3">
        <v>3.8E-3</v>
      </c>
      <c r="P6604" s="3">
        <v>1.4E-3</v>
      </c>
      <c r="Q6604" s="3">
        <v>1E-4</v>
      </c>
      <c r="R6604" s="3">
        <v>0.42830000000000001</v>
      </c>
      <c r="S6604" s="3">
        <v>9.8799999999999999E-2</v>
      </c>
      <c r="T6604" s="3">
        <v>1.5100000000000001E-2</v>
      </c>
      <c r="U6604" s="3">
        <v>2.3999999999999998E-3</v>
      </c>
      <c r="V6604" s="3">
        <v>3.5000000000000003E-2</v>
      </c>
      <c r="W6604" s="3">
        <v>5.7000000000000002E-3</v>
      </c>
    </row>
    <row r="6605" spans="1:23">
      <c r="A6605" t="s">
        <v>199</v>
      </c>
      <c r="B6605" t="s">
        <v>198</v>
      </c>
      <c r="C6605">
        <v>945</v>
      </c>
      <c r="D6605" t="s">
        <v>194</v>
      </c>
      <c r="E6605">
        <v>2675</v>
      </c>
      <c r="F6605" s="3">
        <v>7.3000000000000001E-3</v>
      </c>
      <c r="I6605" s="3">
        <v>1E-3</v>
      </c>
      <c r="J6605" s="3">
        <v>2.9999999999999997E-4</v>
      </c>
      <c r="K6605" s="3">
        <v>5.7999999999999996E-3</v>
      </c>
      <c r="L6605" s="3">
        <v>7.4700000000000003E-2</v>
      </c>
      <c r="M6605" s="3">
        <v>2.5000000000000001E-3</v>
      </c>
      <c r="N6605" s="3">
        <v>5.4000000000000003E-3</v>
      </c>
      <c r="O6605" s="3">
        <v>2.0000000000000001E-4</v>
      </c>
      <c r="P6605" s="3">
        <v>1E-4</v>
      </c>
      <c r="R6605" s="3">
        <v>0.66180000000000005</v>
      </c>
      <c r="S6605" s="3">
        <v>0.25669999999999998</v>
      </c>
      <c r="T6605" s="3">
        <v>2.2000000000000001E-3</v>
      </c>
      <c r="V6605" s="3">
        <v>1.1999999999999999E-3</v>
      </c>
      <c r="W6605" s="3">
        <v>1.3599999999999999E-2</v>
      </c>
    </row>
    <row r="6606" spans="1:23">
      <c r="A6606" t="s">
        <v>200</v>
      </c>
      <c r="B6606" t="s">
        <v>200</v>
      </c>
      <c r="C6606">
        <v>2675</v>
      </c>
      <c r="D6606" t="s">
        <v>200</v>
      </c>
      <c r="E6606">
        <v>2675</v>
      </c>
      <c r="F6606" s="3">
        <v>1.24E-2</v>
      </c>
      <c r="G6606" s="3">
        <v>1E-4</v>
      </c>
      <c r="H6606" s="3">
        <v>1.4E-3</v>
      </c>
      <c r="I6606" s="3">
        <v>2.0999999999999999E-3</v>
      </c>
      <c r="J6606" s="3">
        <v>1E-3</v>
      </c>
      <c r="K6606" s="3">
        <v>1.37E-2</v>
      </c>
      <c r="L6606" s="3">
        <v>0.13220000000000001</v>
      </c>
      <c r="M6606" s="3">
        <v>3.2000000000000002E-3</v>
      </c>
      <c r="N6606" s="3">
        <v>8.0999999999999996E-3</v>
      </c>
      <c r="O6606" s="3">
        <v>1.8E-3</v>
      </c>
      <c r="P6606" s="3">
        <v>4.0000000000000002E-4</v>
      </c>
      <c r="Q6606" s="3">
        <v>0</v>
      </c>
      <c r="R6606" s="3">
        <v>0.65510000000000002</v>
      </c>
      <c r="S6606" s="3">
        <v>0.17949999999999999</v>
      </c>
      <c r="T6606" s="3">
        <v>3.8999999999999998E-3</v>
      </c>
      <c r="U6606" s="3">
        <v>2E-3</v>
      </c>
      <c r="V6606" s="3">
        <v>1.1900000000000001E-2</v>
      </c>
      <c r="W6606" s="3">
        <v>1.2200000000000001E-2</v>
      </c>
    </row>
    <row r="6608" spans="1:23" ht="45">
      <c r="A6608" s="22" t="s">
        <v>1473</v>
      </c>
    </row>
    <row r="6609" spans="1:23">
      <c r="A6609" t="s">
        <v>185</v>
      </c>
      <c r="B6609" t="s">
        <v>186</v>
      </c>
      <c r="C6609" t="s">
        <v>192</v>
      </c>
      <c r="D6609" t="s">
        <v>184</v>
      </c>
      <c r="E6609" t="s">
        <v>193</v>
      </c>
      <c r="F6609" t="s">
        <v>1465</v>
      </c>
      <c r="G6609" t="s">
        <v>1466</v>
      </c>
      <c r="H6609" t="s">
        <v>257</v>
      </c>
      <c r="I6609" t="s">
        <v>1413</v>
      </c>
      <c r="J6609" t="s">
        <v>1414</v>
      </c>
      <c r="K6609" t="s">
        <v>1415</v>
      </c>
      <c r="L6609" t="s">
        <v>1467</v>
      </c>
      <c r="M6609" t="s">
        <v>1417</v>
      </c>
      <c r="N6609" t="s">
        <v>1468</v>
      </c>
      <c r="O6609" t="s">
        <v>1419</v>
      </c>
      <c r="P6609" t="s">
        <v>1469</v>
      </c>
      <c r="Q6609" t="s">
        <v>1470</v>
      </c>
      <c r="R6609" t="s">
        <v>1422</v>
      </c>
      <c r="S6609" t="s">
        <v>1423</v>
      </c>
      <c r="T6609" t="s">
        <v>1471</v>
      </c>
      <c r="U6609" t="s">
        <v>1472</v>
      </c>
      <c r="V6609" t="s">
        <v>1426</v>
      </c>
      <c r="W6609" t="s">
        <v>1427</v>
      </c>
    </row>
    <row r="6610" spans="1:23">
      <c r="A6610" t="s">
        <v>195</v>
      </c>
      <c r="B6610" t="s">
        <v>202</v>
      </c>
      <c r="C6610">
        <v>533</v>
      </c>
      <c r="D6610" t="s">
        <v>194</v>
      </c>
      <c r="E6610">
        <v>2675</v>
      </c>
      <c r="F6610" s="3">
        <v>1.7600000000000001E-2</v>
      </c>
      <c r="H6610" s="3">
        <v>4.5999999999999999E-3</v>
      </c>
      <c r="I6610" s="3">
        <v>8.0000000000000004E-4</v>
      </c>
      <c r="J6610" s="3">
        <v>5.9999999999999995E-4</v>
      </c>
      <c r="K6610" s="3">
        <v>1.17E-2</v>
      </c>
      <c r="L6610" s="3">
        <v>0.13270000000000001</v>
      </c>
      <c r="M6610" s="3">
        <v>5.1000000000000004E-3</v>
      </c>
      <c r="N6610" s="3">
        <v>5.1999999999999998E-3</v>
      </c>
      <c r="O6610" s="3">
        <v>3.8999999999999998E-3</v>
      </c>
      <c r="R6610" s="3">
        <v>0.70720000000000005</v>
      </c>
      <c r="S6610" s="3">
        <v>0.10929999999999999</v>
      </c>
      <c r="T6610" s="3">
        <v>8.9999999999999998E-4</v>
      </c>
      <c r="U6610" s="3">
        <v>5.5999999999999999E-3</v>
      </c>
      <c r="V6610" s="3">
        <v>2.23E-2</v>
      </c>
      <c r="W6610" s="3">
        <v>1.7600000000000001E-2</v>
      </c>
    </row>
    <row r="6611" spans="1:23">
      <c r="A6611" t="s">
        <v>195</v>
      </c>
      <c r="B6611" t="s">
        <v>204</v>
      </c>
      <c r="C6611">
        <v>301</v>
      </c>
      <c r="D6611" t="s">
        <v>194</v>
      </c>
      <c r="E6611">
        <v>2675</v>
      </c>
      <c r="F6611" s="3">
        <v>2.75E-2</v>
      </c>
      <c r="H6611" s="3">
        <v>5.9999999999999995E-4</v>
      </c>
      <c r="I6611" s="3">
        <v>9.1000000000000004E-3</v>
      </c>
      <c r="K6611" s="3">
        <v>1.1900000000000001E-2</v>
      </c>
      <c r="L6611" s="3">
        <v>0.14649999999999999</v>
      </c>
      <c r="N6611" s="3">
        <v>1.61E-2</v>
      </c>
      <c r="O6611" s="3">
        <v>1E-4</v>
      </c>
      <c r="R6611" s="3">
        <v>0.70399999999999996</v>
      </c>
      <c r="S6611" s="3">
        <v>0.11219999999999999</v>
      </c>
      <c r="T6611" s="3">
        <v>4.3E-3</v>
      </c>
      <c r="V6611" s="3">
        <v>1.18E-2</v>
      </c>
      <c r="W6611" s="3">
        <v>1.6999999999999999E-3</v>
      </c>
    </row>
    <row r="6612" spans="1:23">
      <c r="A6612" t="s">
        <v>195</v>
      </c>
      <c r="B6612" t="s">
        <v>205</v>
      </c>
      <c r="C6612">
        <v>334</v>
      </c>
      <c r="D6612" t="s">
        <v>194</v>
      </c>
      <c r="E6612">
        <v>2675</v>
      </c>
      <c r="F6612" s="3">
        <v>2.0999999999999999E-3</v>
      </c>
      <c r="G6612" s="3">
        <v>8.9999999999999998E-4</v>
      </c>
      <c r="I6612" s="3">
        <v>4.1000000000000003E-3</v>
      </c>
      <c r="K6612" s="3">
        <v>5.1799999999999999E-2</v>
      </c>
      <c r="L6612" s="3">
        <v>9.4700000000000006E-2</v>
      </c>
      <c r="M6612" s="3">
        <v>6.8999999999999999E-3</v>
      </c>
      <c r="N6612" s="3">
        <v>3.6499999999999998E-2</v>
      </c>
      <c r="O6612" s="3">
        <v>3.2000000000000002E-3</v>
      </c>
      <c r="P6612" s="3">
        <v>3.2000000000000002E-3</v>
      </c>
      <c r="R6612" s="3">
        <v>0.65959999999999996</v>
      </c>
      <c r="S6612" s="3">
        <v>0.188</v>
      </c>
      <c r="T6612" s="3">
        <v>1.09E-2</v>
      </c>
      <c r="U6612" s="3">
        <v>1.8E-3</v>
      </c>
      <c r="V6612" s="3">
        <v>4.5999999999999999E-3</v>
      </c>
      <c r="W6612" s="3">
        <v>4.1000000000000003E-3</v>
      </c>
    </row>
    <row r="6613" spans="1:23">
      <c r="A6613" t="s">
        <v>199</v>
      </c>
      <c r="B6613" t="s">
        <v>202</v>
      </c>
      <c r="C6613">
        <v>538</v>
      </c>
      <c r="D6613" t="s">
        <v>194</v>
      </c>
      <c r="E6613">
        <v>2675</v>
      </c>
      <c r="F6613" s="3">
        <v>9.5999999999999992E-3</v>
      </c>
      <c r="I6613" s="3">
        <v>1.9E-3</v>
      </c>
      <c r="J6613" s="3">
        <v>1.6000000000000001E-3</v>
      </c>
      <c r="K6613" s="3">
        <v>6.1999999999999998E-3</v>
      </c>
      <c r="L6613" s="3">
        <v>0.1457</v>
      </c>
      <c r="M6613" s="3">
        <v>1.9E-3</v>
      </c>
      <c r="N6613" s="3">
        <v>2.2000000000000001E-3</v>
      </c>
      <c r="O6613" s="3">
        <v>8.0000000000000004E-4</v>
      </c>
      <c r="R6613" s="3">
        <v>0.61309999999999998</v>
      </c>
      <c r="S6613" s="3">
        <v>0.22509999999999999</v>
      </c>
      <c r="T6613" s="3">
        <v>1E-3</v>
      </c>
      <c r="U6613" s="3">
        <v>2.0000000000000001E-4</v>
      </c>
      <c r="V6613" s="3">
        <v>1.0200000000000001E-2</v>
      </c>
      <c r="W6613" s="3">
        <v>1.5299999999999999E-2</v>
      </c>
    </row>
    <row r="6614" spans="1:23">
      <c r="A6614" t="s">
        <v>199</v>
      </c>
      <c r="B6614" t="s">
        <v>204</v>
      </c>
      <c r="C6614">
        <v>426</v>
      </c>
      <c r="D6614" t="s">
        <v>194</v>
      </c>
      <c r="E6614">
        <v>2675</v>
      </c>
      <c r="F6614" s="3">
        <v>0.01</v>
      </c>
      <c r="J6614" s="3">
        <v>1.8E-3</v>
      </c>
      <c r="K6614" s="3">
        <v>2.7400000000000001E-2</v>
      </c>
      <c r="L6614" s="3">
        <v>0.17119999999999999</v>
      </c>
      <c r="M6614" s="3">
        <v>4.4000000000000003E-3</v>
      </c>
      <c r="N6614" s="3">
        <v>1.23E-2</v>
      </c>
      <c r="O6614" s="3">
        <v>1.8E-3</v>
      </c>
      <c r="P6614" s="3">
        <v>6.9999999999999999E-4</v>
      </c>
      <c r="R6614" s="3">
        <v>0.65800000000000003</v>
      </c>
      <c r="S6614" s="3">
        <v>0.13439999999999999</v>
      </c>
      <c r="T6614" s="3">
        <v>1.5599999999999999E-2</v>
      </c>
      <c r="U6614" s="3">
        <v>8.9999999999999998E-4</v>
      </c>
      <c r="V6614" s="3">
        <v>1.6999999999999999E-3</v>
      </c>
      <c r="W6614" s="3">
        <v>1.0200000000000001E-2</v>
      </c>
    </row>
    <row r="6615" spans="1:23">
      <c r="A6615" t="s">
        <v>199</v>
      </c>
      <c r="B6615" t="s">
        <v>205</v>
      </c>
      <c r="C6615">
        <v>505</v>
      </c>
      <c r="D6615" t="s">
        <v>194</v>
      </c>
      <c r="E6615">
        <v>2675</v>
      </c>
      <c r="F6615" s="3">
        <v>8.9999999999999998E-4</v>
      </c>
      <c r="I6615" s="3">
        <v>8.0000000000000004E-4</v>
      </c>
      <c r="K6615" s="3">
        <v>6.1000000000000004E-3</v>
      </c>
      <c r="L6615" s="3">
        <v>4.5699999999999998E-2</v>
      </c>
      <c r="M6615" s="3">
        <v>1.6999999999999999E-3</v>
      </c>
      <c r="N6615" s="3">
        <v>8.9999999999999993E-3</v>
      </c>
      <c r="P6615" s="3">
        <v>1.5E-3</v>
      </c>
      <c r="Q6615" s="3">
        <v>1E-4</v>
      </c>
      <c r="R6615" s="3">
        <v>0.59389999999999998</v>
      </c>
      <c r="S6615" s="3">
        <v>0.34320000000000001</v>
      </c>
      <c r="T6615" s="3">
        <v>5.7000000000000002E-3</v>
      </c>
      <c r="U6615" s="3">
        <v>8.0000000000000004E-4</v>
      </c>
      <c r="V6615" s="3">
        <v>3.8E-3</v>
      </c>
      <c r="W6615" s="3">
        <v>2.3E-3</v>
      </c>
    </row>
    <row r="6616" spans="1:23">
      <c r="A6616" t="s">
        <v>200</v>
      </c>
      <c r="B6616" t="s">
        <v>200</v>
      </c>
      <c r="C6616">
        <v>2675</v>
      </c>
      <c r="D6616" t="s">
        <v>200</v>
      </c>
      <c r="E6616">
        <v>2675</v>
      </c>
      <c r="F6616" s="3">
        <v>1.24E-2</v>
      </c>
      <c r="G6616" s="3">
        <v>1E-4</v>
      </c>
      <c r="H6616" s="3">
        <v>1.4E-3</v>
      </c>
      <c r="I6616" s="3">
        <v>2.0999999999999999E-3</v>
      </c>
      <c r="J6616" s="3">
        <v>1E-3</v>
      </c>
      <c r="K6616" s="3">
        <v>1.37E-2</v>
      </c>
      <c r="L6616" s="3">
        <v>0.13220000000000001</v>
      </c>
      <c r="M6616" s="3">
        <v>3.2000000000000002E-3</v>
      </c>
      <c r="N6616" s="3">
        <v>8.0999999999999996E-3</v>
      </c>
      <c r="O6616" s="3">
        <v>1.8E-3</v>
      </c>
      <c r="P6616" s="3">
        <v>4.0000000000000002E-4</v>
      </c>
      <c r="Q6616" s="3">
        <v>0</v>
      </c>
      <c r="R6616" s="3">
        <v>0.65510000000000002</v>
      </c>
      <c r="S6616" s="3">
        <v>0.17949999999999999</v>
      </c>
      <c r="T6616" s="3">
        <v>3.8999999999999998E-3</v>
      </c>
      <c r="U6616" s="3">
        <v>2E-3</v>
      </c>
      <c r="V6616" s="3">
        <v>1.1900000000000001E-2</v>
      </c>
      <c r="W6616" s="3">
        <v>1.2200000000000001E-2</v>
      </c>
    </row>
    <row r="6618" spans="1:23" ht="45">
      <c r="A6618" s="22" t="s">
        <v>1474</v>
      </c>
    </row>
    <row r="6619" spans="1:23">
      <c r="A6619" t="s">
        <v>185</v>
      </c>
      <c r="B6619" t="s">
        <v>186</v>
      </c>
      <c r="C6619" t="s">
        <v>192</v>
      </c>
      <c r="D6619" t="s">
        <v>184</v>
      </c>
      <c r="E6619" t="s">
        <v>193</v>
      </c>
      <c r="F6619" t="s">
        <v>1465</v>
      </c>
      <c r="G6619" t="s">
        <v>1466</v>
      </c>
      <c r="H6619" t="s">
        <v>257</v>
      </c>
      <c r="I6619" t="s">
        <v>1413</v>
      </c>
      <c r="J6619" t="s">
        <v>1414</v>
      </c>
      <c r="K6619" t="s">
        <v>1415</v>
      </c>
      <c r="L6619" t="s">
        <v>1467</v>
      </c>
      <c r="M6619" t="s">
        <v>1417</v>
      </c>
      <c r="N6619" t="s">
        <v>1468</v>
      </c>
      <c r="O6619" t="s">
        <v>1419</v>
      </c>
      <c r="P6619" t="s">
        <v>1469</v>
      </c>
      <c r="Q6619" t="s">
        <v>1470</v>
      </c>
      <c r="R6619" t="s">
        <v>1422</v>
      </c>
      <c r="S6619" t="s">
        <v>1423</v>
      </c>
      <c r="T6619" t="s">
        <v>1471</v>
      </c>
      <c r="U6619" t="s">
        <v>1472</v>
      </c>
      <c r="V6619" t="s">
        <v>1426</v>
      </c>
      <c r="W6619" t="s">
        <v>1427</v>
      </c>
    </row>
    <row r="6620" spans="1:23">
      <c r="A6620" t="s">
        <v>195</v>
      </c>
      <c r="B6620" t="s">
        <v>207</v>
      </c>
      <c r="C6620">
        <v>322</v>
      </c>
      <c r="D6620" t="s">
        <v>194</v>
      </c>
      <c r="E6620">
        <v>2675</v>
      </c>
      <c r="F6620" s="3">
        <v>2.23E-2</v>
      </c>
      <c r="H6620" s="3">
        <v>5.0000000000000001E-4</v>
      </c>
      <c r="I6620" s="3">
        <v>5.8999999999999999E-3</v>
      </c>
      <c r="K6620" s="3">
        <v>7.7999999999999996E-3</v>
      </c>
      <c r="L6620" s="3">
        <v>0.1681</v>
      </c>
      <c r="M6620" s="3">
        <v>1.29E-2</v>
      </c>
      <c r="N6620" s="3">
        <v>2E-3</v>
      </c>
      <c r="O6620" s="3">
        <v>8.9999999999999993E-3</v>
      </c>
      <c r="P6620" s="3">
        <v>1.1999999999999999E-3</v>
      </c>
      <c r="R6620" s="3">
        <v>0.66639999999999999</v>
      </c>
      <c r="S6620" s="3">
        <v>0.1217</v>
      </c>
      <c r="T6620" s="3">
        <v>5.8999999999999999E-3</v>
      </c>
      <c r="U6620" s="3">
        <v>1E-4</v>
      </c>
      <c r="V6620" s="3">
        <v>1.41E-2</v>
      </c>
      <c r="W6620" s="3">
        <v>1.18E-2</v>
      </c>
    </row>
    <row r="6621" spans="1:23">
      <c r="A6621" t="s">
        <v>195</v>
      </c>
      <c r="B6621" t="s">
        <v>209</v>
      </c>
      <c r="C6621">
        <v>867</v>
      </c>
      <c r="D6621" t="s">
        <v>194</v>
      </c>
      <c r="E6621">
        <v>2675</v>
      </c>
      <c r="F6621" s="3">
        <v>1.5900000000000001E-2</v>
      </c>
      <c r="G6621" s="3">
        <v>2.0000000000000001E-4</v>
      </c>
      <c r="H6621" s="3">
        <v>4.0000000000000001E-3</v>
      </c>
      <c r="I6621" s="3">
        <v>2E-3</v>
      </c>
      <c r="J6621" s="3">
        <v>5.9999999999999995E-4</v>
      </c>
      <c r="K6621" s="3">
        <v>2.1499999999999998E-2</v>
      </c>
      <c r="L6621" s="3">
        <v>0.1171</v>
      </c>
      <c r="M6621" s="3">
        <v>1.1999999999999999E-3</v>
      </c>
      <c r="N6621" s="3">
        <v>1.5100000000000001E-2</v>
      </c>
      <c r="O6621" s="3">
        <v>8.9999999999999998E-4</v>
      </c>
      <c r="P6621" s="3">
        <v>2.0000000000000001E-4</v>
      </c>
      <c r="R6621" s="3">
        <v>0.71230000000000004</v>
      </c>
      <c r="S6621" s="3">
        <v>0.11940000000000001</v>
      </c>
      <c r="T6621" s="3">
        <v>2E-3</v>
      </c>
      <c r="U6621" s="3">
        <v>5.1999999999999998E-3</v>
      </c>
      <c r="V6621" s="3">
        <v>1.8800000000000001E-2</v>
      </c>
      <c r="W6621" s="3">
        <v>1.2500000000000001E-2</v>
      </c>
    </row>
    <row r="6622" spans="1:23">
      <c r="A6622" t="s">
        <v>199</v>
      </c>
      <c r="B6622" t="s">
        <v>207</v>
      </c>
      <c r="C6622">
        <v>281</v>
      </c>
      <c r="D6622" t="s">
        <v>194</v>
      </c>
      <c r="E6622">
        <v>2675</v>
      </c>
      <c r="F6622" s="3">
        <v>1.1000000000000001E-3</v>
      </c>
      <c r="J6622" s="3">
        <v>2.3E-3</v>
      </c>
      <c r="K6622" s="3">
        <v>1.7299999999999999E-2</v>
      </c>
      <c r="L6622" s="3">
        <v>0.1517</v>
      </c>
      <c r="M6622" s="3">
        <v>2.7000000000000001E-3</v>
      </c>
      <c r="N6622" s="3">
        <v>5.3E-3</v>
      </c>
      <c r="O6622" s="3">
        <v>1.5E-3</v>
      </c>
      <c r="R6622" s="3">
        <v>0.50339999999999996</v>
      </c>
      <c r="S6622" s="3">
        <v>0.32200000000000001</v>
      </c>
      <c r="T6622" s="3">
        <v>5.7000000000000002E-3</v>
      </c>
      <c r="V6622" s="3">
        <v>1.34E-2</v>
      </c>
      <c r="W6622" s="3">
        <v>3.7000000000000002E-3</v>
      </c>
    </row>
    <row r="6623" spans="1:23">
      <c r="A6623" t="s">
        <v>199</v>
      </c>
      <c r="B6623" t="s">
        <v>209</v>
      </c>
      <c r="C6623">
        <v>1205</v>
      </c>
      <c r="D6623" t="s">
        <v>194</v>
      </c>
      <c r="E6623">
        <v>2675</v>
      </c>
      <c r="F6623" s="3">
        <v>9.1999999999999998E-3</v>
      </c>
      <c r="I6623" s="3">
        <v>1.5E-3</v>
      </c>
      <c r="J6623" s="3">
        <v>1.2999999999999999E-3</v>
      </c>
      <c r="K6623" s="3">
        <v>9.2999999999999992E-3</v>
      </c>
      <c r="L6623" s="3">
        <v>0.1313</v>
      </c>
      <c r="M6623" s="3">
        <v>2.3E-3</v>
      </c>
      <c r="N6623" s="3">
        <v>5.3E-3</v>
      </c>
      <c r="O6623" s="3">
        <v>8.0000000000000004E-4</v>
      </c>
      <c r="P6623" s="3">
        <v>4.0000000000000002E-4</v>
      </c>
      <c r="Q6623" s="3">
        <v>0</v>
      </c>
      <c r="R6623" s="3">
        <v>0.63480000000000003</v>
      </c>
      <c r="S6623" s="3">
        <v>0.214</v>
      </c>
      <c r="T6623" s="3">
        <v>4.4999999999999997E-3</v>
      </c>
      <c r="U6623" s="3">
        <v>5.0000000000000001E-4</v>
      </c>
      <c r="V6623" s="3">
        <v>6.6E-3</v>
      </c>
      <c r="W6623" s="3">
        <v>1.3299999999999999E-2</v>
      </c>
    </row>
    <row r="6624" spans="1:23">
      <c r="A6624" t="s">
        <v>200</v>
      </c>
      <c r="B6624" t="s">
        <v>200</v>
      </c>
      <c r="C6624">
        <v>2675</v>
      </c>
      <c r="D6624" t="s">
        <v>200</v>
      </c>
      <c r="E6624">
        <v>2675</v>
      </c>
      <c r="F6624" s="3">
        <v>1.24E-2</v>
      </c>
      <c r="G6624" s="3">
        <v>1E-4</v>
      </c>
      <c r="H6624" s="3">
        <v>1.4E-3</v>
      </c>
      <c r="I6624" s="3">
        <v>2.0999999999999999E-3</v>
      </c>
      <c r="J6624" s="3">
        <v>1E-3</v>
      </c>
      <c r="K6624" s="3">
        <v>1.37E-2</v>
      </c>
      <c r="L6624" s="3">
        <v>0.13220000000000001</v>
      </c>
      <c r="M6624" s="3">
        <v>3.2000000000000002E-3</v>
      </c>
      <c r="N6624" s="3">
        <v>8.0999999999999996E-3</v>
      </c>
      <c r="O6624" s="3">
        <v>1.8E-3</v>
      </c>
      <c r="P6624" s="3">
        <v>4.0000000000000002E-4</v>
      </c>
      <c r="Q6624" s="3">
        <v>0</v>
      </c>
      <c r="R6624" s="3">
        <v>0.65510000000000002</v>
      </c>
      <c r="S6624" s="3">
        <v>0.17949999999999999</v>
      </c>
      <c r="T6624" s="3">
        <v>3.8999999999999998E-3</v>
      </c>
      <c r="U6624" s="3">
        <v>2E-3</v>
      </c>
      <c r="V6624" s="3">
        <v>1.1900000000000001E-2</v>
      </c>
      <c r="W6624" s="3">
        <v>1.2200000000000001E-2</v>
      </c>
    </row>
    <row r="6626" spans="1:23" ht="45">
      <c r="A6626" s="22" t="s">
        <v>1475</v>
      </c>
    </row>
    <row r="6627" spans="1:23">
      <c r="A6627" t="s">
        <v>185</v>
      </c>
      <c r="B6627" t="s">
        <v>192</v>
      </c>
      <c r="C6627" t="s">
        <v>184</v>
      </c>
      <c r="D6627" t="s">
        <v>193</v>
      </c>
      <c r="E6627" t="s">
        <v>1465</v>
      </c>
      <c r="F6627" t="s">
        <v>1466</v>
      </c>
      <c r="G6627" t="s">
        <v>257</v>
      </c>
      <c r="H6627" t="s">
        <v>1413</v>
      </c>
      <c r="I6627" t="s">
        <v>1414</v>
      </c>
      <c r="J6627" t="s">
        <v>1415</v>
      </c>
      <c r="K6627" t="s">
        <v>1467</v>
      </c>
      <c r="L6627" t="s">
        <v>1417</v>
      </c>
      <c r="M6627" t="s">
        <v>1468</v>
      </c>
      <c r="N6627" t="s">
        <v>1419</v>
      </c>
      <c r="O6627" t="s">
        <v>1469</v>
      </c>
      <c r="P6627" t="s">
        <v>1470</v>
      </c>
      <c r="Q6627" t="s">
        <v>1422</v>
      </c>
      <c r="R6627" t="s">
        <v>1423</v>
      </c>
      <c r="S6627" t="s">
        <v>1471</v>
      </c>
      <c r="T6627" t="s">
        <v>1472</v>
      </c>
      <c r="U6627" t="s">
        <v>1426</v>
      </c>
      <c r="V6627" t="s">
        <v>1427</v>
      </c>
    </row>
    <row r="6628" spans="1:23">
      <c r="A6628" t="s">
        <v>195</v>
      </c>
      <c r="B6628">
        <v>1189</v>
      </c>
      <c r="C6628" t="s">
        <v>194</v>
      </c>
      <c r="D6628">
        <v>2675</v>
      </c>
      <c r="E6628" s="3">
        <v>1.7600000000000001E-2</v>
      </c>
      <c r="F6628" s="3">
        <v>1E-4</v>
      </c>
      <c r="G6628" s="3">
        <v>3.0999999999999999E-3</v>
      </c>
      <c r="H6628" s="3">
        <v>3.0000000000000001E-3</v>
      </c>
      <c r="I6628" s="3">
        <v>4.0000000000000002E-4</v>
      </c>
      <c r="J6628" s="3">
        <v>1.7999999999999999E-2</v>
      </c>
      <c r="K6628" s="3">
        <v>0.13020000000000001</v>
      </c>
      <c r="L6628" s="3">
        <v>4.1999999999999997E-3</v>
      </c>
      <c r="M6628" s="3">
        <v>1.17E-2</v>
      </c>
      <c r="N6628" s="3">
        <v>3.0000000000000001E-3</v>
      </c>
      <c r="O6628" s="3">
        <v>4.0000000000000002E-4</v>
      </c>
      <c r="Q6628" s="3">
        <v>0.70050000000000001</v>
      </c>
      <c r="R6628" s="3">
        <v>0.12</v>
      </c>
      <c r="S6628" s="3">
        <v>3.0000000000000001E-3</v>
      </c>
      <c r="T6628" s="3">
        <v>3.8999999999999998E-3</v>
      </c>
      <c r="U6628" s="3">
        <v>1.7600000000000001E-2</v>
      </c>
      <c r="V6628" s="3">
        <v>1.23E-2</v>
      </c>
    </row>
    <row r="6629" spans="1:23">
      <c r="A6629" t="s">
        <v>199</v>
      </c>
      <c r="B6629">
        <v>1486</v>
      </c>
      <c r="C6629" t="s">
        <v>194</v>
      </c>
      <c r="D6629">
        <v>2675</v>
      </c>
      <c r="E6629" s="3">
        <v>8.2000000000000007E-3</v>
      </c>
      <c r="H6629" s="3">
        <v>1.2999999999999999E-3</v>
      </c>
      <c r="I6629" s="3">
        <v>1.4E-3</v>
      </c>
      <c r="J6629" s="3">
        <v>1.03E-2</v>
      </c>
      <c r="K6629" s="3">
        <v>0.13370000000000001</v>
      </c>
      <c r="L6629" s="3">
        <v>2.3E-3</v>
      </c>
      <c r="M6629" s="3">
        <v>5.3E-3</v>
      </c>
      <c r="N6629" s="3">
        <v>8.9999999999999998E-4</v>
      </c>
      <c r="O6629" s="3">
        <v>4.0000000000000002E-4</v>
      </c>
      <c r="P6629" s="3">
        <v>0</v>
      </c>
      <c r="Q6629" s="3">
        <v>0.61880000000000002</v>
      </c>
      <c r="R6629" s="3">
        <v>0.2271</v>
      </c>
      <c r="S6629" s="3">
        <v>4.5999999999999999E-3</v>
      </c>
      <c r="T6629" s="3">
        <v>4.0000000000000002E-4</v>
      </c>
      <c r="U6629" s="3">
        <v>7.4000000000000003E-3</v>
      </c>
      <c r="V6629" s="3">
        <v>1.21E-2</v>
      </c>
    </row>
    <row r="6630" spans="1:23">
      <c r="A6630" t="s">
        <v>200</v>
      </c>
      <c r="B6630">
        <v>2675</v>
      </c>
      <c r="C6630" t="s">
        <v>200</v>
      </c>
      <c r="D6630">
        <v>2675</v>
      </c>
      <c r="E6630" s="3">
        <v>1.24E-2</v>
      </c>
      <c r="F6630" s="3">
        <v>1E-4</v>
      </c>
      <c r="G6630" s="3">
        <v>1.4E-3</v>
      </c>
      <c r="H6630" s="3">
        <v>2.0999999999999999E-3</v>
      </c>
      <c r="I6630" s="3">
        <v>1E-3</v>
      </c>
      <c r="J6630" s="3">
        <v>1.37E-2</v>
      </c>
      <c r="K6630" s="3">
        <v>0.13220000000000001</v>
      </c>
      <c r="L6630" s="3">
        <v>3.2000000000000002E-3</v>
      </c>
      <c r="M6630" s="3">
        <v>8.0999999999999996E-3</v>
      </c>
      <c r="N6630" s="3">
        <v>1.8E-3</v>
      </c>
      <c r="O6630" s="3">
        <v>4.0000000000000002E-4</v>
      </c>
      <c r="P6630" s="3">
        <v>0</v>
      </c>
      <c r="Q6630" s="3">
        <v>0.65510000000000002</v>
      </c>
      <c r="R6630" s="3">
        <v>0.17949999999999999</v>
      </c>
      <c r="S6630" s="3">
        <v>3.8999999999999998E-3</v>
      </c>
      <c r="T6630" s="3">
        <v>2E-3</v>
      </c>
      <c r="U6630" s="3">
        <v>1.1900000000000001E-2</v>
      </c>
      <c r="V6630" s="3">
        <v>1.2200000000000001E-2</v>
      </c>
    </row>
    <row r="6632" spans="1:23" ht="45">
      <c r="A6632" s="22" t="s">
        <v>1476</v>
      </c>
    </row>
    <row r="6633" spans="1:23">
      <c r="A6633" t="s">
        <v>185</v>
      </c>
      <c r="B6633" t="s">
        <v>186</v>
      </c>
      <c r="C6633" t="s">
        <v>192</v>
      </c>
      <c r="D6633" t="s">
        <v>184</v>
      </c>
      <c r="E6633" t="s">
        <v>193</v>
      </c>
      <c r="F6633" t="s">
        <v>1465</v>
      </c>
      <c r="G6633" t="s">
        <v>1466</v>
      </c>
      <c r="H6633" t="s">
        <v>257</v>
      </c>
      <c r="I6633" t="s">
        <v>1413</v>
      </c>
      <c r="J6633" t="s">
        <v>1414</v>
      </c>
      <c r="K6633" t="s">
        <v>1415</v>
      </c>
      <c r="L6633" t="s">
        <v>1467</v>
      </c>
      <c r="M6633" t="s">
        <v>1417</v>
      </c>
      <c r="N6633" t="s">
        <v>1468</v>
      </c>
      <c r="O6633" t="s">
        <v>1419</v>
      </c>
      <c r="P6633" t="s">
        <v>1469</v>
      </c>
      <c r="Q6633" t="s">
        <v>1470</v>
      </c>
      <c r="R6633" t="s">
        <v>1422</v>
      </c>
      <c r="S6633" t="s">
        <v>1423</v>
      </c>
      <c r="T6633" t="s">
        <v>1471</v>
      </c>
      <c r="U6633" t="s">
        <v>1472</v>
      </c>
      <c r="V6633" t="s">
        <v>1426</v>
      </c>
      <c r="W6633" t="s">
        <v>1427</v>
      </c>
    </row>
    <row r="6634" spans="1:23">
      <c r="A6634" t="s">
        <v>195</v>
      </c>
      <c r="B6634" t="s">
        <v>212</v>
      </c>
      <c r="C6634">
        <v>873</v>
      </c>
      <c r="D6634" t="s">
        <v>194</v>
      </c>
      <c r="E6634">
        <v>2675</v>
      </c>
      <c r="F6634" s="3">
        <v>2.07E-2</v>
      </c>
      <c r="G6634" s="3">
        <v>2.0000000000000001E-4</v>
      </c>
      <c r="H6634" s="3">
        <v>4.1000000000000003E-3</v>
      </c>
      <c r="I6634" s="3">
        <v>3.5000000000000001E-3</v>
      </c>
      <c r="K6634" s="3">
        <v>1.6799999999999999E-2</v>
      </c>
      <c r="L6634" s="3">
        <v>0.13239999999999999</v>
      </c>
      <c r="M6634" s="3">
        <v>5.7000000000000002E-3</v>
      </c>
      <c r="N6634" s="3">
        <v>1.01E-2</v>
      </c>
      <c r="O6634" s="3">
        <v>8.9999999999999998E-4</v>
      </c>
      <c r="P6634" s="3">
        <v>2.0000000000000001E-4</v>
      </c>
      <c r="R6634" s="3">
        <v>0.71209999999999996</v>
      </c>
      <c r="S6634" s="3">
        <v>0.1134</v>
      </c>
      <c r="T6634" s="3">
        <v>2.5999999999999999E-3</v>
      </c>
      <c r="U6634" s="3">
        <v>2.5999999999999999E-3</v>
      </c>
      <c r="V6634" s="3">
        <v>1.7399999999999999E-2</v>
      </c>
      <c r="W6634" s="3">
        <v>1.5699999999999999E-2</v>
      </c>
    </row>
    <row r="6635" spans="1:23">
      <c r="A6635" t="s">
        <v>195</v>
      </c>
      <c r="B6635" t="s">
        <v>214</v>
      </c>
      <c r="C6635">
        <v>181</v>
      </c>
      <c r="D6635" t="s">
        <v>194</v>
      </c>
      <c r="E6635">
        <v>2675</v>
      </c>
      <c r="F6635" s="3">
        <v>6.4000000000000003E-3</v>
      </c>
      <c r="K6635" s="3">
        <v>7.1999999999999998E-3</v>
      </c>
      <c r="L6635" s="3">
        <v>0.12720000000000001</v>
      </c>
      <c r="N6635" s="3">
        <v>1.41E-2</v>
      </c>
      <c r="O6635" s="3">
        <v>1.38E-2</v>
      </c>
      <c r="P6635" s="3">
        <v>1.9E-3</v>
      </c>
      <c r="R6635" s="3">
        <v>0.67989999999999995</v>
      </c>
      <c r="S6635" s="3">
        <v>0.15090000000000001</v>
      </c>
      <c r="T6635" s="3">
        <v>2.7000000000000001E-3</v>
      </c>
      <c r="V6635" s="3">
        <v>7.6E-3</v>
      </c>
      <c r="W6635" s="3">
        <v>3.2000000000000002E-3</v>
      </c>
    </row>
    <row r="6636" spans="1:23">
      <c r="A6636" t="s">
        <v>195</v>
      </c>
      <c r="B6636" t="s">
        <v>215</v>
      </c>
      <c r="C6636">
        <v>135</v>
      </c>
      <c r="D6636" t="s">
        <v>194</v>
      </c>
      <c r="E6636">
        <v>2675</v>
      </c>
      <c r="F6636" s="3">
        <v>1.1299999999999999E-2</v>
      </c>
      <c r="I6636" s="3">
        <v>4.3E-3</v>
      </c>
      <c r="J6636" s="3">
        <v>4.8999999999999998E-3</v>
      </c>
      <c r="K6636" s="3">
        <v>5.0299999999999997E-2</v>
      </c>
      <c r="L6636" s="3">
        <v>0.11700000000000001</v>
      </c>
      <c r="N6636" s="3">
        <v>2.1999999999999999E-2</v>
      </c>
      <c r="R6636" s="3">
        <v>0.63700000000000001</v>
      </c>
      <c r="S6636" s="3">
        <v>0.1178</v>
      </c>
      <c r="T6636" s="3">
        <v>6.4999999999999997E-3</v>
      </c>
      <c r="U6636" s="3">
        <v>2.2499999999999999E-2</v>
      </c>
      <c r="V6636" s="3">
        <v>3.9100000000000003E-2</v>
      </c>
    </row>
    <row r="6637" spans="1:23">
      <c r="A6637" t="s">
        <v>199</v>
      </c>
      <c r="B6637" t="s">
        <v>212</v>
      </c>
      <c r="C6637">
        <v>1117</v>
      </c>
      <c r="D6637" t="s">
        <v>194</v>
      </c>
      <c r="E6637">
        <v>2675</v>
      </c>
      <c r="F6637" s="3">
        <v>1.0800000000000001E-2</v>
      </c>
      <c r="I6637" s="3">
        <v>1.6000000000000001E-3</v>
      </c>
      <c r="J6637" s="3">
        <v>2.9999999999999997E-4</v>
      </c>
      <c r="K6637" s="3">
        <v>9.7999999999999997E-3</v>
      </c>
      <c r="L6637" s="3">
        <v>0.13239999999999999</v>
      </c>
      <c r="M6637" s="3">
        <v>2.3E-3</v>
      </c>
      <c r="N6637" s="3">
        <v>6.4999999999999997E-3</v>
      </c>
      <c r="O6637" s="3">
        <v>6.9999999999999999E-4</v>
      </c>
      <c r="P6637" s="3">
        <v>5.0000000000000001E-4</v>
      </c>
      <c r="Q6637" s="3">
        <v>0</v>
      </c>
      <c r="R6637" s="3">
        <v>0.61370000000000002</v>
      </c>
      <c r="S6637" s="3">
        <v>0.2369</v>
      </c>
      <c r="T6637" s="3">
        <v>5.3E-3</v>
      </c>
      <c r="U6637" s="3">
        <v>2.9999999999999997E-4</v>
      </c>
      <c r="V6637" s="3">
        <v>5.3E-3</v>
      </c>
      <c r="W6637" s="3">
        <v>1.54E-2</v>
      </c>
    </row>
    <row r="6638" spans="1:23">
      <c r="A6638" t="s">
        <v>199</v>
      </c>
      <c r="B6638" t="s">
        <v>214</v>
      </c>
      <c r="C6638">
        <v>196</v>
      </c>
      <c r="D6638" t="s">
        <v>194</v>
      </c>
      <c r="E6638">
        <v>2675</v>
      </c>
      <c r="J6638" s="3">
        <v>6.4999999999999997E-3</v>
      </c>
      <c r="K6638" s="3">
        <v>1.0800000000000001E-2</v>
      </c>
      <c r="L6638" s="3">
        <v>3.5099999999999999E-2</v>
      </c>
      <c r="M6638" s="3">
        <v>1.2999999999999999E-3</v>
      </c>
      <c r="N6638" s="3">
        <v>1.5E-3</v>
      </c>
      <c r="O6638" s="3">
        <v>2.3E-3</v>
      </c>
      <c r="R6638" s="3">
        <v>0.74490000000000001</v>
      </c>
      <c r="S6638" s="3">
        <v>0.19670000000000001</v>
      </c>
      <c r="T6638" s="3">
        <v>2E-3</v>
      </c>
      <c r="V6638" s="3">
        <v>5.4999999999999997E-3</v>
      </c>
      <c r="W6638" s="3">
        <v>2.2000000000000001E-3</v>
      </c>
    </row>
    <row r="6639" spans="1:23">
      <c r="A6639" t="s">
        <v>199</v>
      </c>
      <c r="B6639" t="s">
        <v>215</v>
      </c>
      <c r="C6639">
        <v>173</v>
      </c>
      <c r="D6639" t="s">
        <v>194</v>
      </c>
      <c r="E6639">
        <v>2675</v>
      </c>
      <c r="I6639" s="3">
        <v>1.2999999999999999E-3</v>
      </c>
      <c r="J6639" s="3">
        <v>2.0999999999999999E-3</v>
      </c>
      <c r="K6639" s="3">
        <v>1.4E-2</v>
      </c>
      <c r="L6639" s="3">
        <v>0.32369999999999999</v>
      </c>
      <c r="M6639" s="3">
        <v>4.8999999999999998E-3</v>
      </c>
      <c r="N6639" s="3">
        <v>1.5E-3</v>
      </c>
      <c r="R6639" s="3">
        <v>0.438</v>
      </c>
      <c r="S6639" s="3">
        <v>0.19320000000000001</v>
      </c>
      <c r="T6639" s="3">
        <v>3.2000000000000002E-3</v>
      </c>
      <c r="U6639" s="3">
        <v>2.0999999999999999E-3</v>
      </c>
      <c r="V6639" s="3">
        <v>3.0800000000000001E-2</v>
      </c>
    </row>
    <row r="6640" spans="1:23">
      <c r="A6640" t="s">
        <v>200</v>
      </c>
      <c r="B6640" t="s">
        <v>200</v>
      </c>
      <c r="C6640">
        <v>2675</v>
      </c>
      <c r="D6640" t="s">
        <v>200</v>
      </c>
      <c r="E6640">
        <v>2675</v>
      </c>
      <c r="F6640" s="3">
        <v>1.24E-2</v>
      </c>
      <c r="G6640" s="3">
        <v>1E-4</v>
      </c>
      <c r="H6640" s="3">
        <v>1.4E-3</v>
      </c>
      <c r="I6640" s="3">
        <v>2.0999999999999999E-3</v>
      </c>
      <c r="J6640" s="3">
        <v>1E-3</v>
      </c>
      <c r="K6640" s="3">
        <v>1.37E-2</v>
      </c>
      <c r="L6640" s="3">
        <v>0.13220000000000001</v>
      </c>
      <c r="M6640" s="3">
        <v>3.2000000000000002E-3</v>
      </c>
      <c r="N6640" s="3">
        <v>8.0999999999999996E-3</v>
      </c>
      <c r="O6640" s="3">
        <v>1.8E-3</v>
      </c>
      <c r="P6640" s="3">
        <v>4.0000000000000002E-4</v>
      </c>
      <c r="Q6640" s="3">
        <v>0</v>
      </c>
      <c r="R6640" s="3">
        <v>0.65510000000000002</v>
      </c>
      <c r="S6640" s="3">
        <v>0.17949999999999999</v>
      </c>
      <c r="T6640" s="3">
        <v>3.8999999999999998E-3</v>
      </c>
      <c r="U6640" s="3">
        <v>2E-3</v>
      </c>
      <c r="V6640" s="3">
        <v>1.1900000000000001E-2</v>
      </c>
      <c r="W6640" s="3">
        <v>1.2200000000000001E-2</v>
      </c>
    </row>
    <row r="6642" spans="1:23" ht="45">
      <c r="A6642" s="22" t="s">
        <v>1477</v>
      </c>
    </row>
    <row r="6643" spans="1:23">
      <c r="A6643" t="s">
        <v>185</v>
      </c>
      <c r="B6643" t="s">
        <v>186</v>
      </c>
      <c r="C6643" t="s">
        <v>192</v>
      </c>
      <c r="D6643" t="s">
        <v>184</v>
      </c>
      <c r="E6643" t="s">
        <v>193</v>
      </c>
      <c r="F6643" t="s">
        <v>1465</v>
      </c>
      <c r="G6643" t="s">
        <v>1466</v>
      </c>
      <c r="H6643" t="s">
        <v>257</v>
      </c>
      <c r="I6643" t="s">
        <v>1413</v>
      </c>
      <c r="J6643" t="s">
        <v>1414</v>
      </c>
      <c r="K6643" t="s">
        <v>1415</v>
      </c>
      <c r="L6643" t="s">
        <v>1467</v>
      </c>
      <c r="M6643" t="s">
        <v>1417</v>
      </c>
      <c r="N6643" t="s">
        <v>1468</v>
      </c>
      <c r="O6643" t="s">
        <v>1419</v>
      </c>
      <c r="P6643" t="s">
        <v>1469</v>
      </c>
      <c r="Q6643" t="s">
        <v>1470</v>
      </c>
      <c r="R6643" t="s">
        <v>1422</v>
      </c>
      <c r="S6643" t="s">
        <v>1423</v>
      </c>
      <c r="T6643" t="s">
        <v>1471</v>
      </c>
      <c r="U6643" t="s">
        <v>1472</v>
      </c>
      <c r="V6643" t="s">
        <v>1426</v>
      </c>
      <c r="W6643" t="s">
        <v>1427</v>
      </c>
    </row>
    <row r="6644" spans="1:23">
      <c r="A6644" t="s">
        <v>195</v>
      </c>
      <c r="B6644" t="s">
        <v>217</v>
      </c>
      <c r="C6644">
        <v>499</v>
      </c>
      <c r="D6644" t="s">
        <v>194</v>
      </c>
      <c r="E6644">
        <v>2675</v>
      </c>
      <c r="F6644" s="3">
        <v>2.3400000000000001E-2</v>
      </c>
      <c r="H6644" s="3">
        <v>7.0000000000000001E-3</v>
      </c>
      <c r="I6644" s="3">
        <v>4.5999999999999999E-3</v>
      </c>
      <c r="J6644" s="3">
        <v>1E-3</v>
      </c>
      <c r="K6644" s="3">
        <v>1.78E-2</v>
      </c>
      <c r="L6644" s="3">
        <v>0.1163</v>
      </c>
      <c r="M6644" s="3">
        <v>8.9999999999999998E-4</v>
      </c>
      <c r="N6644" s="3">
        <v>5.4000000000000003E-3</v>
      </c>
      <c r="O6644" s="3">
        <v>2.9999999999999997E-4</v>
      </c>
      <c r="R6644" s="3">
        <v>0.67910000000000004</v>
      </c>
      <c r="S6644" s="3">
        <v>0.1512</v>
      </c>
      <c r="T6644" s="3">
        <v>3.3E-3</v>
      </c>
      <c r="U6644" s="3">
        <v>4.0000000000000001E-3</v>
      </c>
      <c r="V6644" s="3">
        <v>2.53E-2</v>
      </c>
      <c r="W6644" s="3">
        <v>1.61E-2</v>
      </c>
    </row>
    <row r="6645" spans="1:23">
      <c r="A6645" t="s">
        <v>195</v>
      </c>
      <c r="B6645" t="s">
        <v>219</v>
      </c>
      <c r="C6645">
        <v>507</v>
      </c>
      <c r="D6645" t="s">
        <v>194</v>
      </c>
      <c r="E6645">
        <v>2675</v>
      </c>
      <c r="F6645" s="3">
        <v>1.84E-2</v>
      </c>
      <c r="G6645" s="3">
        <v>2.9999999999999997E-4</v>
      </c>
      <c r="H6645" s="3">
        <v>2.9999999999999997E-4</v>
      </c>
      <c r="I6645" s="3">
        <v>2.5999999999999999E-3</v>
      </c>
      <c r="K6645" s="3">
        <v>1.06E-2</v>
      </c>
      <c r="L6645" s="3">
        <v>0.1142</v>
      </c>
      <c r="M6645" s="3">
        <v>5.7000000000000002E-3</v>
      </c>
      <c r="N6645" s="3">
        <v>7.3000000000000001E-3</v>
      </c>
      <c r="O6645" s="3">
        <v>7.1999999999999998E-3</v>
      </c>
      <c r="P6645" s="3">
        <v>8.0000000000000004E-4</v>
      </c>
      <c r="R6645" s="3">
        <v>0.7369</v>
      </c>
      <c r="S6645" s="3">
        <v>9.7600000000000006E-2</v>
      </c>
      <c r="T6645" s="3">
        <v>4.1000000000000003E-3</v>
      </c>
      <c r="U6645" s="3">
        <v>5.5999999999999999E-3</v>
      </c>
      <c r="V6645" s="3">
        <v>1.01E-2</v>
      </c>
      <c r="W6645" s="3">
        <v>1.2800000000000001E-2</v>
      </c>
    </row>
    <row r="6646" spans="1:23">
      <c r="A6646" t="s">
        <v>195</v>
      </c>
      <c r="B6646" t="s">
        <v>220</v>
      </c>
      <c r="C6646">
        <v>182</v>
      </c>
      <c r="D6646" t="s">
        <v>194</v>
      </c>
      <c r="E6646">
        <v>2675</v>
      </c>
      <c r="F6646" s="3">
        <v>2.8E-3</v>
      </c>
      <c r="K6646" s="3">
        <v>3.39E-2</v>
      </c>
      <c r="L6646" s="3">
        <v>0.19470000000000001</v>
      </c>
      <c r="M6646" s="3">
        <v>8.8000000000000005E-3</v>
      </c>
      <c r="N6646" s="3">
        <v>3.5099999999999999E-2</v>
      </c>
      <c r="P6646" s="3">
        <v>5.9999999999999995E-4</v>
      </c>
      <c r="R6646" s="3">
        <v>0.67290000000000005</v>
      </c>
      <c r="S6646" s="3">
        <v>9.6299999999999997E-2</v>
      </c>
      <c r="V6646" s="3">
        <v>1.5900000000000001E-2</v>
      </c>
      <c r="W6646" s="3">
        <v>2.8E-3</v>
      </c>
    </row>
    <row r="6647" spans="1:23">
      <c r="A6647" t="s">
        <v>199</v>
      </c>
      <c r="B6647" t="s">
        <v>217</v>
      </c>
      <c r="C6647">
        <v>814</v>
      </c>
      <c r="D6647" t="s">
        <v>194</v>
      </c>
      <c r="E6647">
        <v>2675</v>
      </c>
      <c r="F6647" s="3">
        <v>1.17E-2</v>
      </c>
      <c r="I6647" s="3">
        <v>1.6000000000000001E-3</v>
      </c>
      <c r="J6647" s="3">
        <v>5.9999999999999995E-4</v>
      </c>
      <c r="K6647" s="3">
        <v>9.2999999999999992E-3</v>
      </c>
      <c r="L6647" s="3">
        <v>0.15609999999999999</v>
      </c>
      <c r="M6647" s="3">
        <v>3.3999999999999998E-3</v>
      </c>
      <c r="N6647" s="3">
        <v>5.1999999999999998E-3</v>
      </c>
      <c r="O6647" s="3">
        <v>8.9999999999999998E-4</v>
      </c>
      <c r="P6647" s="3">
        <v>2.0000000000000001E-4</v>
      </c>
      <c r="Q6647" s="3">
        <v>0</v>
      </c>
      <c r="R6647" s="3">
        <v>0.59499999999999997</v>
      </c>
      <c r="S6647" s="3">
        <v>0.22939999999999999</v>
      </c>
      <c r="T6647" s="3">
        <v>4.5999999999999999E-3</v>
      </c>
      <c r="U6647" s="3">
        <v>6.9999999999999999E-4</v>
      </c>
      <c r="V6647" s="3">
        <v>1.0500000000000001E-2</v>
      </c>
      <c r="W6647" s="3">
        <v>1.78E-2</v>
      </c>
    </row>
    <row r="6648" spans="1:23">
      <c r="A6648" t="s">
        <v>199</v>
      </c>
      <c r="B6648" t="s">
        <v>219</v>
      </c>
      <c r="C6648">
        <v>451</v>
      </c>
      <c r="D6648" t="s">
        <v>194</v>
      </c>
      <c r="E6648">
        <v>2675</v>
      </c>
      <c r="F6648" s="3">
        <v>3.2000000000000002E-3</v>
      </c>
      <c r="I6648" s="3">
        <v>1.6000000000000001E-3</v>
      </c>
      <c r="J6648" s="3">
        <v>4.1999999999999997E-3</v>
      </c>
      <c r="K6648" s="3">
        <v>1.3599999999999999E-2</v>
      </c>
      <c r="L6648" s="3">
        <v>9.6699999999999994E-2</v>
      </c>
      <c r="M6648" s="3">
        <v>1.2999999999999999E-3</v>
      </c>
      <c r="N6648" s="3">
        <v>4.1000000000000003E-3</v>
      </c>
      <c r="O6648" s="3">
        <v>1.4E-3</v>
      </c>
      <c r="P6648" s="3">
        <v>1E-3</v>
      </c>
      <c r="R6648" s="3">
        <v>0.69040000000000001</v>
      </c>
      <c r="S6648" s="3">
        <v>0.18360000000000001</v>
      </c>
      <c r="T6648" s="3">
        <v>3.8999999999999998E-3</v>
      </c>
      <c r="V6648" s="3">
        <v>4.8999999999999998E-3</v>
      </c>
      <c r="W6648" s="3">
        <v>5.5999999999999999E-3</v>
      </c>
    </row>
    <row r="6649" spans="1:23">
      <c r="A6649" t="s">
        <v>199</v>
      </c>
      <c r="B6649" t="s">
        <v>220</v>
      </c>
      <c r="C6649">
        <v>221</v>
      </c>
      <c r="D6649" t="s">
        <v>194</v>
      </c>
      <c r="E6649">
        <v>2675</v>
      </c>
      <c r="F6649" s="3">
        <v>2.8999999999999998E-3</v>
      </c>
      <c r="K6649" s="3">
        <v>8.6999999999999994E-3</v>
      </c>
      <c r="L6649" s="3">
        <v>0.1069</v>
      </c>
      <c r="M6649" s="3">
        <v>1E-4</v>
      </c>
      <c r="N6649" s="3">
        <v>7.4000000000000003E-3</v>
      </c>
      <c r="R6649" s="3">
        <v>0.59699999999999998</v>
      </c>
      <c r="S6649" s="3">
        <v>0.28699999999999998</v>
      </c>
      <c r="T6649" s="3">
        <v>5.7999999999999996E-3</v>
      </c>
      <c r="W6649" s="3">
        <v>6.9999999999999999E-4</v>
      </c>
    </row>
    <row r="6650" spans="1:23">
      <c r="A6650" t="s">
        <v>200</v>
      </c>
      <c r="B6650" t="s">
        <v>200</v>
      </c>
      <c r="C6650">
        <v>2675</v>
      </c>
      <c r="D6650" t="s">
        <v>200</v>
      </c>
      <c r="E6650">
        <v>2675</v>
      </c>
      <c r="F6650" s="3">
        <v>1.24E-2</v>
      </c>
      <c r="G6650" s="3">
        <v>1E-4</v>
      </c>
      <c r="H6650" s="3">
        <v>1.4E-3</v>
      </c>
      <c r="I6650" s="3">
        <v>2.0999999999999999E-3</v>
      </c>
      <c r="J6650" s="3">
        <v>1E-3</v>
      </c>
      <c r="K6650" s="3">
        <v>1.37E-2</v>
      </c>
      <c r="L6650" s="3">
        <v>0.13220000000000001</v>
      </c>
      <c r="M6650" s="3">
        <v>3.2000000000000002E-3</v>
      </c>
      <c r="N6650" s="3">
        <v>8.0999999999999996E-3</v>
      </c>
      <c r="O6650" s="3">
        <v>1.8E-3</v>
      </c>
      <c r="P6650" s="3">
        <v>4.0000000000000002E-4</v>
      </c>
      <c r="Q6650" s="3">
        <v>0</v>
      </c>
      <c r="R6650" s="3">
        <v>0.65510000000000002</v>
      </c>
      <c r="S6650" s="3">
        <v>0.17949999999999999</v>
      </c>
      <c r="T6650" s="3">
        <v>3.8999999999999998E-3</v>
      </c>
      <c r="U6650" s="3">
        <v>2E-3</v>
      </c>
      <c r="V6650" s="3">
        <v>1.1900000000000001E-2</v>
      </c>
      <c r="W6650" s="3">
        <v>1.2200000000000001E-2</v>
      </c>
    </row>
    <row r="6652" spans="1:23" ht="30">
      <c r="A6652" s="22" t="s">
        <v>1478</v>
      </c>
    </row>
    <row r="6653" spans="1:23">
      <c r="A6653" t="s">
        <v>185</v>
      </c>
      <c r="B6653" t="s">
        <v>186</v>
      </c>
      <c r="C6653" t="s">
        <v>192</v>
      </c>
      <c r="D6653" t="s">
        <v>184</v>
      </c>
      <c r="E6653" t="s">
        <v>193</v>
      </c>
      <c r="F6653" t="s">
        <v>1479</v>
      </c>
      <c r="G6653" t="s">
        <v>257</v>
      </c>
      <c r="H6653" t="s">
        <v>1480</v>
      </c>
      <c r="I6653" t="s">
        <v>1481</v>
      </c>
      <c r="J6653" t="s">
        <v>329</v>
      </c>
      <c r="K6653" t="s">
        <v>1482</v>
      </c>
    </row>
    <row r="6654" spans="1:23">
      <c r="A6654" t="s">
        <v>195</v>
      </c>
      <c r="B6654" t="s">
        <v>196</v>
      </c>
      <c r="C6654">
        <v>413</v>
      </c>
      <c r="D6654" t="s">
        <v>194</v>
      </c>
      <c r="E6654">
        <v>2677</v>
      </c>
      <c r="F6654" s="3">
        <v>0.95450000000000002</v>
      </c>
      <c r="G6654" s="3">
        <v>1.1999999999999999E-3</v>
      </c>
      <c r="H6654" s="3">
        <v>0.68540000000000001</v>
      </c>
      <c r="I6654" s="3">
        <v>0.9496</v>
      </c>
      <c r="J6654" s="3">
        <v>2.7400000000000001E-2</v>
      </c>
      <c r="K6654" s="3">
        <v>0.9577</v>
      </c>
    </row>
    <row r="6655" spans="1:23">
      <c r="A6655" t="s">
        <v>195</v>
      </c>
      <c r="B6655" t="s">
        <v>198</v>
      </c>
      <c r="C6655">
        <v>755</v>
      </c>
      <c r="D6655" t="s">
        <v>194</v>
      </c>
      <c r="E6655">
        <v>2677</v>
      </c>
      <c r="F6655" s="3">
        <v>0.94389999999999996</v>
      </c>
      <c r="G6655" s="3">
        <v>1.1999999999999999E-3</v>
      </c>
      <c r="H6655" s="3">
        <v>0.93959999999999999</v>
      </c>
      <c r="I6655" s="3">
        <v>0.97840000000000005</v>
      </c>
      <c r="J6655" s="3">
        <v>1.1599999999999999E-2</v>
      </c>
      <c r="K6655" s="3">
        <v>0.97430000000000005</v>
      </c>
    </row>
    <row r="6656" spans="1:23">
      <c r="A6656" t="s">
        <v>199</v>
      </c>
      <c r="B6656" t="s">
        <v>196</v>
      </c>
      <c r="C6656">
        <v>525</v>
      </c>
      <c r="D6656" t="s">
        <v>194</v>
      </c>
      <c r="E6656">
        <v>2677</v>
      </c>
      <c r="F6656" s="3">
        <v>0.97619999999999996</v>
      </c>
      <c r="G6656" s="3">
        <v>5.9999999999999995E-4</v>
      </c>
      <c r="H6656" s="3">
        <v>0.84030000000000005</v>
      </c>
      <c r="I6656" s="3">
        <v>0.96960000000000002</v>
      </c>
      <c r="J6656" s="3">
        <v>7.3000000000000001E-3</v>
      </c>
      <c r="K6656" s="3">
        <v>0.98419999999999996</v>
      </c>
    </row>
    <row r="6657" spans="1:11">
      <c r="A6657" t="s">
        <v>199</v>
      </c>
      <c r="B6657" t="s">
        <v>198</v>
      </c>
      <c r="C6657">
        <v>945</v>
      </c>
      <c r="D6657" t="s">
        <v>194</v>
      </c>
      <c r="E6657">
        <v>2677</v>
      </c>
      <c r="F6657" s="3">
        <v>0.96299999999999997</v>
      </c>
      <c r="G6657" s="3">
        <v>5.0000000000000001E-4</v>
      </c>
      <c r="H6657" s="3">
        <v>0.95960000000000001</v>
      </c>
      <c r="I6657" s="3">
        <v>0.9839</v>
      </c>
      <c r="J6657" s="3">
        <v>9.1999999999999998E-3</v>
      </c>
      <c r="K6657" s="3">
        <v>0.98740000000000006</v>
      </c>
    </row>
    <row r="6658" spans="1:11">
      <c r="A6658" t="s">
        <v>200</v>
      </c>
      <c r="B6658" t="s">
        <v>200</v>
      </c>
      <c r="C6658">
        <v>2677</v>
      </c>
      <c r="D6658" t="s">
        <v>200</v>
      </c>
      <c r="E6658">
        <v>2677</v>
      </c>
      <c r="F6658" s="3">
        <v>0.95699999999999996</v>
      </c>
      <c r="G6658" s="3">
        <v>8.0000000000000004E-4</v>
      </c>
      <c r="H6658" s="3">
        <v>0.9083</v>
      </c>
      <c r="I6658" s="3">
        <v>0.97660000000000002</v>
      </c>
      <c r="J6658" s="3">
        <v>1.1900000000000001E-2</v>
      </c>
      <c r="K6658" s="3">
        <v>0.97929999999999995</v>
      </c>
    </row>
    <row r="6660" spans="1:11" ht="45">
      <c r="A6660" s="22" t="s">
        <v>1483</v>
      </c>
    </row>
    <row r="6661" spans="1:11">
      <c r="A6661" t="s">
        <v>185</v>
      </c>
      <c r="B6661" t="s">
        <v>186</v>
      </c>
      <c r="C6661" t="s">
        <v>192</v>
      </c>
      <c r="D6661" t="s">
        <v>184</v>
      </c>
      <c r="E6661" t="s">
        <v>193</v>
      </c>
      <c r="F6661" t="s">
        <v>1479</v>
      </c>
      <c r="G6661" t="s">
        <v>257</v>
      </c>
      <c r="H6661" t="s">
        <v>1480</v>
      </c>
      <c r="I6661" t="s">
        <v>1481</v>
      </c>
      <c r="J6661" t="s">
        <v>329</v>
      </c>
      <c r="K6661" t="s">
        <v>1482</v>
      </c>
    </row>
    <row r="6662" spans="1:11">
      <c r="A6662" t="s">
        <v>195</v>
      </c>
      <c r="B6662" t="s">
        <v>202</v>
      </c>
      <c r="C6662">
        <v>533</v>
      </c>
      <c r="D6662" t="s">
        <v>194</v>
      </c>
      <c r="E6662">
        <v>2677</v>
      </c>
      <c r="F6662" s="3">
        <v>0.95389999999999997</v>
      </c>
      <c r="G6662" s="3">
        <v>1.2999999999999999E-3</v>
      </c>
      <c r="H6662" s="3">
        <v>0.85680000000000001</v>
      </c>
      <c r="I6662" s="3">
        <v>0.96970000000000001</v>
      </c>
      <c r="J6662" s="3">
        <v>1.78E-2</v>
      </c>
      <c r="K6662" s="3">
        <v>0.97130000000000005</v>
      </c>
    </row>
    <row r="6663" spans="1:11">
      <c r="A6663" t="s">
        <v>195</v>
      </c>
      <c r="B6663" t="s">
        <v>204</v>
      </c>
      <c r="C6663">
        <v>301</v>
      </c>
      <c r="D6663" t="s">
        <v>194</v>
      </c>
      <c r="E6663">
        <v>2677</v>
      </c>
      <c r="F6663" s="3">
        <v>0.91790000000000005</v>
      </c>
      <c r="H6663" s="3">
        <v>0.88339999999999996</v>
      </c>
      <c r="I6663" s="3">
        <v>0.9758</v>
      </c>
      <c r="J6663" s="3">
        <v>1.17E-2</v>
      </c>
      <c r="K6663" s="3">
        <v>0.96399999999999997</v>
      </c>
    </row>
    <row r="6664" spans="1:11">
      <c r="A6664" t="s">
        <v>195</v>
      </c>
      <c r="B6664" t="s">
        <v>205</v>
      </c>
      <c r="C6664">
        <v>334</v>
      </c>
      <c r="D6664" t="s">
        <v>194</v>
      </c>
      <c r="E6664">
        <v>2677</v>
      </c>
      <c r="F6664" s="3">
        <v>0.95809999999999995</v>
      </c>
      <c r="G6664" s="3">
        <v>2.3E-3</v>
      </c>
      <c r="H6664" s="3">
        <v>0.92430000000000001</v>
      </c>
      <c r="I6664" s="3">
        <v>0.96730000000000005</v>
      </c>
      <c r="J6664" s="3">
        <v>1.2800000000000001E-2</v>
      </c>
      <c r="K6664" s="3">
        <v>0.97260000000000002</v>
      </c>
    </row>
    <row r="6665" spans="1:11">
      <c r="A6665" t="s">
        <v>199</v>
      </c>
      <c r="B6665" t="s">
        <v>202</v>
      </c>
      <c r="C6665">
        <v>538</v>
      </c>
      <c r="D6665" t="s">
        <v>194</v>
      </c>
      <c r="E6665">
        <v>2677</v>
      </c>
      <c r="F6665" s="3">
        <v>0.97909999999999997</v>
      </c>
      <c r="H6665" s="3">
        <v>0.95120000000000005</v>
      </c>
      <c r="I6665" s="3">
        <v>0.98799999999999999</v>
      </c>
      <c r="J6665" s="3">
        <v>3.5999999999999999E-3</v>
      </c>
      <c r="K6665" s="3">
        <v>0.99439999999999995</v>
      </c>
    </row>
    <row r="6666" spans="1:11">
      <c r="A6666" t="s">
        <v>199</v>
      </c>
      <c r="B6666" t="s">
        <v>204</v>
      </c>
      <c r="C6666">
        <v>426</v>
      </c>
      <c r="D6666" t="s">
        <v>194</v>
      </c>
      <c r="E6666">
        <v>2677</v>
      </c>
      <c r="F6666" s="3">
        <v>0.93069999999999997</v>
      </c>
      <c r="G6666" s="3">
        <v>1.1999999999999999E-3</v>
      </c>
      <c r="H6666" s="3">
        <v>0.88900000000000001</v>
      </c>
      <c r="I6666" s="3">
        <v>0.97660000000000002</v>
      </c>
      <c r="J6666" s="3">
        <v>8.3999999999999995E-3</v>
      </c>
      <c r="K6666" s="3">
        <v>0.98209999999999997</v>
      </c>
    </row>
    <row r="6667" spans="1:11">
      <c r="A6667" t="s">
        <v>199</v>
      </c>
      <c r="B6667" t="s">
        <v>205</v>
      </c>
      <c r="C6667">
        <v>506</v>
      </c>
      <c r="D6667" t="s">
        <v>194</v>
      </c>
      <c r="E6667">
        <v>2677</v>
      </c>
      <c r="F6667" s="3">
        <v>0.95379999999999998</v>
      </c>
      <c r="G6667" s="3">
        <v>1.6000000000000001E-3</v>
      </c>
      <c r="H6667" s="3">
        <v>0.94120000000000004</v>
      </c>
      <c r="I6667" s="3">
        <v>0.96099999999999997</v>
      </c>
      <c r="J6667" s="3">
        <v>2.9100000000000001E-2</v>
      </c>
      <c r="K6667" s="3">
        <v>0.96350000000000002</v>
      </c>
    </row>
    <row r="6668" spans="1:11">
      <c r="A6668" t="s">
        <v>200</v>
      </c>
      <c r="B6668" t="s">
        <v>200</v>
      </c>
      <c r="C6668">
        <v>2677</v>
      </c>
      <c r="D6668" t="s">
        <v>200</v>
      </c>
      <c r="E6668">
        <v>2677</v>
      </c>
      <c r="F6668" s="3">
        <v>0.95699999999999996</v>
      </c>
      <c r="G6668" s="3">
        <v>8.0000000000000004E-4</v>
      </c>
      <c r="H6668" s="3">
        <v>0.9083</v>
      </c>
      <c r="I6668" s="3">
        <v>0.97660000000000002</v>
      </c>
      <c r="J6668" s="3">
        <v>1.1900000000000001E-2</v>
      </c>
      <c r="K6668" s="3">
        <v>0.97929999999999995</v>
      </c>
    </row>
    <row r="6670" spans="1:11" ht="45">
      <c r="A6670" s="22" t="s">
        <v>1484</v>
      </c>
    </row>
    <row r="6671" spans="1:11">
      <c r="A6671" t="s">
        <v>185</v>
      </c>
      <c r="B6671" t="s">
        <v>186</v>
      </c>
      <c r="C6671" t="s">
        <v>192</v>
      </c>
      <c r="D6671" t="s">
        <v>184</v>
      </c>
      <c r="E6671" t="s">
        <v>193</v>
      </c>
      <c r="F6671" t="s">
        <v>1479</v>
      </c>
      <c r="G6671" t="s">
        <v>257</v>
      </c>
      <c r="H6671" t="s">
        <v>1480</v>
      </c>
      <c r="I6671" t="s">
        <v>1481</v>
      </c>
      <c r="J6671" t="s">
        <v>329</v>
      </c>
      <c r="K6671" t="s">
        <v>1482</v>
      </c>
    </row>
    <row r="6672" spans="1:11">
      <c r="A6672" t="s">
        <v>195</v>
      </c>
      <c r="B6672" t="s">
        <v>207</v>
      </c>
      <c r="C6672">
        <v>322</v>
      </c>
      <c r="D6672" t="s">
        <v>194</v>
      </c>
      <c r="E6672">
        <v>2677</v>
      </c>
      <c r="F6672" s="3">
        <v>0.94599999999999995</v>
      </c>
      <c r="H6672" s="3">
        <v>0.87649999999999995</v>
      </c>
      <c r="I6672" s="3">
        <v>0.97419999999999995</v>
      </c>
      <c r="J6672" s="3">
        <v>9.5999999999999992E-3</v>
      </c>
      <c r="K6672" s="3">
        <v>0.96970000000000001</v>
      </c>
    </row>
    <row r="6673" spans="1:11">
      <c r="A6673" t="s">
        <v>195</v>
      </c>
      <c r="B6673" t="s">
        <v>209</v>
      </c>
      <c r="C6673">
        <v>867</v>
      </c>
      <c r="D6673" t="s">
        <v>194</v>
      </c>
      <c r="E6673">
        <v>2677</v>
      </c>
      <c r="F6673" s="3">
        <v>0.94669999999999999</v>
      </c>
      <c r="G6673" s="3">
        <v>1.6000000000000001E-3</v>
      </c>
      <c r="H6673" s="3">
        <v>0.87019999999999997</v>
      </c>
      <c r="I6673" s="3">
        <v>0.96970000000000001</v>
      </c>
      <c r="J6673" s="3">
        <v>1.7899999999999999E-2</v>
      </c>
      <c r="K6673" s="3">
        <v>0.97009999999999996</v>
      </c>
    </row>
    <row r="6674" spans="1:11">
      <c r="A6674" t="s">
        <v>199</v>
      </c>
      <c r="B6674" t="s">
        <v>207</v>
      </c>
      <c r="C6674">
        <v>283</v>
      </c>
      <c r="D6674" t="s">
        <v>194</v>
      </c>
      <c r="E6674">
        <v>2677</v>
      </c>
      <c r="F6674" s="3">
        <v>0.91569999999999996</v>
      </c>
      <c r="H6674" s="3">
        <v>0.85540000000000005</v>
      </c>
      <c r="I6674" s="3">
        <v>0.92220000000000002</v>
      </c>
      <c r="J6674" s="3">
        <v>5.0099999999999999E-2</v>
      </c>
      <c r="K6674" s="3">
        <v>0.9456</v>
      </c>
    </row>
    <row r="6675" spans="1:11">
      <c r="A6675" t="s">
        <v>199</v>
      </c>
      <c r="B6675" t="s">
        <v>209</v>
      </c>
      <c r="C6675">
        <v>1205</v>
      </c>
      <c r="D6675" t="s">
        <v>194</v>
      </c>
      <c r="E6675">
        <v>2677</v>
      </c>
      <c r="F6675" s="3">
        <v>0.97230000000000005</v>
      </c>
      <c r="G6675" s="3">
        <v>5.9999999999999995E-4</v>
      </c>
      <c r="H6675" s="3">
        <v>0.94869999999999999</v>
      </c>
      <c r="I6675" s="3">
        <v>0.98939999999999995</v>
      </c>
      <c r="J6675" s="3">
        <v>3.2000000000000002E-3</v>
      </c>
      <c r="K6675" s="3">
        <v>0.99239999999999995</v>
      </c>
    </row>
    <row r="6676" spans="1:11">
      <c r="A6676" t="s">
        <v>200</v>
      </c>
      <c r="B6676" t="s">
        <v>200</v>
      </c>
      <c r="C6676">
        <v>2677</v>
      </c>
      <c r="D6676" t="s">
        <v>200</v>
      </c>
      <c r="E6676">
        <v>2677</v>
      </c>
      <c r="F6676" s="3">
        <v>0.95699999999999996</v>
      </c>
      <c r="G6676" s="3">
        <v>8.0000000000000004E-4</v>
      </c>
      <c r="H6676" s="3">
        <v>0.9083</v>
      </c>
      <c r="I6676" s="3">
        <v>0.97660000000000002</v>
      </c>
      <c r="J6676" s="3">
        <v>1.1900000000000001E-2</v>
      </c>
      <c r="K6676" s="3">
        <v>0.97929999999999995</v>
      </c>
    </row>
    <row r="6678" spans="1:11" ht="45">
      <c r="A6678" s="22" t="s">
        <v>1485</v>
      </c>
    </row>
    <row r="6679" spans="1:11">
      <c r="A6679" t="s">
        <v>185</v>
      </c>
      <c r="B6679" t="s">
        <v>192</v>
      </c>
      <c r="C6679" t="s">
        <v>184</v>
      </c>
      <c r="D6679" t="s">
        <v>193</v>
      </c>
      <c r="E6679" t="s">
        <v>1479</v>
      </c>
      <c r="F6679" t="s">
        <v>257</v>
      </c>
      <c r="G6679" t="s">
        <v>1480</v>
      </c>
      <c r="H6679" t="s">
        <v>1481</v>
      </c>
      <c r="I6679" t="s">
        <v>329</v>
      </c>
      <c r="J6679" t="s">
        <v>1482</v>
      </c>
    </row>
    <row r="6680" spans="1:11">
      <c r="A6680" t="s">
        <v>195</v>
      </c>
      <c r="B6680">
        <v>1189</v>
      </c>
      <c r="C6680" t="s">
        <v>194</v>
      </c>
      <c r="D6680">
        <v>2677</v>
      </c>
      <c r="E6680" s="3">
        <v>0.94650000000000001</v>
      </c>
      <c r="F6680" s="3">
        <v>1.1999999999999999E-3</v>
      </c>
      <c r="G6680" s="3">
        <v>0.87180000000000002</v>
      </c>
      <c r="H6680" s="3">
        <v>0.9708</v>
      </c>
      <c r="I6680" s="3">
        <v>1.5800000000000002E-2</v>
      </c>
      <c r="J6680" s="3">
        <v>0.97</v>
      </c>
    </row>
    <row r="6681" spans="1:11">
      <c r="A6681" t="s">
        <v>199</v>
      </c>
      <c r="B6681">
        <v>1488</v>
      </c>
      <c r="C6681" t="s">
        <v>194</v>
      </c>
      <c r="D6681">
        <v>2677</v>
      </c>
      <c r="E6681" s="3">
        <v>0.96540000000000004</v>
      </c>
      <c r="F6681" s="3">
        <v>5.0000000000000001E-4</v>
      </c>
      <c r="G6681" s="3">
        <v>0.93740000000000001</v>
      </c>
      <c r="H6681" s="3">
        <v>0.98119999999999996</v>
      </c>
      <c r="I6681" s="3">
        <v>8.8999999999999999E-3</v>
      </c>
      <c r="J6681" s="3">
        <v>0.98670000000000002</v>
      </c>
    </row>
    <row r="6682" spans="1:11">
      <c r="A6682" t="s">
        <v>200</v>
      </c>
      <c r="B6682">
        <v>2677</v>
      </c>
      <c r="C6682" t="s">
        <v>200</v>
      </c>
      <c r="D6682">
        <v>2677</v>
      </c>
      <c r="E6682" s="3">
        <v>0.95699999999999996</v>
      </c>
      <c r="F6682" s="3">
        <v>8.0000000000000004E-4</v>
      </c>
      <c r="G6682" s="3">
        <v>0.9083</v>
      </c>
      <c r="H6682" s="3">
        <v>0.97660000000000002</v>
      </c>
      <c r="I6682" s="3">
        <v>1.1900000000000001E-2</v>
      </c>
      <c r="J6682" s="3">
        <v>0.97929999999999995</v>
      </c>
    </row>
    <row r="6684" spans="1:11" ht="45">
      <c r="A6684" s="22" t="s">
        <v>1486</v>
      </c>
    </row>
    <row r="6685" spans="1:11">
      <c r="A6685" t="s">
        <v>185</v>
      </c>
      <c r="B6685" t="s">
        <v>186</v>
      </c>
      <c r="C6685" t="s">
        <v>192</v>
      </c>
      <c r="D6685" t="s">
        <v>184</v>
      </c>
      <c r="E6685" t="s">
        <v>193</v>
      </c>
      <c r="F6685" t="s">
        <v>1479</v>
      </c>
      <c r="G6685" t="s">
        <v>257</v>
      </c>
      <c r="H6685" t="s">
        <v>1480</v>
      </c>
      <c r="I6685" t="s">
        <v>1481</v>
      </c>
      <c r="J6685" t="s">
        <v>329</v>
      </c>
      <c r="K6685" t="s">
        <v>1482</v>
      </c>
    </row>
    <row r="6686" spans="1:11">
      <c r="A6686" t="s">
        <v>195</v>
      </c>
      <c r="B6686" t="s">
        <v>212</v>
      </c>
      <c r="C6686">
        <v>873</v>
      </c>
      <c r="D6686" t="s">
        <v>194</v>
      </c>
      <c r="E6686">
        <v>2677</v>
      </c>
      <c r="F6686" s="3">
        <v>0.95250000000000001</v>
      </c>
      <c r="G6686" s="3">
        <v>1.5E-3</v>
      </c>
      <c r="H6686" s="3">
        <v>0.88190000000000002</v>
      </c>
      <c r="I6686" s="3">
        <v>0.97660000000000002</v>
      </c>
      <c r="J6686" s="3">
        <v>1.49E-2</v>
      </c>
      <c r="K6686" s="3">
        <v>0.96789999999999998</v>
      </c>
    </row>
    <row r="6687" spans="1:11">
      <c r="A6687" t="s">
        <v>195</v>
      </c>
      <c r="B6687" t="s">
        <v>214</v>
      </c>
      <c r="C6687">
        <v>181</v>
      </c>
      <c r="D6687" t="s">
        <v>194</v>
      </c>
      <c r="E6687">
        <v>2677</v>
      </c>
      <c r="F6687" s="3">
        <v>0.95830000000000004</v>
      </c>
      <c r="H6687" s="3">
        <v>0.84630000000000005</v>
      </c>
      <c r="I6687" s="3">
        <v>0.96630000000000005</v>
      </c>
      <c r="J6687" s="3">
        <v>6.9999999999999999E-4</v>
      </c>
      <c r="K6687" s="3">
        <v>0.99880000000000002</v>
      </c>
    </row>
    <row r="6688" spans="1:11">
      <c r="A6688" t="s">
        <v>195</v>
      </c>
      <c r="B6688" t="s">
        <v>215</v>
      </c>
      <c r="C6688">
        <v>135</v>
      </c>
      <c r="D6688" t="s">
        <v>194</v>
      </c>
      <c r="E6688">
        <v>2677</v>
      </c>
      <c r="F6688" s="3">
        <v>0.86970000000000003</v>
      </c>
      <c r="H6688" s="3">
        <v>0.83179999999999998</v>
      </c>
      <c r="I6688" s="3">
        <v>0.92810000000000004</v>
      </c>
      <c r="J6688" s="3">
        <v>5.28E-2</v>
      </c>
      <c r="K6688" s="3">
        <v>0.93220000000000003</v>
      </c>
    </row>
    <row r="6689" spans="1:11">
      <c r="A6689" t="s">
        <v>199</v>
      </c>
      <c r="B6689" t="s">
        <v>212</v>
      </c>
      <c r="C6689">
        <v>1118</v>
      </c>
      <c r="D6689" t="s">
        <v>194</v>
      </c>
      <c r="E6689">
        <v>2677</v>
      </c>
      <c r="F6689" s="3">
        <v>0.96940000000000004</v>
      </c>
      <c r="G6689" s="3">
        <v>6.9999999999999999E-4</v>
      </c>
      <c r="H6689" s="3">
        <v>0.94889999999999997</v>
      </c>
      <c r="I6689" s="3">
        <v>0.98180000000000001</v>
      </c>
      <c r="J6689" s="3">
        <v>7.3000000000000001E-3</v>
      </c>
      <c r="K6689" s="3">
        <v>0.98870000000000002</v>
      </c>
    </row>
    <row r="6690" spans="1:11">
      <c r="A6690" t="s">
        <v>199</v>
      </c>
      <c r="B6690" t="s">
        <v>214</v>
      </c>
      <c r="C6690">
        <v>197</v>
      </c>
      <c r="D6690" t="s">
        <v>194</v>
      </c>
      <c r="E6690">
        <v>2677</v>
      </c>
      <c r="F6690" s="3">
        <v>0.97650000000000003</v>
      </c>
      <c r="H6690" s="3">
        <v>0.93989999999999996</v>
      </c>
      <c r="I6690" s="3">
        <v>0.98409999999999997</v>
      </c>
      <c r="J6690" s="3">
        <v>7.1000000000000004E-3</v>
      </c>
      <c r="K6690" s="3">
        <v>0.98509999999999998</v>
      </c>
    </row>
    <row r="6691" spans="1:11">
      <c r="A6691" t="s">
        <v>199</v>
      </c>
      <c r="B6691" t="s">
        <v>215</v>
      </c>
      <c r="C6691">
        <v>173</v>
      </c>
      <c r="D6691" t="s">
        <v>194</v>
      </c>
      <c r="E6691">
        <v>2677</v>
      </c>
      <c r="F6691" s="3">
        <v>0.90990000000000004</v>
      </c>
      <c r="H6691" s="3">
        <v>0.82799999999999996</v>
      </c>
      <c r="I6691" s="3">
        <v>0.97030000000000005</v>
      </c>
      <c r="J6691" s="3">
        <v>2.63E-2</v>
      </c>
      <c r="K6691" s="3">
        <v>0.97209999999999996</v>
      </c>
    </row>
    <row r="6692" spans="1:11">
      <c r="A6692" t="s">
        <v>200</v>
      </c>
      <c r="B6692" t="s">
        <v>200</v>
      </c>
      <c r="C6692">
        <v>2677</v>
      </c>
      <c r="D6692" t="s">
        <v>200</v>
      </c>
      <c r="E6692">
        <v>2677</v>
      </c>
      <c r="F6692" s="3">
        <v>0.95699999999999996</v>
      </c>
      <c r="G6692" s="3">
        <v>8.0000000000000004E-4</v>
      </c>
      <c r="H6692" s="3">
        <v>0.9083</v>
      </c>
      <c r="I6692" s="3">
        <v>0.97660000000000002</v>
      </c>
      <c r="J6692" s="3">
        <v>1.1900000000000001E-2</v>
      </c>
      <c r="K6692" s="3">
        <v>0.97929999999999995</v>
      </c>
    </row>
    <row r="6694" spans="1:11" ht="45">
      <c r="A6694" s="22" t="s">
        <v>1487</v>
      </c>
    </row>
    <row r="6695" spans="1:11">
      <c r="A6695" t="s">
        <v>185</v>
      </c>
      <c r="B6695" t="s">
        <v>186</v>
      </c>
      <c r="C6695" t="s">
        <v>192</v>
      </c>
      <c r="D6695" t="s">
        <v>184</v>
      </c>
      <c r="E6695" t="s">
        <v>193</v>
      </c>
      <c r="F6695" t="s">
        <v>1479</v>
      </c>
      <c r="G6695" t="s">
        <v>257</v>
      </c>
      <c r="H6695" t="s">
        <v>1480</v>
      </c>
      <c r="I6695" t="s">
        <v>1481</v>
      </c>
      <c r="J6695" t="s">
        <v>329</v>
      </c>
      <c r="K6695" t="s">
        <v>1482</v>
      </c>
    </row>
    <row r="6696" spans="1:11">
      <c r="A6696" t="s">
        <v>195</v>
      </c>
      <c r="B6696" t="s">
        <v>217</v>
      </c>
      <c r="C6696">
        <v>499</v>
      </c>
      <c r="D6696" t="s">
        <v>194</v>
      </c>
      <c r="E6696">
        <v>2677</v>
      </c>
      <c r="F6696" s="3">
        <v>0.94640000000000002</v>
      </c>
      <c r="H6696" s="3">
        <v>0.86650000000000005</v>
      </c>
      <c r="I6696" s="3">
        <v>0.9698</v>
      </c>
      <c r="J6696" s="3">
        <v>1.8700000000000001E-2</v>
      </c>
      <c r="K6696" s="3">
        <v>0.96430000000000005</v>
      </c>
    </row>
    <row r="6697" spans="1:11">
      <c r="A6697" t="s">
        <v>195</v>
      </c>
      <c r="B6697" t="s">
        <v>219</v>
      </c>
      <c r="C6697">
        <v>507</v>
      </c>
      <c r="D6697" t="s">
        <v>194</v>
      </c>
      <c r="E6697">
        <v>2677</v>
      </c>
      <c r="F6697" s="3">
        <v>0.94879999999999998</v>
      </c>
      <c r="G6697" s="3">
        <v>2.2000000000000001E-3</v>
      </c>
      <c r="H6697" s="3">
        <v>0.88800000000000001</v>
      </c>
      <c r="I6697" s="3">
        <v>0.98060000000000003</v>
      </c>
      <c r="J6697" s="3">
        <v>1.2999999999999999E-2</v>
      </c>
      <c r="K6697" s="3">
        <v>0.97409999999999997</v>
      </c>
    </row>
    <row r="6698" spans="1:11">
      <c r="A6698" t="s">
        <v>195</v>
      </c>
      <c r="B6698" t="s">
        <v>220</v>
      </c>
      <c r="C6698">
        <v>182</v>
      </c>
      <c r="D6698" t="s">
        <v>194</v>
      </c>
      <c r="E6698">
        <v>2677</v>
      </c>
      <c r="F6698" s="3">
        <v>0.94230000000000003</v>
      </c>
      <c r="G6698" s="3">
        <v>1.6999999999999999E-3</v>
      </c>
      <c r="H6698" s="3">
        <v>0.85040000000000004</v>
      </c>
      <c r="I6698" s="3">
        <v>0.95299999999999996</v>
      </c>
      <c r="J6698" s="3">
        <v>1.47E-2</v>
      </c>
      <c r="K6698" s="3">
        <v>0.97430000000000005</v>
      </c>
    </row>
    <row r="6699" spans="1:11">
      <c r="A6699" t="s">
        <v>199</v>
      </c>
      <c r="B6699" t="s">
        <v>217</v>
      </c>
      <c r="C6699">
        <v>814</v>
      </c>
      <c r="D6699" t="s">
        <v>194</v>
      </c>
      <c r="E6699">
        <v>2677</v>
      </c>
      <c r="F6699" s="3">
        <v>0.97189999999999999</v>
      </c>
      <c r="G6699" s="3">
        <v>6.9999999999999999E-4</v>
      </c>
      <c r="H6699" s="3">
        <v>0.9345</v>
      </c>
      <c r="I6699" s="3">
        <v>0.9879</v>
      </c>
      <c r="J6699" s="3">
        <v>6.7000000000000002E-3</v>
      </c>
      <c r="K6699" s="3">
        <v>0.98970000000000002</v>
      </c>
    </row>
    <row r="6700" spans="1:11">
      <c r="A6700" t="s">
        <v>199</v>
      </c>
      <c r="B6700" t="s">
        <v>219</v>
      </c>
      <c r="C6700">
        <v>451</v>
      </c>
      <c r="D6700" t="s">
        <v>194</v>
      </c>
      <c r="E6700">
        <v>2677</v>
      </c>
      <c r="F6700" s="3">
        <v>0.94369999999999998</v>
      </c>
      <c r="H6700" s="3">
        <v>0.92649999999999999</v>
      </c>
      <c r="I6700" s="3">
        <v>0.95809999999999995</v>
      </c>
      <c r="J6700" s="3">
        <v>1.5900000000000001E-2</v>
      </c>
      <c r="K6700" s="3">
        <v>0.97689999999999999</v>
      </c>
    </row>
    <row r="6701" spans="1:11">
      <c r="A6701" t="s">
        <v>199</v>
      </c>
      <c r="B6701" t="s">
        <v>220</v>
      </c>
      <c r="C6701">
        <v>223</v>
      </c>
      <c r="D6701" t="s">
        <v>194</v>
      </c>
      <c r="E6701">
        <v>2677</v>
      </c>
      <c r="F6701" s="3">
        <v>0.97499999999999998</v>
      </c>
      <c r="G6701" s="3">
        <v>8.0000000000000004E-4</v>
      </c>
      <c r="H6701" s="3">
        <v>0.96540000000000004</v>
      </c>
      <c r="I6701" s="3">
        <v>0.99180000000000001</v>
      </c>
      <c r="J6701" s="3">
        <v>6.4000000000000003E-3</v>
      </c>
      <c r="K6701" s="3">
        <v>0.99109999999999998</v>
      </c>
    </row>
    <row r="6702" spans="1:11">
      <c r="A6702" t="s">
        <v>200</v>
      </c>
      <c r="B6702" t="s">
        <v>200</v>
      </c>
      <c r="C6702">
        <v>2677</v>
      </c>
      <c r="D6702" t="s">
        <v>200</v>
      </c>
      <c r="E6702">
        <v>2677</v>
      </c>
      <c r="F6702" s="3">
        <v>0.95699999999999996</v>
      </c>
      <c r="G6702" s="3">
        <v>8.0000000000000004E-4</v>
      </c>
      <c r="H6702" s="3">
        <v>0.9083</v>
      </c>
      <c r="I6702" s="3">
        <v>0.97660000000000002</v>
      </c>
      <c r="J6702" s="3">
        <v>1.1900000000000001E-2</v>
      </c>
      <c r="K6702" s="3">
        <v>0.97929999999999995</v>
      </c>
    </row>
    <row r="6704" spans="1:11" ht="45">
      <c r="A6704" s="22" t="s">
        <v>1488</v>
      </c>
    </row>
    <row r="6705" spans="1:9">
      <c r="A6705" t="s">
        <v>185</v>
      </c>
      <c r="B6705" t="s">
        <v>186</v>
      </c>
      <c r="C6705" t="s">
        <v>192</v>
      </c>
      <c r="D6705" t="s">
        <v>184</v>
      </c>
      <c r="E6705" t="s">
        <v>193</v>
      </c>
      <c r="F6705" t="s">
        <v>257</v>
      </c>
      <c r="G6705" t="s">
        <v>1307</v>
      </c>
      <c r="H6705" t="s">
        <v>1309</v>
      </c>
      <c r="I6705" t="s">
        <v>1310</v>
      </c>
    </row>
    <row r="6706" spans="1:9">
      <c r="A6706" t="s">
        <v>195</v>
      </c>
      <c r="B6706" t="s">
        <v>196</v>
      </c>
      <c r="C6706">
        <v>413</v>
      </c>
      <c r="D6706" t="s">
        <v>194</v>
      </c>
      <c r="E6706">
        <v>2677</v>
      </c>
      <c r="G6706" s="3">
        <v>3.09E-2</v>
      </c>
      <c r="H6706" s="3">
        <v>0.1996</v>
      </c>
      <c r="I6706" s="3">
        <v>0.76939999999999997</v>
      </c>
    </row>
    <row r="6707" spans="1:9">
      <c r="A6707" t="s">
        <v>195</v>
      </c>
      <c r="B6707" t="s">
        <v>198</v>
      </c>
      <c r="C6707">
        <v>755</v>
      </c>
      <c r="D6707" t="s">
        <v>194</v>
      </c>
      <c r="E6707">
        <v>2677</v>
      </c>
      <c r="F6707" s="3">
        <v>2.3999999999999998E-3</v>
      </c>
      <c r="G6707" s="3">
        <v>4.1000000000000003E-3</v>
      </c>
      <c r="H6707" s="3">
        <v>8.7800000000000003E-2</v>
      </c>
      <c r="I6707" s="3">
        <v>0.90569999999999995</v>
      </c>
    </row>
    <row r="6708" spans="1:9">
      <c r="A6708" t="s">
        <v>199</v>
      </c>
      <c r="B6708" t="s">
        <v>196</v>
      </c>
      <c r="C6708">
        <v>525</v>
      </c>
      <c r="D6708" t="s">
        <v>194</v>
      </c>
      <c r="E6708">
        <v>2677</v>
      </c>
      <c r="G6708" s="3">
        <v>1.67E-2</v>
      </c>
      <c r="H6708" s="3">
        <v>9.7500000000000003E-2</v>
      </c>
      <c r="I6708" s="3">
        <v>0.88580000000000003</v>
      </c>
    </row>
    <row r="6709" spans="1:9">
      <c r="A6709" t="s">
        <v>199</v>
      </c>
      <c r="B6709" t="s">
        <v>198</v>
      </c>
      <c r="C6709">
        <v>945</v>
      </c>
      <c r="D6709" t="s">
        <v>194</v>
      </c>
      <c r="E6709">
        <v>2677</v>
      </c>
      <c r="G6709" s="3">
        <v>1.9E-3</v>
      </c>
      <c r="H6709" s="3">
        <v>8.3699999999999997E-2</v>
      </c>
      <c r="I6709" s="3">
        <v>0.91439999999999999</v>
      </c>
    </row>
    <row r="6710" spans="1:9">
      <c r="A6710" t="s">
        <v>200</v>
      </c>
      <c r="B6710" t="s">
        <v>200</v>
      </c>
      <c r="C6710">
        <v>2677</v>
      </c>
      <c r="D6710" t="s">
        <v>200</v>
      </c>
      <c r="E6710">
        <v>2677</v>
      </c>
      <c r="F6710" s="3">
        <v>8.0000000000000004E-4</v>
      </c>
      <c r="G6710" s="3">
        <v>7.6E-3</v>
      </c>
      <c r="H6710" s="3">
        <v>0.1002</v>
      </c>
      <c r="I6710" s="3">
        <v>0.89149999999999996</v>
      </c>
    </row>
    <row r="6712" spans="1:9" ht="45">
      <c r="A6712" s="22" t="s">
        <v>1489</v>
      </c>
    </row>
    <row r="6713" spans="1:9">
      <c r="A6713" t="s">
        <v>185</v>
      </c>
      <c r="B6713" t="s">
        <v>186</v>
      </c>
      <c r="C6713" t="s">
        <v>192</v>
      </c>
      <c r="D6713" t="s">
        <v>184</v>
      </c>
      <c r="E6713" t="s">
        <v>193</v>
      </c>
      <c r="F6713" t="s">
        <v>257</v>
      </c>
      <c r="G6713" t="s">
        <v>1307</v>
      </c>
      <c r="H6713" t="s">
        <v>1309</v>
      </c>
      <c r="I6713" t="s">
        <v>1310</v>
      </c>
    </row>
    <row r="6714" spans="1:9">
      <c r="A6714" t="s">
        <v>195</v>
      </c>
      <c r="B6714" t="s">
        <v>202</v>
      </c>
      <c r="C6714">
        <v>533</v>
      </c>
      <c r="D6714" t="s">
        <v>194</v>
      </c>
      <c r="E6714">
        <v>2677</v>
      </c>
      <c r="F6714" s="3">
        <v>2.7000000000000001E-3</v>
      </c>
      <c r="G6714" s="3">
        <v>9.7999999999999997E-3</v>
      </c>
      <c r="H6714" s="3">
        <v>0.129</v>
      </c>
      <c r="I6714" s="3">
        <v>0.85850000000000004</v>
      </c>
    </row>
    <row r="6715" spans="1:9">
      <c r="A6715" t="s">
        <v>195</v>
      </c>
      <c r="B6715" t="s">
        <v>204</v>
      </c>
      <c r="C6715">
        <v>301</v>
      </c>
      <c r="D6715" t="s">
        <v>194</v>
      </c>
      <c r="E6715">
        <v>2677</v>
      </c>
      <c r="G6715" s="3">
        <v>1.9400000000000001E-2</v>
      </c>
      <c r="H6715" s="3">
        <v>0.1089</v>
      </c>
      <c r="I6715" s="3">
        <v>0.87170000000000003</v>
      </c>
    </row>
    <row r="6716" spans="1:9">
      <c r="A6716" t="s">
        <v>195</v>
      </c>
      <c r="B6716" t="s">
        <v>205</v>
      </c>
      <c r="C6716">
        <v>334</v>
      </c>
      <c r="D6716" t="s">
        <v>194</v>
      </c>
      <c r="E6716">
        <v>2677</v>
      </c>
      <c r="G6716" s="3">
        <v>5.3E-3</v>
      </c>
      <c r="H6716" s="3">
        <v>7.7299999999999994E-2</v>
      </c>
      <c r="I6716" s="3">
        <v>0.91739999999999999</v>
      </c>
    </row>
    <row r="6717" spans="1:9">
      <c r="A6717" t="s">
        <v>199</v>
      </c>
      <c r="B6717" t="s">
        <v>202</v>
      </c>
      <c r="C6717">
        <v>538</v>
      </c>
      <c r="D6717" t="s">
        <v>194</v>
      </c>
      <c r="E6717">
        <v>2677</v>
      </c>
      <c r="G6717" s="3">
        <v>2.8999999999999998E-3</v>
      </c>
      <c r="H6717" s="3">
        <v>0.10390000000000001</v>
      </c>
      <c r="I6717" s="3">
        <v>0.89319999999999999</v>
      </c>
    </row>
    <row r="6718" spans="1:9">
      <c r="A6718" t="s">
        <v>199</v>
      </c>
      <c r="B6718" t="s">
        <v>204</v>
      </c>
      <c r="C6718">
        <v>426</v>
      </c>
      <c r="D6718" t="s">
        <v>194</v>
      </c>
      <c r="E6718">
        <v>2677</v>
      </c>
      <c r="G6718" s="3">
        <v>1.2E-2</v>
      </c>
      <c r="H6718" s="3">
        <v>4.2299999999999997E-2</v>
      </c>
      <c r="I6718" s="3">
        <v>0.94569999999999999</v>
      </c>
    </row>
    <row r="6719" spans="1:9">
      <c r="A6719" t="s">
        <v>199</v>
      </c>
      <c r="B6719" t="s">
        <v>205</v>
      </c>
      <c r="C6719">
        <v>506</v>
      </c>
      <c r="D6719" t="s">
        <v>194</v>
      </c>
      <c r="E6719">
        <v>2677</v>
      </c>
      <c r="G6719" s="3">
        <v>2.5999999999999999E-3</v>
      </c>
      <c r="H6719" s="3">
        <v>7.0499999999999993E-2</v>
      </c>
      <c r="I6719" s="3">
        <v>0.92689999999999995</v>
      </c>
    </row>
    <row r="6720" spans="1:9">
      <c r="A6720" t="s">
        <v>200</v>
      </c>
      <c r="B6720" t="s">
        <v>200</v>
      </c>
      <c r="C6720">
        <v>2677</v>
      </c>
      <c r="D6720" t="s">
        <v>200</v>
      </c>
      <c r="E6720">
        <v>2677</v>
      </c>
      <c r="F6720" s="3">
        <v>8.0000000000000004E-4</v>
      </c>
      <c r="G6720" s="3">
        <v>7.6E-3</v>
      </c>
      <c r="H6720" s="3">
        <v>0.1002</v>
      </c>
      <c r="I6720" s="3">
        <v>0.89149999999999996</v>
      </c>
    </row>
    <row r="6722" spans="1:9" ht="45">
      <c r="A6722" s="22" t="s">
        <v>1490</v>
      </c>
    </row>
    <row r="6723" spans="1:9">
      <c r="A6723" t="s">
        <v>185</v>
      </c>
      <c r="B6723" t="s">
        <v>186</v>
      </c>
      <c r="C6723" t="s">
        <v>192</v>
      </c>
      <c r="D6723" t="s">
        <v>184</v>
      </c>
      <c r="E6723" t="s">
        <v>193</v>
      </c>
      <c r="F6723" t="s">
        <v>257</v>
      </c>
      <c r="G6723" t="s">
        <v>1307</v>
      </c>
      <c r="H6723" t="s">
        <v>1309</v>
      </c>
      <c r="I6723" t="s">
        <v>1310</v>
      </c>
    </row>
    <row r="6724" spans="1:9">
      <c r="A6724" t="s">
        <v>195</v>
      </c>
      <c r="B6724" t="s">
        <v>207</v>
      </c>
      <c r="C6724">
        <v>322</v>
      </c>
      <c r="D6724" t="s">
        <v>194</v>
      </c>
      <c r="E6724">
        <v>2677</v>
      </c>
      <c r="G6724" s="3">
        <v>1.9300000000000001E-2</v>
      </c>
      <c r="H6724" s="3">
        <v>0.1482</v>
      </c>
      <c r="I6724" s="3">
        <v>0.83250000000000002</v>
      </c>
    </row>
    <row r="6725" spans="1:9">
      <c r="A6725" t="s">
        <v>195</v>
      </c>
      <c r="B6725" t="s">
        <v>209</v>
      </c>
      <c r="C6725">
        <v>867</v>
      </c>
      <c r="D6725" t="s">
        <v>194</v>
      </c>
      <c r="E6725">
        <v>2677</v>
      </c>
      <c r="F6725" s="3">
        <v>2.3999999999999998E-3</v>
      </c>
      <c r="G6725" s="3">
        <v>8.3999999999999995E-3</v>
      </c>
      <c r="H6725" s="3">
        <v>0.10680000000000001</v>
      </c>
      <c r="I6725" s="3">
        <v>0.88239999999999996</v>
      </c>
    </row>
    <row r="6726" spans="1:9">
      <c r="A6726" t="s">
        <v>199</v>
      </c>
      <c r="B6726" t="s">
        <v>207</v>
      </c>
      <c r="C6726">
        <v>283</v>
      </c>
      <c r="D6726" t="s">
        <v>194</v>
      </c>
      <c r="E6726">
        <v>2677</v>
      </c>
      <c r="G6726" s="3">
        <v>1.44E-2</v>
      </c>
      <c r="H6726" s="3">
        <v>0.2011</v>
      </c>
      <c r="I6726" s="3">
        <v>0.78449999999999998</v>
      </c>
    </row>
    <row r="6727" spans="1:9">
      <c r="A6727" t="s">
        <v>199</v>
      </c>
      <c r="B6727" t="s">
        <v>209</v>
      </c>
      <c r="C6727">
        <v>1205</v>
      </c>
      <c r="D6727" t="s">
        <v>194</v>
      </c>
      <c r="E6727">
        <v>2677</v>
      </c>
      <c r="G6727" s="3">
        <v>3.3E-3</v>
      </c>
      <c r="H6727" s="3">
        <v>7.0400000000000004E-2</v>
      </c>
      <c r="I6727" s="3">
        <v>0.92630000000000001</v>
      </c>
    </row>
    <row r="6728" spans="1:9">
      <c r="A6728" t="s">
        <v>200</v>
      </c>
      <c r="B6728" t="s">
        <v>200</v>
      </c>
      <c r="C6728">
        <v>2677</v>
      </c>
      <c r="D6728" t="s">
        <v>200</v>
      </c>
      <c r="E6728">
        <v>2677</v>
      </c>
      <c r="F6728" s="3">
        <v>8.0000000000000004E-4</v>
      </c>
      <c r="G6728" s="3">
        <v>7.6E-3</v>
      </c>
      <c r="H6728" s="3">
        <v>0.1002</v>
      </c>
      <c r="I6728" s="3">
        <v>0.89149999999999996</v>
      </c>
    </row>
    <row r="6730" spans="1:9" ht="45">
      <c r="A6730" s="22" t="s">
        <v>1491</v>
      </c>
    </row>
    <row r="6731" spans="1:9">
      <c r="A6731" t="s">
        <v>185</v>
      </c>
      <c r="B6731" t="s">
        <v>192</v>
      </c>
      <c r="C6731" t="s">
        <v>184</v>
      </c>
      <c r="D6731" t="s">
        <v>193</v>
      </c>
      <c r="E6731" t="s">
        <v>257</v>
      </c>
      <c r="F6731" t="s">
        <v>1307</v>
      </c>
      <c r="G6731" t="s">
        <v>1309</v>
      </c>
      <c r="H6731" t="s">
        <v>1310</v>
      </c>
    </row>
    <row r="6732" spans="1:9">
      <c r="A6732" t="s">
        <v>195</v>
      </c>
      <c r="B6732">
        <v>1189</v>
      </c>
      <c r="C6732" t="s">
        <v>194</v>
      </c>
      <c r="D6732">
        <v>2677</v>
      </c>
      <c r="E6732" s="3">
        <v>1.6999999999999999E-3</v>
      </c>
      <c r="F6732" s="3">
        <v>1.12E-2</v>
      </c>
      <c r="G6732" s="3">
        <v>0.11749999999999999</v>
      </c>
      <c r="H6732" s="3">
        <v>0.86960000000000004</v>
      </c>
    </row>
    <row r="6733" spans="1:9">
      <c r="A6733" t="s">
        <v>199</v>
      </c>
      <c r="B6733">
        <v>1488</v>
      </c>
      <c r="C6733" t="s">
        <v>194</v>
      </c>
      <c r="D6733">
        <v>2677</v>
      </c>
      <c r="F6733" s="3">
        <v>4.5999999999999999E-3</v>
      </c>
      <c r="G6733" s="3">
        <v>8.6400000000000005E-2</v>
      </c>
      <c r="H6733" s="3">
        <v>0.90900000000000003</v>
      </c>
    </row>
    <row r="6734" spans="1:9">
      <c r="A6734" t="s">
        <v>200</v>
      </c>
      <c r="B6734">
        <v>2677</v>
      </c>
      <c r="C6734" t="s">
        <v>200</v>
      </c>
      <c r="D6734">
        <v>2677</v>
      </c>
      <c r="E6734" s="3">
        <v>8.0000000000000004E-4</v>
      </c>
      <c r="F6734" s="3">
        <v>7.6E-3</v>
      </c>
      <c r="G6734" s="3">
        <v>0.1002</v>
      </c>
      <c r="H6734" s="3">
        <v>0.89149999999999996</v>
      </c>
    </row>
    <row r="6736" spans="1:9" ht="45">
      <c r="A6736" s="22" t="s">
        <v>1492</v>
      </c>
    </row>
    <row r="6737" spans="1:9">
      <c r="A6737" t="s">
        <v>185</v>
      </c>
      <c r="B6737" t="s">
        <v>186</v>
      </c>
      <c r="C6737" t="s">
        <v>192</v>
      </c>
      <c r="D6737" t="s">
        <v>184</v>
      </c>
      <c r="E6737" t="s">
        <v>193</v>
      </c>
      <c r="F6737" t="s">
        <v>257</v>
      </c>
      <c r="G6737" t="s">
        <v>1307</v>
      </c>
      <c r="H6737" t="s">
        <v>1309</v>
      </c>
      <c r="I6737" t="s">
        <v>1310</v>
      </c>
    </row>
    <row r="6738" spans="1:9">
      <c r="A6738" t="s">
        <v>195</v>
      </c>
      <c r="B6738" t="s">
        <v>212</v>
      </c>
      <c r="C6738">
        <v>873</v>
      </c>
      <c r="D6738" t="s">
        <v>194</v>
      </c>
      <c r="E6738">
        <v>2677</v>
      </c>
      <c r="F6738" s="3">
        <v>1.6999999999999999E-3</v>
      </c>
      <c r="G6738" s="3">
        <v>7.4999999999999997E-3</v>
      </c>
      <c r="H6738" s="3">
        <v>0.1182</v>
      </c>
      <c r="I6738" s="3">
        <v>0.87270000000000003</v>
      </c>
    </row>
    <row r="6739" spans="1:9">
      <c r="A6739" t="s">
        <v>195</v>
      </c>
      <c r="B6739" t="s">
        <v>214</v>
      </c>
      <c r="C6739">
        <v>181</v>
      </c>
      <c r="D6739" t="s">
        <v>194</v>
      </c>
      <c r="E6739">
        <v>2677</v>
      </c>
      <c r="F6739" s="3">
        <v>3.0000000000000001E-3</v>
      </c>
      <c r="G6739" s="3">
        <v>2.3699999999999999E-2</v>
      </c>
      <c r="H6739" s="3">
        <v>8.4099999999999994E-2</v>
      </c>
      <c r="I6739" s="3">
        <v>0.88919999999999999</v>
      </c>
    </row>
    <row r="6740" spans="1:9">
      <c r="A6740" t="s">
        <v>195</v>
      </c>
      <c r="B6740" t="s">
        <v>215</v>
      </c>
      <c r="C6740">
        <v>135</v>
      </c>
      <c r="D6740" t="s">
        <v>194</v>
      </c>
      <c r="E6740">
        <v>2677</v>
      </c>
      <c r="G6740" s="3">
        <v>2.0199999999999999E-2</v>
      </c>
      <c r="H6740" s="3">
        <v>0.17660000000000001</v>
      </c>
      <c r="I6740" s="3">
        <v>0.80320000000000003</v>
      </c>
    </row>
    <row r="6741" spans="1:9">
      <c r="A6741" t="s">
        <v>199</v>
      </c>
      <c r="B6741" t="s">
        <v>212</v>
      </c>
      <c r="C6741">
        <v>1118</v>
      </c>
      <c r="D6741" t="s">
        <v>194</v>
      </c>
      <c r="E6741">
        <v>2677</v>
      </c>
      <c r="G6741" s="3">
        <v>4.5999999999999999E-3</v>
      </c>
      <c r="H6741" s="3">
        <v>7.7600000000000002E-2</v>
      </c>
      <c r="I6741" s="3">
        <v>0.91779999999999995</v>
      </c>
    </row>
    <row r="6742" spans="1:9">
      <c r="A6742" t="s">
        <v>199</v>
      </c>
      <c r="B6742" t="s">
        <v>214</v>
      </c>
      <c r="C6742">
        <v>197</v>
      </c>
      <c r="D6742" t="s">
        <v>194</v>
      </c>
      <c r="E6742">
        <v>2677</v>
      </c>
      <c r="G6742" s="3">
        <v>7.3000000000000001E-3</v>
      </c>
      <c r="H6742" s="3">
        <v>0.12959999999999999</v>
      </c>
      <c r="I6742" s="3">
        <v>0.86309999999999998</v>
      </c>
    </row>
    <row r="6743" spans="1:9">
      <c r="A6743" t="s">
        <v>199</v>
      </c>
      <c r="B6743" t="s">
        <v>215</v>
      </c>
      <c r="C6743">
        <v>173</v>
      </c>
      <c r="D6743" t="s">
        <v>194</v>
      </c>
      <c r="E6743">
        <v>2677</v>
      </c>
      <c r="H6743" s="3">
        <v>8.8200000000000001E-2</v>
      </c>
      <c r="I6743" s="3">
        <v>0.91180000000000005</v>
      </c>
    </row>
    <row r="6744" spans="1:9">
      <c r="A6744" t="s">
        <v>200</v>
      </c>
      <c r="B6744" t="s">
        <v>200</v>
      </c>
      <c r="C6744">
        <v>2677</v>
      </c>
      <c r="D6744" t="s">
        <v>200</v>
      </c>
      <c r="E6744">
        <v>2677</v>
      </c>
      <c r="F6744" s="3">
        <v>8.0000000000000004E-4</v>
      </c>
      <c r="G6744" s="3">
        <v>7.6E-3</v>
      </c>
      <c r="H6744" s="3">
        <v>0.1002</v>
      </c>
      <c r="I6744" s="3">
        <v>0.89149999999999996</v>
      </c>
    </row>
    <row r="6746" spans="1:9" ht="45">
      <c r="A6746" s="22" t="s">
        <v>1493</v>
      </c>
    </row>
    <row r="6747" spans="1:9">
      <c r="A6747" t="s">
        <v>185</v>
      </c>
      <c r="B6747" t="s">
        <v>186</v>
      </c>
      <c r="C6747" t="s">
        <v>192</v>
      </c>
      <c r="D6747" t="s">
        <v>184</v>
      </c>
      <c r="E6747" t="s">
        <v>193</v>
      </c>
      <c r="F6747" t="s">
        <v>257</v>
      </c>
      <c r="G6747" t="s">
        <v>1307</v>
      </c>
      <c r="H6747" t="s">
        <v>1309</v>
      </c>
      <c r="I6747" t="s">
        <v>1310</v>
      </c>
    </row>
    <row r="6748" spans="1:9">
      <c r="A6748" t="s">
        <v>195</v>
      </c>
      <c r="B6748" t="s">
        <v>217</v>
      </c>
      <c r="C6748">
        <v>499</v>
      </c>
      <c r="D6748" t="s">
        <v>194</v>
      </c>
      <c r="E6748">
        <v>2677</v>
      </c>
      <c r="G6748" s="3">
        <v>1.4500000000000001E-2</v>
      </c>
      <c r="H6748" s="3">
        <v>0.1016</v>
      </c>
      <c r="I6748" s="3">
        <v>0.88390000000000002</v>
      </c>
    </row>
    <row r="6749" spans="1:9">
      <c r="A6749" t="s">
        <v>195</v>
      </c>
      <c r="B6749" t="s">
        <v>219</v>
      </c>
      <c r="C6749">
        <v>507</v>
      </c>
      <c r="D6749" t="s">
        <v>194</v>
      </c>
      <c r="E6749">
        <v>2677</v>
      </c>
      <c r="F6749" s="3">
        <v>4.4999999999999997E-3</v>
      </c>
      <c r="G6749" s="3">
        <v>9.4999999999999998E-3</v>
      </c>
      <c r="H6749" s="3">
        <v>0.10589999999999999</v>
      </c>
      <c r="I6749" s="3">
        <v>0.88009999999999999</v>
      </c>
    </row>
    <row r="6750" spans="1:9">
      <c r="A6750" t="s">
        <v>195</v>
      </c>
      <c r="B6750" t="s">
        <v>220</v>
      </c>
      <c r="C6750">
        <v>182</v>
      </c>
      <c r="D6750" t="s">
        <v>194</v>
      </c>
      <c r="E6750">
        <v>2677</v>
      </c>
      <c r="G6750" s="3">
        <v>7.1999999999999998E-3</v>
      </c>
      <c r="H6750" s="3">
        <v>0.17680000000000001</v>
      </c>
      <c r="I6750" s="3">
        <v>0.81589999999999996</v>
      </c>
    </row>
    <row r="6751" spans="1:9">
      <c r="A6751" t="s">
        <v>199</v>
      </c>
      <c r="B6751" t="s">
        <v>217</v>
      </c>
      <c r="C6751">
        <v>814</v>
      </c>
      <c r="D6751" t="s">
        <v>194</v>
      </c>
      <c r="E6751">
        <v>2677</v>
      </c>
      <c r="G6751" s="3">
        <v>3.0000000000000001E-3</v>
      </c>
      <c r="H6751" s="3">
        <v>8.1000000000000003E-2</v>
      </c>
      <c r="I6751" s="3">
        <v>0.91610000000000003</v>
      </c>
    </row>
    <row r="6752" spans="1:9">
      <c r="A6752" t="s">
        <v>199</v>
      </c>
      <c r="B6752" t="s">
        <v>219</v>
      </c>
      <c r="C6752">
        <v>451</v>
      </c>
      <c r="D6752" t="s">
        <v>194</v>
      </c>
      <c r="E6752">
        <v>2677</v>
      </c>
      <c r="G6752" s="3">
        <v>8.3999999999999995E-3</v>
      </c>
      <c r="H6752" s="3">
        <v>8.1600000000000006E-2</v>
      </c>
      <c r="I6752" s="3">
        <v>0.91</v>
      </c>
    </row>
    <row r="6753" spans="1:15">
      <c r="A6753" t="s">
        <v>199</v>
      </c>
      <c r="B6753" t="s">
        <v>220</v>
      </c>
      <c r="C6753">
        <v>223</v>
      </c>
      <c r="D6753" t="s">
        <v>194</v>
      </c>
      <c r="E6753">
        <v>2677</v>
      </c>
      <c r="G6753" s="3">
        <v>5.1000000000000004E-3</v>
      </c>
      <c r="H6753" s="3">
        <v>0.1143</v>
      </c>
      <c r="I6753" s="3">
        <v>0.88060000000000005</v>
      </c>
    </row>
    <row r="6754" spans="1:15">
      <c r="A6754" t="s">
        <v>200</v>
      </c>
      <c r="B6754" t="s">
        <v>200</v>
      </c>
      <c r="C6754">
        <v>2677</v>
      </c>
      <c r="D6754" t="s">
        <v>200</v>
      </c>
      <c r="E6754">
        <v>2677</v>
      </c>
      <c r="F6754" s="3">
        <v>8.0000000000000004E-4</v>
      </c>
      <c r="G6754" s="3">
        <v>7.6E-3</v>
      </c>
      <c r="H6754" s="3">
        <v>0.1002</v>
      </c>
      <c r="I6754" s="3">
        <v>0.89149999999999996</v>
      </c>
    </row>
    <row r="6756" spans="1:15" ht="45">
      <c r="A6756" s="22" t="s">
        <v>1494</v>
      </c>
    </row>
    <row r="6757" spans="1:15">
      <c r="A6757" t="s">
        <v>185</v>
      </c>
      <c r="B6757" t="s">
        <v>186</v>
      </c>
      <c r="C6757" t="s">
        <v>192</v>
      </c>
      <c r="D6757" t="s">
        <v>184</v>
      </c>
      <c r="E6757" t="s">
        <v>193</v>
      </c>
      <c r="F6757" t="s">
        <v>1495</v>
      </c>
      <c r="G6757" t="s">
        <v>1496</v>
      </c>
      <c r="H6757" t="s">
        <v>257</v>
      </c>
      <c r="I6757" t="s">
        <v>1497</v>
      </c>
      <c r="J6757" t="s">
        <v>1498</v>
      </c>
      <c r="K6757" t="s">
        <v>1499</v>
      </c>
      <c r="L6757" t="s">
        <v>1500</v>
      </c>
      <c r="M6757" t="s">
        <v>274</v>
      </c>
      <c r="N6757" t="s">
        <v>247</v>
      </c>
      <c r="O6757" t="s">
        <v>1501</v>
      </c>
    </row>
    <row r="6758" spans="1:15">
      <c r="A6758" t="s">
        <v>195</v>
      </c>
      <c r="B6758" t="s">
        <v>196</v>
      </c>
      <c r="C6758">
        <v>90</v>
      </c>
      <c r="D6758" t="s">
        <v>194</v>
      </c>
      <c r="E6758">
        <v>341</v>
      </c>
      <c r="F6758" s="3">
        <v>0.15340000000000001</v>
      </c>
      <c r="G6758" s="3">
        <v>0.1492</v>
      </c>
      <c r="I6758" s="3">
        <v>0.2303</v>
      </c>
      <c r="J6758" s="3">
        <v>8.6999999999999994E-2</v>
      </c>
      <c r="K6758" s="3">
        <v>0.23069999999999999</v>
      </c>
      <c r="L6758" s="3">
        <v>0.56559999999999999</v>
      </c>
      <c r="M6758" s="3">
        <v>5.7000000000000002E-2</v>
      </c>
      <c r="O6758" s="3">
        <v>5.0000000000000001E-4</v>
      </c>
    </row>
    <row r="6759" spans="1:15">
      <c r="A6759" t="s">
        <v>195</v>
      </c>
      <c r="B6759" t="s">
        <v>198</v>
      </c>
      <c r="C6759">
        <v>87</v>
      </c>
      <c r="D6759" t="s">
        <v>194</v>
      </c>
      <c r="E6759">
        <v>341</v>
      </c>
      <c r="F6759" s="3">
        <v>0.23480000000000001</v>
      </c>
      <c r="G6759" s="3">
        <v>0.24709999999999999</v>
      </c>
      <c r="I6759" s="3">
        <v>0.1285</v>
      </c>
      <c r="J6759" s="3">
        <v>0.1096</v>
      </c>
      <c r="K6759" s="3">
        <v>0.19020000000000001</v>
      </c>
      <c r="L6759" s="3">
        <v>0.25509999999999999</v>
      </c>
      <c r="M6759" s="3">
        <v>1.52E-2</v>
      </c>
    </row>
    <row r="6760" spans="1:15">
      <c r="A6760" t="s">
        <v>199</v>
      </c>
      <c r="B6760" t="s">
        <v>196</v>
      </c>
      <c r="C6760">
        <v>80</v>
      </c>
      <c r="D6760" t="s">
        <v>194</v>
      </c>
      <c r="E6760">
        <v>341</v>
      </c>
      <c r="F6760" s="3">
        <v>0.37030000000000002</v>
      </c>
      <c r="G6760" s="3">
        <v>0.10349999999999999</v>
      </c>
      <c r="H6760" s="3">
        <v>1.14E-2</v>
      </c>
      <c r="I6760" s="3">
        <v>0.27189999999999998</v>
      </c>
      <c r="J6760" s="3">
        <v>5.5399999999999998E-2</v>
      </c>
      <c r="K6760" s="3">
        <v>0.14940000000000001</v>
      </c>
      <c r="L6760" s="3">
        <v>0.40479999999999999</v>
      </c>
      <c r="N6760" s="3">
        <v>1E-3</v>
      </c>
      <c r="O6760" s="3">
        <v>6.6799999999999998E-2</v>
      </c>
    </row>
    <row r="6761" spans="1:15">
      <c r="A6761" t="s">
        <v>199</v>
      </c>
      <c r="B6761" t="s">
        <v>198</v>
      </c>
      <c r="C6761">
        <v>78</v>
      </c>
      <c r="D6761" t="s">
        <v>194</v>
      </c>
      <c r="E6761">
        <v>341</v>
      </c>
      <c r="F6761" s="3">
        <v>0.71989999999999998</v>
      </c>
      <c r="G6761" s="3">
        <v>0.1148</v>
      </c>
      <c r="H6761" s="3">
        <v>3.5000000000000001E-3</v>
      </c>
      <c r="I6761" s="3">
        <v>0.12039999999999999</v>
      </c>
      <c r="J6761" s="3">
        <v>4.0500000000000001E-2</v>
      </c>
      <c r="K6761" s="3">
        <v>0.14369999999999999</v>
      </c>
      <c r="L6761" s="3">
        <v>7.3499999999999996E-2</v>
      </c>
      <c r="M6761" s="3">
        <v>6.4000000000000003E-3</v>
      </c>
      <c r="N6761" s="3">
        <v>2.8E-3</v>
      </c>
    </row>
    <row r="6762" spans="1:15">
      <c r="A6762" t="s">
        <v>200</v>
      </c>
      <c r="B6762" t="s">
        <v>200</v>
      </c>
      <c r="C6762">
        <v>341</v>
      </c>
      <c r="D6762" t="s">
        <v>200</v>
      </c>
      <c r="E6762">
        <v>341</v>
      </c>
      <c r="F6762" s="3">
        <v>0.39410000000000001</v>
      </c>
      <c r="G6762" s="3">
        <v>0.1598</v>
      </c>
      <c r="H6762" s="3">
        <v>2.5000000000000001E-3</v>
      </c>
      <c r="I6762" s="3">
        <v>0.16969999999999999</v>
      </c>
      <c r="J6762" s="3">
        <v>7.3599999999999999E-2</v>
      </c>
      <c r="K6762" s="3">
        <v>0.17979999999999999</v>
      </c>
      <c r="L6762" s="3">
        <v>0.29060000000000002</v>
      </c>
      <c r="M6762" s="3">
        <v>2.1999999999999999E-2</v>
      </c>
      <c r="N6762" s="3">
        <v>1.1000000000000001E-3</v>
      </c>
      <c r="O6762" s="3">
        <v>7.7000000000000002E-3</v>
      </c>
    </row>
    <row r="6764" spans="1:15" ht="45">
      <c r="A6764" s="22" t="s">
        <v>1502</v>
      </c>
    </row>
    <row r="6765" spans="1:15">
      <c r="A6765" t="s">
        <v>185</v>
      </c>
      <c r="B6765" t="s">
        <v>186</v>
      </c>
      <c r="C6765" t="s">
        <v>192</v>
      </c>
      <c r="D6765" t="s">
        <v>184</v>
      </c>
      <c r="E6765" t="s">
        <v>193</v>
      </c>
      <c r="F6765" t="s">
        <v>1495</v>
      </c>
      <c r="G6765" t="s">
        <v>1496</v>
      </c>
      <c r="H6765" t="s">
        <v>257</v>
      </c>
      <c r="I6765" t="s">
        <v>1497</v>
      </c>
      <c r="J6765" t="s">
        <v>1498</v>
      </c>
      <c r="K6765" t="s">
        <v>1499</v>
      </c>
      <c r="L6765" t="s">
        <v>1500</v>
      </c>
      <c r="M6765" t="s">
        <v>274</v>
      </c>
      <c r="N6765" t="s">
        <v>247</v>
      </c>
      <c r="O6765" t="s">
        <v>1501</v>
      </c>
    </row>
    <row r="6766" spans="1:15">
      <c r="A6766" t="s">
        <v>195</v>
      </c>
      <c r="B6766" t="s">
        <v>202</v>
      </c>
      <c r="C6766">
        <v>82</v>
      </c>
      <c r="D6766" t="s">
        <v>194</v>
      </c>
      <c r="E6766">
        <v>341</v>
      </c>
      <c r="F6766" s="3">
        <v>0.2195</v>
      </c>
      <c r="G6766" s="3">
        <v>0.1555</v>
      </c>
      <c r="I6766" s="3">
        <v>0.13700000000000001</v>
      </c>
      <c r="J6766" s="3">
        <v>0.1094</v>
      </c>
      <c r="K6766" s="3">
        <v>0.2009</v>
      </c>
      <c r="L6766" s="3">
        <v>0.43230000000000002</v>
      </c>
      <c r="M6766" s="3">
        <v>5.0099999999999999E-2</v>
      </c>
    </row>
    <row r="6767" spans="1:15">
      <c r="A6767" t="s">
        <v>195</v>
      </c>
      <c r="B6767" t="s">
        <v>204</v>
      </c>
      <c r="C6767">
        <v>52</v>
      </c>
      <c r="D6767" t="s">
        <v>194</v>
      </c>
      <c r="E6767">
        <v>341</v>
      </c>
      <c r="F6767" s="3">
        <v>0.1188</v>
      </c>
      <c r="G6767" s="3">
        <v>0.29249999999999998</v>
      </c>
      <c r="I6767" s="3">
        <v>0.28370000000000001</v>
      </c>
      <c r="J6767" s="3">
        <v>6.6500000000000004E-2</v>
      </c>
      <c r="K6767" s="3">
        <v>0.22140000000000001</v>
      </c>
      <c r="L6767" s="3">
        <v>0.3725</v>
      </c>
    </row>
    <row r="6768" spans="1:15">
      <c r="A6768" t="s">
        <v>195</v>
      </c>
      <c r="B6768" t="s">
        <v>205</v>
      </c>
      <c r="C6768">
        <v>43</v>
      </c>
      <c r="D6768" t="s">
        <v>194</v>
      </c>
      <c r="E6768">
        <v>341</v>
      </c>
      <c r="F6768" s="3">
        <v>0.18310000000000001</v>
      </c>
      <c r="G6768" s="3">
        <v>0.34060000000000001</v>
      </c>
      <c r="I6768" s="3">
        <v>0.25519999999999998</v>
      </c>
      <c r="J6768" s="3">
        <v>8.8300000000000003E-2</v>
      </c>
      <c r="K6768" s="3">
        <v>0.254</v>
      </c>
      <c r="L6768" s="3">
        <v>0.26079999999999998</v>
      </c>
      <c r="O6768" s="3">
        <v>2.8999999999999998E-3</v>
      </c>
    </row>
    <row r="6769" spans="1:15">
      <c r="A6769" t="s">
        <v>199</v>
      </c>
      <c r="B6769" t="s">
        <v>202</v>
      </c>
      <c r="C6769">
        <v>41</v>
      </c>
      <c r="D6769" t="s">
        <v>194</v>
      </c>
      <c r="E6769">
        <v>341</v>
      </c>
      <c r="F6769" s="3">
        <v>0.7802</v>
      </c>
      <c r="G6769" s="3">
        <v>5.3900000000000003E-2</v>
      </c>
      <c r="I6769" s="3">
        <v>9.6100000000000005E-2</v>
      </c>
      <c r="J6769" s="3">
        <v>4.3499999999999997E-2</v>
      </c>
      <c r="K6769" s="3">
        <v>0.1389</v>
      </c>
      <c r="L6769" s="3">
        <v>0.1268</v>
      </c>
      <c r="O6769" s="3">
        <v>1.06E-2</v>
      </c>
    </row>
    <row r="6770" spans="1:15">
      <c r="A6770" t="s">
        <v>199</v>
      </c>
      <c r="B6770" t="s">
        <v>204</v>
      </c>
      <c r="C6770">
        <v>58</v>
      </c>
      <c r="D6770" t="s">
        <v>194</v>
      </c>
      <c r="E6770">
        <v>341</v>
      </c>
      <c r="F6770" s="3">
        <v>0.17960000000000001</v>
      </c>
      <c r="G6770" s="3">
        <v>0.2462</v>
      </c>
      <c r="H6770" s="3">
        <v>2.1999999999999999E-2</v>
      </c>
      <c r="I6770" s="3">
        <v>0.24460000000000001</v>
      </c>
      <c r="J6770" s="3">
        <v>4.8000000000000001E-2</v>
      </c>
      <c r="K6770" s="3">
        <v>0.1666</v>
      </c>
      <c r="L6770" s="3">
        <v>0.2671</v>
      </c>
      <c r="M6770" s="3">
        <v>2.63E-2</v>
      </c>
      <c r="N6770" s="3">
        <v>1.6799999999999999E-2</v>
      </c>
      <c r="O6770" s="3">
        <v>7.1499999999999994E-2</v>
      </c>
    </row>
    <row r="6771" spans="1:15">
      <c r="A6771" t="s">
        <v>199</v>
      </c>
      <c r="B6771" t="s">
        <v>205</v>
      </c>
      <c r="C6771">
        <v>59</v>
      </c>
      <c r="D6771" t="s">
        <v>194</v>
      </c>
      <c r="E6771">
        <v>341</v>
      </c>
      <c r="F6771" s="3">
        <v>0.27810000000000001</v>
      </c>
      <c r="G6771" s="3">
        <v>0.2903</v>
      </c>
      <c r="H6771" s="3">
        <v>1.9E-2</v>
      </c>
      <c r="I6771" s="3">
        <v>0.3962</v>
      </c>
      <c r="J6771" s="3">
        <v>4.4299999999999999E-2</v>
      </c>
      <c r="K6771" s="3">
        <v>0.15820000000000001</v>
      </c>
      <c r="L6771" s="3">
        <v>0.20680000000000001</v>
      </c>
      <c r="M6771" s="3">
        <v>1.06E-2</v>
      </c>
      <c r="N6771" s="3">
        <v>1.6999999999999999E-3</v>
      </c>
    </row>
    <row r="6772" spans="1:15">
      <c r="A6772" t="s">
        <v>200</v>
      </c>
      <c r="B6772" t="s">
        <v>200</v>
      </c>
      <c r="C6772">
        <v>341</v>
      </c>
      <c r="D6772" t="s">
        <v>200</v>
      </c>
      <c r="E6772">
        <v>341</v>
      </c>
      <c r="F6772" s="3">
        <v>0.39410000000000001</v>
      </c>
      <c r="G6772" s="3">
        <v>0.1598</v>
      </c>
      <c r="H6772" s="3">
        <v>2.5000000000000001E-3</v>
      </c>
      <c r="I6772" s="3">
        <v>0.16969999999999999</v>
      </c>
      <c r="J6772" s="3">
        <v>7.3599999999999999E-2</v>
      </c>
      <c r="K6772" s="3">
        <v>0.17979999999999999</v>
      </c>
      <c r="L6772" s="3">
        <v>0.29060000000000002</v>
      </c>
      <c r="M6772" s="3">
        <v>2.1999999999999999E-2</v>
      </c>
      <c r="N6772" s="3">
        <v>1.1000000000000001E-3</v>
      </c>
      <c r="O6772" s="3">
        <v>7.7000000000000002E-3</v>
      </c>
    </row>
    <row r="6774" spans="1:15" ht="45">
      <c r="A6774" s="22" t="s">
        <v>1503</v>
      </c>
    </row>
    <row r="6775" spans="1:15">
      <c r="A6775" t="s">
        <v>185</v>
      </c>
      <c r="B6775" t="s">
        <v>186</v>
      </c>
      <c r="C6775" t="s">
        <v>192</v>
      </c>
      <c r="D6775" t="s">
        <v>184</v>
      </c>
      <c r="E6775" t="s">
        <v>193</v>
      </c>
      <c r="F6775" t="s">
        <v>1495</v>
      </c>
      <c r="G6775" t="s">
        <v>1496</v>
      </c>
      <c r="H6775" t="s">
        <v>257</v>
      </c>
      <c r="I6775" t="s">
        <v>1497</v>
      </c>
      <c r="J6775" t="s">
        <v>1498</v>
      </c>
      <c r="K6775" t="s">
        <v>1499</v>
      </c>
      <c r="L6775" t="s">
        <v>1500</v>
      </c>
      <c r="M6775" t="s">
        <v>274</v>
      </c>
      <c r="N6775" t="s">
        <v>247</v>
      </c>
      <c r="O6775" t="s">
        <v>1501</v>
      </c>
    </row>
    <row r="6776" spans="1:15">
      <c r="A6776" t="s">
        <v>195</v>
      </c>
      <c r="B6776" t="s">
        <v>207</v>
      </c>
      <c r="C6776">
        <v>59</v>
      </c>
      <c r="D6776" t="s">
        <v>194</v>
      </c>
      <c r="E6776">
        <v>341</v>
      </c>
      <c r="F6776" s="3">
        <v>0.25109999999999999</v>
      </c>
      <c r="G6776" s="3">
        <v>0.17849999999999999</v>
      </c>
      <c r="I6776" s="3">
        <v>0.30640000000000001</v>
      </c>
      <c r="J6776" s="3">
        <v>0.12479999999999999</v>
      </c>
      <c r="K6776" s="3">
        <v>0.2944</v>
      </c>
      <c r="L6776" s="3">
        <v>0.35339999999999999</v>
      </c>
      <c r="M6776" s="3">
        <v>2.3599999999999999E-2</v>
      </c>
    </row>
    <row r="6777" spans="1:15">
      <c r="A6777" t="s">
        <v>195</v>
      </c>
      <c r="B6777" t="s">
        <v>209</v>
      </c>
      <c r="C6777">
        <v>120</v>
      </c>
      <c r="D6777" t="s">
        <v>194</v>
      </c>
      <c r="E6777">
        <v>341</v>
      </c>
      <c r="F6777" s="3">
        <v>0.16739999999999999</v>
      </c>
      <c r="G6777" s="3">
        <v>0.21</v>
      </c>
      <c r="I6777" s="3">
        <v>0.11700000000000001</v>
      </c>
      <c r="J6777" s="3">
        <v>8.5199999999999998E-2</v>
      </c>
      <c r="K6777" s="3">
        <v>0.16669999999999999</v>
      </c>
      <c r="L6777" s="3">
        <v>0.42880000000000001</v>
      </c>
      <c r="M6777" s="3">
        <v>4.1099999999999998E-2</v>
      </c>
      <c r="O6777" s="3">
        <v>4.0000000000000002E-4</v>
      </c>
    </row>
    <row r="6778" spans="1:15">
      <c r="A6778" t="s">
        <v>199</v>
      </c>
      <c r="B6778" t="s">
        <v>207</v>
      </c>
      <c r="C6778">
        <v>56</v>
      </c>
      <c r="D6778" t="s">
        <v>194</v>
      </c>
      <c r="E6778">
        <v>341</v>
      </c>
      <c r="F6778" s="3">
        <v>0.71930000000000005</v>
      </c>
      <c r="G6778" s="3">
        <v>0.16980000000000001</v>
      </c>
      <c r="H6778" s="3">
        <v>4.4000000000000003E-3</v>
      </c>
      <c r="I6778" s="3">
        <v>0.2074</v>
      </c>
      <c r="J6778" s="3">
        <v>8.8700000000000001E-2</v>
      </c>
      <c r="K6778" s="3">
        <v>8.3400000000000002E-2</v>
      </c>
      <c r="L6778" s="3">
        <v>0.12659999999999999</v>
      </c>
      <c r="M6778" s="3">
        <v>9.7000000000000003E-3</v>
      </c>
      <c r="O6778" s="3">
        <v>1.9400000000000001E-2</v>
      </c>
    </row>
    <row r="6779" spans="1:15">
      <c r="A6779" t="s">
        <v>199</v>
      </c>
      <c r="B6779" t="s">
        <v>209</v>
      </c>
      <c r="C6779">
        <v>106</v>
      </c>
      <c r="D6779" t="s">
        <v>194</v>
      </c>
      <c r="E6779">
        <v>341</v>
      </c>
      <c r="F6779" s="3">
        <v>0.59279999999999999</v>
      </c>
      <c r="G6779" s="3">
        <v>8.6900000000000005E-2</v>
      </c>
      <c r="H6779" s="3">
        <v>5.8999999999999999E-3</v>
      </c>
      <c r="I6779" s="3">
        <v>0.13569999999999999</v>
      </c>
      <c r="J6779" s="3">
        <v>2.4299999999999999E-2</v>
      </c>
      <c r="K6779" s="3">
        <v>0.17219999999999999</v>
      </c>
      <c r="L6779" s="3">
        <v>0.16830000000000001</v>
      </c>
      <c r="M6779" s="3">
        <v>4.7000000000000002E-3</v>
      </c>
      <c r="N6779" s="3">
        <v>3.3999999999999998E-3</v>
      </c>
      <c r="O6779" s="3">
        <v>1.5299999999999999E-2</v>
      </c>
    </row>
    <row r="6780" spans="1:15">
      <c r="A6780" t="s">
        <v>200</v>
      </c>
      <c r="B6780" t="s">
        <v>200</v>
      </c>
      <c r="C6780">
        <v>341</v>
      </c>
      <c r="D6780" t="s">
        <v>200</v>
      </c>
      <c r="E6780">
        <v>341</v>
      </c>
      <c r="F6780" s="3">
        <v>0.39410000000000001</v>
      </c>
      <c r="G6780" s="3">
        <v>0.1598</v>
      </c>
      <c r="H6780" s="3">
        <v>2.5000000000000001E-3</v>
      </c>
      <c r="I6780" s="3">
        <v>0.16969999999999999</v>
      </c>
      <c r="J6780" s="3">
        <v>7.3599999999999999E-2</v>
      </c>
      <c r="K6780" s="3">
        <v>0.17979999999999999</v>
      </c>
      <c r="L6780" s="3">
        <v>0.29060000000000002</v>
      </c>
      <c r="M6780" s="3">
        <v>2.1999999999999999E-2</v>
      </c>
      <c r="N6780" s="3">
        <v>1.1000000000000001E-3</v>
      </c>
      <c r="O6780" s="3">
        <v>7.7000000000000002E-3</v>
      </c>
    </row>
    <row r="6782" spans="1:15" ht="45">
      <c r="A6782" s="22" t="s">
        <v>1504</v>
      </c>
    </row>
    <row r="6783" spans="1:15">
      <c r="A6783" t="s">
        <v>185</v>
      </c>
      <c r="B6783" t="s">
        <v>192</v>
      </c>
      <c r="C6783" t="s">
        <v>184</v>
      </c>
      <c r="D6783" t="s">
        <v>193</v>
      </c>
      <c r="E6783" t="s">
        <v>1495</v>
      </c>
      <c r="F6783" t="s">
        <v>1496</v>
      </c>
      <c r="G6783" t="s">
        <v>257</v>
      </c>
      <c r="H6783" t="s">
        <v>1497</v>
      </c>
      <c r="I6783" t="s">
        <v>1498</v>
      </c>
      <c r="J6783" t="s">
        <v>1499</v>
      </c>
      <c r="K6783" t="s">
        <v>1500</v>
      </c>
      <c r="L6783" t="s">
        <v>274</v>
      </c>
      <c r="M6783" t="s">
        <v>247</v>
      </c>
      <c r="N6783" t="s">
        <v>1501</v>
      </c>
    </row>
    <row r="6784" spans="1:15">
      <c r="A6784" t="s">
        <v>195</v>
      </c>
      <c r="B6784">
        <v>179</v>
      </c>
      <c r="C6784" t="s">
        <v>194</v>
      </c>
      <c r="D6784">
        <v>341</v>
      </c>
      <c r="E6784" s="3">
        <v>0.19520000000000001</v>
      </c>
      <c r="F6784" s="3">
        <v>0.19950000000000001</v>
      </c>
      <c r="H6784" s="3">
        <v>0.17979999999999999</v>
      </c>
      <c r="I6784" s="3">
        <v>9.8400000000000001E-2</v>
      </c>
      <c r="J6784" s="3">
        <v>0.20910000000000001</v>
      </c>
      <c r="K6784" s="3">
        <v>0.40379999999999999</v>
      </c>
      <c r="L6784" s="3">
        <v>3.5299999999999998E-2</v>
      </c>
      <c r="N6784" s="3">
        <v>2.9999999999999997E-4</v>
      </c>
    </row>
    <row r="6785" spans="1:15">
      <c r="A6785" t="s">
        <v>199</v>
      </c>
      <c r="B6785">
        <v>162</v>
      </c>
      <c r="C6785" t="s">
        <v>194</v>
      </c>
      <c r="D6785">
        <v>341</v>
      </c>
      <c r="E6785" s="3">
        <v>0.63170000000000004</v>
      </c>
      <c r="F6785" s="3">
        <v>0.1124</v>
      </c>
      <c r="G6785" s="3">
        <v>5.4999999999999997E-3</v>
      </c>
      <c r="H6785" s="3">
        <v>0.15770000000000001</v>
      </c>
      <c r="I6785" s="3">
        <v>4.41E-2</v>
      </c>
      <c r="J6785" s="3">
        <v>0.1449</v>
      </c>
      <c r="K6785" s="3">
        <v>0.1555</v>
      </c>
      <c r="L6785" s="3">
        <v>6.1999999999999998E-3</v>
      </c>
      <c r="M6785" s="3">
        <v>2.3E-3</v>
      </c>
      <c r="N6785" s="3">
        <v>1.66E-2</v>
      </c>
    </row>
    <row r="6786" spans="1:15">
      <c r="A6786" t="s">
        <v>200</v>
      </c>
      <c r="B6786">
        <v>341</v>
      </c>
      <c r="C6786" t="s">
        <v>200</v>
      </c>
      <c r="D6786">
        <v>341</v>
      </c>
      <c r="E6786" s="3">
        <v>0.39410000000000001</v>
      </c>
      <c r="F6786" s="3">
        <v>0.1598</v>
      </c>
      <c r="G6786" s="3">
        <v>2.5000000000000001E-3</v>
      </c>
      <c r="H6786" s="3">
        <v>0.16969999999999999</v>
      </c>
      <c r="I6786" s="3">
        <v>7.3599999999999999E-2</v>
      </c>
      <c r="J6786" s="3">
        <v>0.17979999999999999</v>
      </c>
      <c r="K6786" s="3">
        <v>0.29060000000000002</v>
      </c>
      <c r="L6786" s="3">
        <v>2.1999999999999999E-2</v>
      </c>
      <c r="M6786" s="3">
        <v>1.1000000000000001E-3</v>
      </c>
      <c r="N6786" s="3">
        <v>7.7000000000000002E-3</v>
      </c>
    </row>
    <row r="6788" spans="1:15" ht="45">
      <c r="A6788" s="22" t="s">
        <v>1505</v>
      </c>
    </row>
    <row r="6789" spans="1:15">
      <c r="A6789" t="s">
        <v>185</v>
      </c>
      <c r="B6789" t="s">
        <v>186</v>
      </c>
      <c r="C6789" t="s">
        <v>192</v>
      </c>
      <c r="D6789" t="s">
        <v>184</v>
      </c>
      <c r="E6789" t="s">
        <v>193</v>
      </c>
      <c r="F6789" t="s">
        <v>1495</v>
      </c>
      <c r="G6789" t="s">
        <v>1496</v>
      </c>
      <c r="H6789" t="s">
        <v>257</v>
      </c>
      <c r="I6789" t="s">
        <v>1497</v>
      </c>
      <c r="J6789" t="s">
        <v>1498</v>
      </c>
      <c r="K6789" t="s">
        <v>1499</v>
      </c>
      <c r="L6789" t="s">
        <v>1500</v>
      </c>
      <c r="M6789" t="s">
        <v>274</v>
      </c>
      <c r="N6789" t="s">
        <v>247</v>
      </c>
      <c r="O6789" t="s">
        <v>1501</v>
      </c>
    </row>
    <row r="6790" spans="1:15">
      <c r="A6790" t="s">
        <v>195</v>
      </c>
      <c r="B6790" t="s">
        <v>212</v>
      </c>
      <c r="C6790">
        <v>125</v>
      </c>
      <c r="D6790" t="s">
        <v>194</v>
      </c>
      <c r="E6790">
        <v>341</v>
      </c>
      <c r="F6790" s="3">
        <v>0.2233</v>
      </c>
      <c r="G6790" s="3">
        <v>0.22259999999999999</v>
      </c>
      <c r="I6790" s="3">
        <v>0.15260000000000001</v>
      </c>
      <c r="J6790" s="3">
        <v>8.6499999999999994E-2</v>
      </c>
      <c r="K6790" s="3">
        <v>0.1588</v>
      </c>
      <c r="L6790" s="3">
        <v>0.40849999999999997</v>
      </c>
      <c r="M6790" s="3">
        <v>1.23E-2</v>
      </c>
      <c r="O6790" s="3">
        <v>2.9999999999999997E-4</v>
      </c>
    </row>
    <row r="6791" spans="1:15" s="25" customFormat="1">
      <c r="A6791" s="25" t="s">
        <v>195</v>
      </c>
      <c r="B6791" s="25" t="s">
        <v>214</v>
      </c>
      <c r="C6791" s="25">
        <v>26</v>
      </c>
      <c r="D6791" s="25" t="s">
        <v>194</v>
      </c>
      <c r="E6791" s="25">
        <v>341</v>
      </c>
      <c r="F6791" s="26">
        <v>0.11219999999999999</v>
      </c>
      <c r="G6791" s="26">
        <v>1.1599999999999999E-2</v>
      </c>
      <c r="I6791" s="26">
        <v>0.2253</v>
      </c>
      <c r="J6791" s="26">
        <v>0.15790000000000001</v>
      </c>
      <c r="K6791" s="26">
        <v>0.38740000000000002</v>
      </c>
      <c r="L6791" s="26">
        <v>0.29809999999999998</v>
      </c>
      <c r="M6791" s="26">
        <v>0.18809999999999999</v>
      </c>
    </row>
    <row r="6792" spans="1:15" s="25" customFormat="1">
      <c r="A6792" s="25" t="s">
        <v>195</v>
      </c>
      <c r="B6792" s="25" t="s">
        <v>215</v>
      </c>
      <c r="C6792" s="25">
        <v>28</v>
      </c>
      <c r="D6792" s="25" t="s">
        <v>194</v>
      </c>
      <c r="E6792" s="25">
        <v>341</v>
      </c>
      <c r="F6792" s="26">
        <v>0.1255</v>
      </c>
      <c r="G6792" s="26">
        <v>0.2722</v>
      </c>
      <c r="I6792" s="26">
        <v>0.28449999999999998</v>
      </c>
      <c r="J6792" s="26">
        <v>0.1009</v>
      </c>
      <c r="K6792" s="26">
        <v>0.30049999999999999</v>
      </c>
      <c r="L6792" s="26">
        <v>0.49170000000000003</v>
      </c>
    </row>
    <row r="6793" spans="1:15">
      <c r="A6793" t="s">
        <v>199</v>
      </c>
      <c r="B6793" t="s">
        <v>212</v>
      </c>
      <c r="C6793">
        <v>119</v>
      </c>
      <c r="D6793" t="s">
        <v>194</v>
      </c>
      <c r="E6793">
        <v>341</v>
      </c>
      <c r="F6793" s="3">
        <v>0.69850000000000001</v>
      </c>
      <c r="G6793" s="3">
        <v>0.13009999999999999</v>
      </c>
      <c r="H6793" s="3">
        <v>6.1999999999999998E-3</v>
      </c>
      <c r="I6793" s="3">
        <v>0.15440000000000001</v>
      </c>
      <c r="J6793" s="3">
        <v>5.7500000000000002E-2</v>
      </c>
      <c r="K6793" s="3">
        <v>0.1016</v>
      </c>
      <c r="L6793" s="3">
        <v>0.1298</v>
      </c>
      <c r="M6793" s="3">
        <v>4.4999999999999997E-3</v>
      </c>
      <c r="N6793" s="3">
        <v>3.5000000000000001E-3</v>
      </c>
      <c r="O6793" s="3">
        <v>2.1600000000000001E-2</v>
      </c>
    </row>
    <row r="6794" spans="1:15" s="25" customFormat="1">
      <c r="A6794" s="25" t="s">
        <v>199</v>
      </c>
      <c r="B6794" s="25" t="s">
        <v>214</v>
      </c>
      <c r="C6794" s="25">
        <v>25</v>
      </c>
      <c r="D6794" s="25" t="s">
        <v>194</v>
      </c>
      <c r="E6794" s="25">
        <v>341</v>
      </c>
      <c r="F6794" s="26">
        <v>0.60529999999999995</v>
      </c>
      <c r="G6794" s="26">
        <v>9.0499999999999997E-2</v>
      </c>
      <c r="H6794" s="26">
        <v>5.3E-3</v>
      </c>
      <c r="I6794" s="26">
        <v>6.08E-2</v>
      </c>
      <c r="J6794" s="26">
        <v>2.29E-2</v>
      </c>
      <c r="K6794" s="26">
        <v>0.30740000000000001</v>
      </c>
      <c r="L6794" s="26">
        <v>0.122</v>
      </c>
      <c r="O6794" s="26">
        <v>8.5000000000000006E-3</v>
      </c>
    </row>
    <row r="6795" spans="1:15" s="25" customFormat="1">
      <c r="A6795" s="25" t="s">
        <v>199</v>
      </c>
      <c r="B6795" s="25" t="s">
        <v>215</v>
      </c>
      <c r="C6795" s="25">
        <v>18</v>
      </c>
      <c r="D6795" s="25" t="s">
        <v>194</v>
      </c>
      <c r="E6795" s="25">
        <v>341</v>
      </c>
      <c r="F6795" s="26">
        <v>0.19040000000000001</v>
      </c>
      <c r="G6795" s="26">
        <v>3.7499999999999999E-2</v>
      </c>
      <c r="I6795" s="26">
        <v>0.45440000000000003</v>
      </c>
      <c r="K6795" s="26">
        <v>2.3900000000000001E-2</v>
      </c>
      <c r="L6795" s="26">
        <v>0.44679999999999997</v>
      </c>
      <c r="M6795" s="26">
        <v>3.7499999999999999E-2</v>
      </c>
    </row>
    <row r="6796" spans="1:15">
      <c r="A6796" t="s">
        <v>200</v>
      </c>
      <c r="B6796" t="s">
        <v>200</v>
      </c>
      <c r="C6796">
        <v>341</v>
      </c>
      <c r="D6796" t="s">
        <v>200</v>
      </c>
      <c r="E6796">
        <v>341</v>
      </c>
      <c r="F6796" s="3">
        <v>0.39410000000000001</v>
      </c>
      <c r="G6796" s="3">
        <v>0.1598</v>
      </c>
      <c r="H6796" s="3">
        <v>2.5000000000000001E-3</v>
      </c>
      <c r="I6796" s="3">
        <v>0.16969999999999999</v>
      </c>
      <c r="J6796" s="3">
        <v>7.3599999999999999E-2</v>
      </c>
      <c r="K6796" s="3">
        <v>0.17979999999999999</v>
      </c>
      <c r="L6796" s="3">
        <v>0.29060000000000002</v>
      </c>
      <c r="M6796" s="3">
        <v>2.1999999999999999E-2</v>
      </c>
      <c r="N6796" s="3">
        <v>1.1000000000000001E-3</v>
      </c>
      <c r="O6796" s="3">
        <v>7.7000000000000002E-3</v>
      </c>
    </row>
    <row r="6798" spans="1:15" ht="45">
      <c r="A6798" s="22" t="s">
        <v>1506</v>
      </c>
    </row>
    <row r="6799" spans="1:15">
      <c r="A6799" t="s">
        <v>185</v>
      </c>
      <c r="B6799" t="s">
        <v>186</v>
      </c>
      <c r="C6799" t="s">
        <v>192</v>
      </c>
      <c r="D6799" t="s">
        <v>184</v>
      </c>
      <c r="E6799" t="s">
        <v>193</v>
      </c>
      <c r="F6799" t="s">
        <v>1495</v>
      </c>
      <c r="G6799" t="s">
        <v>1496</v>
      </c>
      <c r="H6799" t="s">
        <v>257</v>
      </c>
      <c r="I6799" t="s">
        <v>1497</v>
      </c>
      <c r="J6799" t="s">
        <v>1498</v>
      </c>
      <c r="K6799" t="s">
        <v>1499</v>
      </c>
      <c r="L6799" t="s">
        <v>1500</v>
      </c>
      <c r="M6799" t="s">
        <v>274</v>
      </c>
      <c r="N6799" t="s">
        <v>247</v>
      </c>
      <c r="O6799" t="s">
        <v>1501</v>
      </c>
    </row>
    <row r="6800" spans="1:15">
      <c r="A6800" t="s">
        <v>195</v>
      </c>
      <c r="B6800" t="s">
        <v>217</v>
      </c>
      <c r="C6800">
        <v>78</v>
      </c>
      <c r="D6800" t="s">
        <v>194</v>
      </c>
      <c r="E6800">
        <v>341</v>
      </c>
      <c r="F6800" s="3">
        <v>0.2475</v>
      </c>
      <c r="G6800" s="3">
        <v>0.2162</v>
      </c>
      <c r="I6800" s="3">
        <v>0.18509999999999999</v>
      </c>
      <c r="J6800" s="3">
        <v>8.4599999999999995E-2</v>
      </c>
      <c r="K6800" s="3">
        <v>0.2525</v>
      </c>
      <c r="L6800" s="3">
        <v>0.47260000000000002</v>
      </c>
      <c r="M6800" s="3">
        <v>3.0000000000000001E-3</v>
      </c>
      <c r="O6800" s="3">
        <v>6.9999999999999999E-4</v>
      </c>
    </row>
    <row r="6801" spans="1:15">
      <c r="A6801" t="s">
        <v>195</v>
      </c>
      <c r="B6801" t="s">
        <v>219</v>
      </c>
      <c r="C6801">
        <v>67</v>
      </c>
      <c r="D6801" t="s">
        <v>194</v>
      </c>
      <c r="E6801">
        <v>341</v>
      </c>
      <c r="F6801" s="3">
        <v>0.159</v>
      </c>
      <c r="G6801" s="3">
        <v>0.22550000000000001</v>
      </c>
      <c r="I6801" s="3">
        <v>0.214</v>
      </c>
      <c r="J6801" s="3">
        <v>0.16059999999999999</v>
      </c>
      <c r="K6801" s="3">
        <v>0.21149999999999999</v>
      </c>
      <c r="L6801" s="3">
        <v>0.34229999999999999</v>
      </c>
      <c r="M6801" s="3">
        <v>1.0699999999999999E-2</v>
      </c>
    </row>
    <row r="6802" spans="1:15">
      <c r="A6802" t="s">
        <v>195</v>
      </c>
      <c r="B6802" t="s">
        <v>220</v>
      </c>
      <c r="C6802">
        <v>33</v>
      </c>
      <c r="D6802" t="s">
        <v>194</v>
      </c>
      <c r="E6802">
        <v>341</v>
      </c>
      <c r="F6802" s="3">
        <v>0.16739999999999999</v>
      </c>
      <c r="G6802" s="3">
        <v>0.1414</v>
      </c>
      <c r="I6802" s="3">
        <v>0.12809999999999999</v>
      </c>
      <c r="J6802" s="3">
        <v>3.7600000000000001E-2</v>
      </c>
      <c r="K6802" s="3">
        <v>0.14419999999999999</v>
      </c>
      <c r="L6802" s="3">
        <v>0.3856</v>
      </c>
      <c r="M6802" s="3">
        <v>0.1133</v>
      </c>
    </row>
    <row r="6803" spans="1:15">
      <c r="A6803" t="s">
        <v>199</v>
      </c>
      <c r="B6803" t="s">
        <v>217</v>
      </c>
      <c r="C6803">
        <v>82</v>
      </c>
      <c r="D6803" t="s">
        <v>194</v>
      </c>
      <c r="E6803">
        <v>341</v>
      </c>
      <c r="F6803" s="3">
        <v>0.66200000000000003</v>
      </c>
      <c r="G6803" s="3">
        <v>0.12089999999999999</v>
      </c>
      <c r="H6803" s="3">
        <v>2.5999999999999999E-3</v>
      </c>
      <c r="I6803" s="3">
        <v>0.1923</v>
      </c>
      <c r="J6803" s="3">
        <v>6.7199999999999996E-2</v>
      </c>
      <c r="K6803" s="3">
        <v>0.10299999999999999</v>
      </c>
      <c r="L6803" s="3">
        <v>0.19750000000000001</v>
      </c>
      <c r="M6803" s="3">
        <v>8.6999999999999994E-3</v>
      </c>
      <c r="N6803" s="3">
        <v>4.0000000000000001E-3</v>
      </c>
      <c r="O6803" s="3">
        <v>2.7799999999999998E-2</v>
      </c>
    </row>
    <row r="6804" spans="1:15">
      <c r="A6804" t="s">
        <v>199</v>
      </c>
      <c r="B6804" t="s">
        <v>219</v>
      </c>
      <c r="C6804">
        <v>57</v>
      </c>
      <c r="D6804" t="s">
        <v>194</v>
      </c>
      <c r="E6804">
        <v>341</v>
      </c>
      <c r="F6804" s="3">
        <v>0.59830000000000005</v>
      </c>
      <c r="G6804" s="3">
        <v>0.1323</v>
      </c>
      <c r="H6804" s="3">
        <v>1.0800000000000001E-2</v>
      </c>
      <c r="I6804" s="3">
        <v>0.2114</v>
      </c>
      <c r="J6804" s="3">
        <v>2.0199999999999999E-2</v>
      </c>
      <c r="K6804" s="3">
        <v>0.12959999999999999</v>
      </c>
      <c r="L6804" s="3">
        <v>0.13789999999999999</v>
      </c>
      <c r="M6804" s="3">
        <v>6.6E-3</v>
      </c>
      <c r="N6804" s="3">
        <v>1E-3</v>
      </c>
      <c r="O6804" s="3">
        <v>8.0000000000000002E-3</v>
      </c>
    </row>
    <row r="6805" spans="1:15" s="25" customFormat="1">
      <c r="A6805" s="25" t="s">
        <v>199</v>
      </c>
      <c r="B6805" s="25" t="s">
        <v>220</v>
      </c>
      <c r="C6805" s="25">
        <v>23</v>
      </c>
      <c r="D6805" s="25" t="s">
        <v>194</v>
      </c>
      <c r="E6805" s="25">
        <v>341</v>
      </c>
      <c r="F6805" s="26">
        <v>0.59940000000000004</v>
      </c>
      <c r="G6805" s="26">
        <v>6.8699999999999997E-2</v>
      </c>
      <c r="H6805" s="26">
        <v>5.8999999999999999E-3</v>
      </c>
      <c r="I6805" s="26">
        <v>1.1900000000000001E-2</v>
      </c>
      <c r="J6805" s="26">
        <v>1.7500000000000002E-2</v>
      </c>
      <c r="K6805" s="26">
        <v>0.26229999999999998</v>
      </c>
      <c r="L6805" s="26">
        <v>7.6600000000000001E-2</v>
      </c>
    </row>
    <row r="6806" spans="1:15">
      <c r="A6806" t="s">
        <v>200</v>
      </c>
      <c r="B6806" t="s">
        <v>200</v>
      </c>
      <c r="C6806">
        <v>341</v>
      </c>
      <c r="D6806" t="s">
        <v>200</v>
      </c>
      <c r="E6806">
        <v>341</v>
      </c>
      <c r="F6806" s="3">
        <v>0.39410000000000001</v>
      </c>
      <c r="G6806" s="3">
        <v>0.1598</v>
      </c>
      <c r="H6806" s="3">
        <v>2.5000000000000001E-3</v>
      </c>
      <c r="I6806" s="3">
        <v>0.16969999999999999</v>
      </c>
      <c r="J6806" s="3">
        <v>7.3599999999999999E-2</v>
      </c>
      <c r="K6806" s="3">
        <v>0.17979999999999999</v>
      </c>
      <c r="L6806" s="3">
        <v>0.29060000000000002</v>
      </c>
      <c r="M6806" s="3">
        <v>2.1999999999999999E-2</v>
      </c>
      <c r="N6806" s="3">
        <v>1.1000000000000001E-3</v>
      </c>
      <c r="O6806" s="3">
        <v>7.7000000000000002E-3</v>
      </c>
    </row>
    <row r="6808" spans="1:15" ht="30">
      <c r="A6808" s="22" t="s">
        <v>1507</v>
      </c>
    </row>
    <row r="6809" spans="1:15">
      <c r="A6809" t="s">
        <v>185</v>
      </c>
      <c r="B6809" t="s">
        <v>186</v>
      </c>
      <c r="C6809" t="s">
        <v>192</v>
      </c>
      <c r="D6809" t="s">
        <v>184</v>
      </c>
      <c r="E6809" t="s">
        <v>193</v>
      </c>
      <c r="F6809" t="s">
        <v>257</v>
      </c>
      <c r="G6809" t="s">
        <v>1508</v>
      </c>
      <c r="H6809" t="s">
        <v>1509</v>
      </c>
      <c r="I6809" t="s">
        <v>1510</v>
      </c>
      <c r="J6809" t="s">
        <v>1511</v>
      </c>
      <c r="K6809" t="s">
        <v>274</v>
      </c>
    </row>
    <row r="6810" spans="1:15">
      <c r="A6810" t="s">
        <v>195</v>
      </c>
      <c r="B6810" t="s">
        <v>196</v>
      </c>
      <c r="C6810">
        <v>413</v>
      </c>
      <c r="D6810" t="s">
        <v>194</v>
      </c>
      <c r="E6810">
        <v>2677</v>
      </c>
      <c r="G6810" s="3">
        <v>0.77739999999999998</v>
      </c>
      <c r="H6810" s="3">
        <v>0.1123</v>
      </c>
      <c r="I6810" s="3">
        <v>0.1028</v>
      </c>
      <c r="J6810" s="3">
        <v>7.4999999999999997E-3</v>
      </c>
    </row>
    <row r="6811" spans="1:15">
      <c r="A6811" t="s">
        <v>195</v>
      </c>
      <c r="B6811" t="s">
        <v>198</v>
      </c>
      <c r="C6811">
        <v>755</v>
      </c>
      <c r="D6811" t="s">
        <v>194</v>
      </c>
      <c r="E6811">
        <v>2677</v>
      </c>
      <c r="G6811" s="3">
        <v>0.96760000000000002</v>
      </c>
      <c r="H6811" s="3">
        <v>1.15E-2</v>
      </c>
      <c r="I6811" s="3">
        <v>1.77E-2</v>
      </c>
      <c r="J6811" s="3">
        <v>2.3999999999999998E-3</v>
      </c>
      <c r="K6811" s="3">
        <v>8.0000000000000004E-4</v>
      </c>
    </row>
    <row r="6812" spans="1:15">
      <c r="A6812" t="s">
        <v>199</v>
      </c>
      <c r="B6812" t="s">
        <v>196</v>
      </c>
      <c r="C6812">
        <v>525</v>
      </c>
      <c r="D6812" t="s">
        <v>194</v>
      </c>
      <c r="E6812">
        <v>2677</v>
      </c>
      <c r="G6812" s="3">
        <v>0.91469999999999996</v>
      </c>
      <c r="H6812" s="3">
        <v>4.7899999999999998E-2</v>
      </c>
      <c r="I6812" s="3">
        <v>3.5299999999999998E-2</v>
      </c>
      <c r="J6812" s="3">
        <v>2E-3</v>
      </c>
    </row>
    <row r="6813" spans="1:15">
      <c r="A6813" t="s">
        <v>199</v>
      </c>
      <c r="B6813" t="s">
        <v>198</v>
      </c>
      <c r="C6813">
        <v>945</v>
      </c>
      <c r="D6813" t="s">
        <v>194</v>
      </c>
      <c r="E6813">
        <v>2677</v>
      </c>
      <c r="F6813" s="3">
        <v>8.0000000000000004E-4</v>
      </c>
      <c r="G6813" s="3">
        <v>0.98519999999999996</v>
      </c>
      <c r="H6813" s="3">
        <v>1.0200000000000001E-2</v>
      </c>
      <c r="I6813" s="3">
        <v>3.0999999999999999E-3</v>
      </c>
      <c r="J6813" s="3">
        <v>6.9999999999999999E-4</v>
      </c>
    </row>
    <row r="6814" spans="1:15">
      <c r="A6814" t="s">
        <v>200</v>
      </c>
      <c r="B6814" t="s">
        <v>200</v>
      </c>
      <c r="C6814">
        <v>2677</v>
      </c>
      <c r="D6814" t="s">
        <v>200</v>
      </c>
      <c r="E6814">
        <v>2677</v>
      </c>
      <c r="F6814" s="3">
        <v>4.0000000000000002E-4</v>
      </c>
      <c r="G6814" s="3">
        <v>0.94750000000000001</v>
      </c>
      <c r="H6814" s="3">
        <v>2.6599999999999999E-2</v>
      </c>
      <c r="I6814" s="3">
        <v>2.3099999999999999E-2</v>
      </c>
      <c r="J6814" s="3">
        <v>2.2000000000000001E-3</v>
      </c>
      <c r="K6814" s="3">
        <v>2.0000000000000001E-4</v>
      </c>
    </row>
    <row r="6816" spans="1:15" ht="45">
      <c r="A6816" s="22" t="s">
        <v>1512</v>
      </c>
    </row>
    <row r="6817" spans="1:11">
      <c r="A6817" t="s">
        <v>185</v>
      </c>
      <c r="B6817" t="s">
        <v>186</v>
      </c>
      <c r="C6817" t="s">
        <v>192</v>
      </c>
      <c r="D6817" t="s">
        <v>184</v>
      </c>
      <c r="E6817" t="s">
        <v>193</v>
      </c>
      <c r="F6817" t="s">
        <v>257</v>
      </c>
      <c r="G6817" t="s">
        <v>1508</v>
      </c>
      <c r="H6817" t="s">
        <v>1509</v>
      </c>
      <c r="I6817" t="s">
        <v>1510</v>
      </c>
      <c r="J6817" t="s">
        <v>1511</v>
      </c>
      <c r="K6817" t="s">
        <v>274</v>
      </c>
    </row>
    <row r="6818" spans="1:11">
      <c r="A6818" t="s">
        <v>195</v>
      </c>
      <c r="B6818" t="s">
        <v>202</v>
      </c>
      <c r="C6818">
        <v>533</v>
      </c>
      <c r="D6818" t="s">
        <v>194</v>
      </c>
      <c r="E6818">
        <v>2677</v>
      </c>
      <c r="G6818" s="3">
        <v>0.9163</v>
      </c>
      <c r="H6818" s="3">
        <v>3.7400000000000003E-2</v>
      </c>
      <c r="I6818" s="3">
        <v>4.24E-2</v>
      </c>
      <c r="J6818" s="3">
        <v>3.8E-3</v>
      </c>
    </row>
    <row r="6819" spans="1:11">
      <c r="A6819" t="s">
        <v>195</v>
      </c>
      <c r="B6819" t="s">
        <v>204</v>
      </c>
      <c r="C6819">
        <v>301</v>
      </c>
      <c r="D6819" t="s">
        <v>194</v>
      </c>
      <c r="E6819">
        <v>2677</v>
      </c>
      <c r="G6819" s="3">
        <v>0.9032</v>
      </c>
      <c r="H6819" s="3">
        <v>5.3499999999999999E-2</v>
      </c>
      <c r="I6819" s="3">
        <v>3.8899999999999997E-2</v>
      </c>
      <c r="J6819" s="3">
        <v>4.4000000000000003E-3</v>
      </c>
    </row>
    <row r="6820" spans="1:11">
      <c r="A6820" t="s">
        <v>195</v>
      </c>
      <c r="B6820" t="s">
        <v>205</v>
      </c>
      <c r="C6820">
        <v>334</v>
      </c>
      <c r="D6820" t="s">
        <v>194</v>
      </c>
      <c r="E6820">
        <v>2677</v>
      </c>
      <c r="G6820" s="3">
        <v>0.9405</v>
      </c>
      <c r="H6820" s="3">
        <v>1.9800000000000002E-2</v>
      </c>
      <c r="I6820" s="3">
        <v>3.3700000000000001E-2</v>
      </c>
      <c r="J6820" s="3">
        <v>2E-3</v>
      </c>
      <c r="K6820" s="3">
        <v>4.1000000000000003E-3</v>
      </c>
    </row>
    <row r="6821" spans="1:11">
      <c r="A6821" t="s">
        <v>199</v>
      </c>
      <c r="B6821" t="s">
        <v>202</v>
      </c>
      <c r="C6821">
        <v>538</v>
      </c>
      <c r="D6821" t="s">
        <v>194</v>
      </c>
      <c r="E6821">
        <v>2677</v>
      </c>
      <c r="G6821" s="3">
        <v>0.97950000000000004</v>
      </c>
      <c r="H6821" s="3">
        <v>1.24E-2</v>
      </c>
      <c r="I6821" s="3">
        <v>6.8999999999999999E-3</v>
      </c>
      <c r="J6821" s="3">
        <v>1.1999999999999999E-3</v>
      </c>
    </row>
    <row r="6822" spans="1:11">
      <c r="A6822" t="s">
        <v>199</v>
      </c>
      <c r="B6822" t="s">
        <v>204</v>
      </c>
      <c r="C6822">
        <v>426</v>
      </c>
      <c r="D6822" t="s">
        <v>194</v>
      </c>
      <c r="E6822">
        <v>2677</v>
      </c>
      <c r="F6822" s="3">
        <v>3.3999999999999998E-3</v>
      </c>
      <c r="G6822" s="3">
        <v>0.93279999999999996</v>
      </c>
      <c r="H6822" s="3">
        <v>4.4699999999999997E-2</v>
      </c>
      <c r="I6822" s="3">
        <v>1.8499999999999999E-2</v>
      </c>
      <c r="J6822" s="3">
        <v>6.9999999999999999E-4</v>
      </c>
    </row>
    <row r="6823" spans="1:11">
      <c r="A6823" t="s">
        <v>199</v>
      </c>
      <c r="B6823" t="s">
        <v>205</v>
      </c>
      <c r="C6823">
        <v>506</v>
      </c>
      <c r="D6823" t="s">
        <v>194</v>
      </c>
      <c r="E6823">
        <v>2677</v>
      </c>
      <c r="G6823" s="3">
        <v>0.98970000000000002</v>
      </c>
      <c r="H6823" s="3">
        <v>3.8999999999999998E-3</v>
      </c>
      <c r="I6823" s="3">
        <v>6.3E-3</v>
      </c>
      <c r="J6823" s="3">
        <v>1E-4</v>
      </c>
    </row>
    <row r="6824" spans="1:11">
      <c r="A6824" t="s">
        <v>200</v>
      </c>
      <c r="B6824" t="s">
        <v>200</v>
      </c>
      <c r="C6824">
        <v>2677</v>
      </c>
      <c r="D6824" t="s">
        <v>200</v>
      </c>
      <c r="E6824">
        <v>2677</v>
      </c>
      <c r="F6824" s="3">
        <v>4.0000000000000002E-4</v>
      </c>
      <c r="G6824" s="3">
        <v>0.94750000000000001</v>
      </c>
      <c r="H6824" s="3">
        <v>2.6599999999999999E-2</v>
      </c>
      <c r="I6824" s="3">
        <v>2.3099999999999999E-2</v>
      </c>
      <c r="J6824" s="3">
        <v>2.2000000000000001E-3</v>
      </c>
      <c r="K6824" s="3">
        <v>2.0000000000000001E-4</v>
      </c>
    </row>
    <row r="6826" spans="1:11" ht="45">
      <c r="A6826" s="22" t="s">
        <v>1513</v>
      </c>
    </row>
    <row r="6827" spans="1:11">
      <c r="A6827" t="s">
        <v>185</v>
      </c>
      <c r="B6827" t="s">
        <v>186</v>
      </c>
      <c r="C6827" t="s">
        <v>192</v>
      </c>
      <c r="D6827" t="s">
        <v>184</v>
      </c>
      <c r="E6827" t="s">
        <v>193</v>
      </c>
      <c r="F6827" t="s">
        <v>257</v>
      </c>
      <c r="G6827" t="s">
        <v>1508</v>
      </c>
      <c r="H6827" t="s">
        <v>1509</v>
      </c>
      <c r="I6827" t="s">
        <v>1510</v>
      </c>
      <c r="J6827" t="s">
        <v>1511</v>
      </c>
      <c r="K6827" t="s">
        <v>274</v>
      </c>
    </row>
    <row r="6828" spans="1:11">
      <c r="A6828" t="s">
        <v>195</v>
      </c>
      <c r="B6828" t="s">
        <v>207</v>
      </c>
      <c r="C6828">
        <v>322</v>
      </c>
      <c r="D6828" t="s">
        <v>194</v>
      </c>
      <c r="E6828">
        <v>2677</v>
      </c>
      <c r="G6828" s="3">
        <v>0.91080000000000005</v>
      </c>
      <c r="H6828" s="3">
        <v>5.2499999999999998E-2</v>
      </c>
      <c r="I6828" s="3">
        <v>2.7E-2</v>
      </c>
      <c r="J6828" s="3">
        <v>9.7999999999999997E-3</v>
      </c>
    </row>
    <row r="6829" spans="1:11">
      <c r="A6829" t="s">
        <v>195</v>
      </c>
      <c r="B6829" t="s">
        <v>209</v>
      </c>
      <c r="C6829">
        <v>867</v>
      </c>
      <c r="D6829" t="s">
        <v>194</v>
      </c>
      <c r="E6829">
        <v>2677</v>
      </c>
      <c r="G6829" s="3">
        <v>0.91890000000000005</v>
      </c>
      <c r="H6829" s="3">
        <v>3.3399999999999999E-2</v>
      </c>
      <c r="I6829" s="3">
        <v>4.5400000000000003E-2</v>
      </c>
      <c r="J6829" s="3">
        <v>1.6000000000000001E-3</v>
      </c>
      <c r="K6829" s="3">
        <v>6.9999999999999999E-4</v>
      </c>
    </row>
    <row r="6830" spans="1:11">
      <c r="A6830" t="s">
        <v>199</v>
      </c>
      <c r="B6830" t="s">
        <v>207</v>
      </c>
      <c r="C6830">
        <v>283</v>
      </c>
      <c r="D6830" t="s">
        <v>194</v>
      </c>
      <c r="E6830">
        <v>2677</v>
      </c>
      <c r="G6830" s="3">
        <v>0.96830000000000005</v>
      </c>
      <c r="H6830" s="3">
        <v>1.9099999999999999E-2</v>
      </c>
      <c r="I6830" s="3">
        <v>1.24E-2</v>
      </c>
      <c r="J6830" s="3">
        <v>2.0000000000000001E-4</v>
      </c>
    </row>
    <row r="6831" spans="1:11">
      <c r="A6831" t="s">
        <v>199</v>
      </c>
      <c r="B6831" t="s">
        <v>209</v>
      </c>
      <c r="C6831">
        <v>1205</v>
      </c>
      <c r="D6831" t="s">
        <v>194</v>
      </c>
      <c r="E6831">
        <v>2677</v>
      </c>
      <c r="F6831" s="3">
        <v>6.9999999999999999E-4</v>
      </c>
      <c r="G6831" s="3">
        <v>0.97260000000000002</v>
      </c>
      <c r="H6831" s="3">
        <v>1.7100000000000001E-2</v>
      </c>
      <c r="I6831" s="3">
        <v>8.6E-3</v>
      </c>
      <c r="J6831" s="3">
        <v>1E-3</v>
      </c>
    </row>
    <row r="6832" spans="1:11">
      <c r="A6832" t="s">
        <v>200</v>
      </c>
      <c r="B6832" t="s">
        <v>200</v>
      </c>
      <c r="C6832">
        <v>2677</v>
      </c>
      <c r="D6832" t="s">
        <v>200</v>
      </c>
      <c r="E6832">
        <v>2677</v>
      </c>
      <c r="F6832" s="3">
        <v>4.0000000000000002E-4</v>
      </c>
      <c r="G6832" s="3">
        <v>0.94750000000000001</v>
      </c>
      <c r="H6832" s="3">
        <v>2.6599999999999999E-2</v>
      </c>
      <c r="I6832" s="3">
        <v>2.3099999999999999E-2</v>
      </c>
      <c r="J6832" s="3">
        <v>2.2000000000000001E-3</v>
      </c>
      <c r="K6832" s="3">
        <v>2.0000000000000001E-4</v>
      </c>
    </row>
    <row r="6834" spans="1:11" ht="45">
      <c r="A6834" s="22" t="s">
        <v>1514</v>
      </c>
    </row>
    <row r="6835" spans="1:11">
      <c r="A6835" t="s">
        <v>185</v>
      </c>
      <c r="B6835" t="s">
        <v>192</v>
      </c>
      <c r="C6835" t="s">
        <v>184</v>
      </c>
      <c r="D6835" t="s">
        <v>193</v>
      </c>
      <c r="E6835" t="s">
        <v>257</v>
      </c>
      <c r="F6835" t="s">
        <v>1508</v>
      </c>
      <c r="G6835" t="s">
        <v>1509</v>
      </c>
      <c r="H6835" t="s">
        <v>1510</v>
      </c>
      <c r="I6835" t="s">
        <v>1511</v>
      </c>
      <c r="J6835" t="s">
        <v>274</v>
      </c>
    </row>
    <row r="6836" spans="1:11">
      <c r="A6836" t="s">
        <v>195</v>
      </c>
      <c r="B6836">
        <v>1189</v>
      </c>
      <c r="C6836" t="s">
        <v>194</v>
      </c>
      <c r="D6836">
        <v>2677</v>
      </c>
      <c r="F6836" s="3">
        <v>0.91679999999999995</v>
      </c>
      <c r="G6836" s="3">
        <v>3.8300000000000001E-2</v>
      </c>
      <c r="H6836" s="3">
        <v>4.07E-2</v>
      </c>
      <c r="I6836" s="3">
        <v>3.7000000000000002E-3</v>
      </c>
      <c r="J6836" s="3">
        <v>5.0000000000000001E-4</v>
      </c>
    </row>
    <row r="6837" spans="1:11">
      <c r="A6837" t="s">
        <v>199</v>
      </c>
      <c r="B6837">
        <v>1488</v>
      </c>
      <c r="C6837" t="s">
        <v>194</v>
      </c>
      <c r="D6837">
        <v>2677</v>
      </c>
      <c r="E6837" s="3">
        <v>6.9999999999999999E-4</v>
      </c>
      <c r="F6837" s="3">
        <v>0.97199999999999998</v>
      </c>
      <c r="G6837" s="3">
        <v>1.7299999999999999E-2</v>
      </c>
      <c r="H6837" s="3">
        <v>9.1000000000000004E-3</v>
      </c>
      <c r="I6837" s="3">
        <v>8.9999999999999998E-4</v>
      </c>
    </row>
    <row r="6838" spans="1:11">
      <c r="A6838" t="s">
        <v>200</v>
      </c>
      <c r="B6838">
        <v>2677</v>
      </c>
      <c r="C6838" t="s">
        <v>200</v>
      </c>
      <c r="D6838">
        <v>2677</v>
      </c>
      <c r="E6838" s="3">
        <v>4.0000000000000002E-4</v>
      </c>
      <c r="F6838" s="3">
        <v>0.94750000000000001</v>
      </c>
      <c r="G6838" s="3">
        <v>2.6599999999999999E-2</v>
      </c>
      <c r="H6838" s="3">
        <v>2.3099999999999999E-2</v>
      </c>
      <c r="I6838" s="3">
        <v>2.2000000000000001E-3</v>
      </c>
      <c r="J6838" s="3">
        <v>2.0000000000000001E-4</v>
      </c>
    </row>
    <row r="6840" spans="1:11" ht="30">
      <c r="A6840" s="22" t="s">
        <v>1515</v>
      </c>
    </row>
    <row r="6841" spans="1:11">
      <c r="A6841" t="s">
        <v>185</v>
      </c>
      <c r="B6841" t="s">
        <v>186</v>
      </c>
      <c r="C6841" t="s">
        <v>192</v>
      </c>
      <c r="D6841" t="s">
        <v>184</v>
      </c>
      <c r="E6841" t="s">
        <v>193</v>
      </c>
      <c r="F6841" t="s">
        <v>257</v>
      </c>
      <c r="G6841" t="s">
        <v>1508</v>
      </c>
      <c r="H6841" t="s">
        <v>1509</v>
      </c>
      <c r="I6841" t="s">
        <v>1510</v>
      </c>
      <c r="J6841" t="s">
        <v>1511</v>
      </c>
      <c r="K6841" t="s">
        <v>274</v>
      </c>
    </row>
    <row r="6842" spans="1:11">
      <c r="A6842" t="s">
        <v>195</v>
      </c>
      <c r="B6842" t="s">
        <v>212</v>
      </c>
      <c r="C6842">
        <v>873</v>
      </c>
      <c r="D6842" t="s">
        <v>194</v>
      </c>
      <c r="E6842">
        <v>2677</v>
      </c>
      <c r="G6842" s="3">
        <v>0.91510000000000002</v>
      </c>
      <c r="H6842" s="3">
        <v>4.0500000000000001E-2</v>
      </c>
      <c r="I6842" s="3">
        <v>3.9100000000000003E-2</v>
      </c>
      <c r="J6842" s="3">
        <v>4.5999999999999999E-3</v>
      </c>
      <c r="K6842" s="3">
        <v>6.9999999999999999E-4</v>
      </c>
    </row>
    <row r="6843" spans="1:11">
      <c r="A6843" t="s">
        <v>195</v>
      </c>
      <c r="B6843" t="s">
        <v>214</v>
      </c>
      <c r="C6843">
        <v>181</v>
      </c>
      <c r="D6843" t="s">
        <v>194</v>
      </c>
      <c r="E6843">
        <v>2677</v>
      </c>
      <c r="G6843" s="3">
        <v>0.93569999999999998</v>
      </c>
      <c r="H6843" s="3">
        <v>1.78E-2</v>
      </c>
      <c r="I6843" s="3">
        <v>4.5199999999999997E-2</v>
      </c>
      <c r="J6843" s="3">
        <v>1.2999999999999999E-3</v>
      </c>
    </row>
    <row r="6844" spans="1:11">
      <c r="A6844" t="s">
        <v>195</v>
      </c>
      <c r="B6844" t="s">
        <v>215</v>
      </c>
      <c r="C6844">
        <v>135</v>
      </c>
      <c r="D6844" t="s">
        <v>194</v>
      </c>
      <c r="E6844">
        <v>2677</v>
      </c>
      <c r="G6844" s="3">
        <v>0.89500000000000002</v>
      </c>
      <c r="H6844" s="3">
        <v>5.8799999999999998E-2</v>
      </c>
      <c r="I6844" s="3">
        <v>4.6300000000000001E-2</v>
      </c>
    </row>
    <row r="6845" spans="1:11">
      <c r="A6845" t="s">
        <v>199</v>
      </c>
      <c r="B6845" t="s">
        <v>212</v>
      </c>
      <c r="C6845">
        <v>1118</v>
      </c>
      <c r="D6845" t="s">
        <v>194</v>
      </c>
      <c r="E6845">
        <v>2677</v>
      </c>
      <c r="F6845" s="3">
        <v>8.9999999999999998E-4</v>
      </c>
      <c r="G6845" s="3">
        <v>0.97619999999999996</v>
      </c>
      <c r="H6845" s="3">
        <v>1.6899999999999998E-2</v>
      </c>
      <c r="I6845" s="3">
        <v>5.4000000000000003E-3</v>
      </c>
      <c r="J6845" s="3">
        <v>5.9999999999999995E-4</v>
      </c>
    </row>
    <row r="6846" spans="1:11">
      <c r="A6846" t="s">
        <v>199</v>
      </c>
      <c r="B6846" t="s">
        <v>214</v>
      </c>
      <c r="C6846">
        <v>197</v>
      </c>
      <c r="D6846" t="s">
        <v>194</v>
      </c>
      <c r="E6846">
        <v>2677</v>
      </c>
      <c r="G6846" s="3">
        <v>0.95930000000000004</v>
      </c>
      <c r="H6846" s="3">
        <v>1.5100000000000001E-2</v>
      </c>
      <c r="I6846" s="3">
        <v>2.5399999999999999E-2</v>
      </c>
      <c r="J6846" s="3">
        <v>1E-4</v>
      </c>
    </row>
    <row r="6847" spans="1:11">
      <c r="A6847" t="s">
        <v>199</v>
      </c>
      <c r="B6847" t="s">
        <v>215</v>
      </c>
      <c r="C6847">
        <v>173</v>
      </c>
      <c r="D6847" t="s">
        <v>194</v>
      </c>
      <c r="E6847">
        <v>2677</v>
      </c>
      <c r="G6847" s="3">
        <v>0.95669999999999999</v>
      </c>
      <c r="H6847" s="3">
        <v>2.5000000000000001E-2</v>
      </c>
      <c r="I6847" s="3">
        <v>1.3100000000000001E-2</v>
      </c>
      <c r="J6847" s="3">
        <v>5.1999999999999998E-3</v>
      </c>
    </row>
    <row r="6848" spans="1:11">
      <c r="A6848" t="s">
        <v>200</v>
      </c>
      <c r="B6848" t="s">
        <v>200</v>
      </c>
      <c r="C6848">
        <v>2677</v>
      </c>
      <c r="D6848" t="s">
        <v>200</v>
      </c>
      <c r="E6848">
        <v>2677</v>
      </c>
      <c r="F6848" s="3">
        <v>4.0000000000000002E-4</v>
      </c>
      <c r="G6848" s="3">
        <v>0.94750000000000001</v>
      </c>
      <c r="H6848" s="3">
        <v>2.6599999999999999E-2</v>
      </c>
      <c r="I6848" s="3">
        <v>2.3099999999999999E-2</v>
      </c>
      <c r="J6848" s="3">
        <v>2.2000000000000001E-3</v>
      </c>
      <c r="K6848" s="3">
        <v>2.0000000000000001E-4</v>
      </c>
    </row>
    <row r="6850" spans="1:11" ht="45">
      <c r="A6850" s="22" t="s">
        <v>1516</v>
      </c>
    </row>
    <row r="6851" spans="1:11">
      <c r="A6851" t="s">
        <v>185</v>
      </c>
      <c r="B6851" t="s">
        <v>186</v>
      </c>
      <c r="C6851" t="s">
        <v>192</v>
      </c>
      <c r="D6851" t="s">
        <v>184</v>
      </c>
      <c r="E6851" t="s">
        <v>193</v>
      </c>
      <c r="F6851" t="s">
        <v>257</v>
      </c>
      <c r="G6851" t="s">
        <v>1508</v>
      </c>
      <c r="H6851" t="s">
        <v>1509</v>
      </c>
      <c r="I6851" t="s">
        <v>1510</v>
      </c>
      <c r="J6851" t="s">
        <v>1511</v>
      </c>
      <c r="K6851" t="s">
        <v>274</v>
      </c>
    </row>
    <row r="6852" spans="1:11">
      <c r="A6852" t="s">
        <v>195</v>
      </c>
      <c r="B6852" t="s">
        <v>217</v>
      </c>
      <c r="C6852">
        <v>499</v>
      </c>
      <c r="D6852" t="s">
        <v>194</v>
      </c>
      <c r="E6852">
        <v>2677</v>
      </c>
      <c r="G6852" s="3">
        <v>0.91200000000000003</v>
      </c>
      <c r="H6852" s="3">
        <v>4.41E-2</v>
      </c>
      <c r="I6852" s="3">
        <v>4.0800000000000003E-2</v>
      </c>
      <c r="J6852" s="3">
        <v>3.0999999999999999E-3</v>
      </c>
    </row>
    <row r="6853" spans="1:11">
      <c r="A6853" t="s">
        <v>195</v>
      </c>
      <c r="B6853" t="s">
        <v>219</v>
      </c>
      <c r="C6853">
        <v>507</v>
      </c>
      <c r="D6853" t="s">
        <v>194</v>
      </c>
      <c r="E6853">
        <v>2677</v>
      </c>
      <c r="G6853" s="3">
        <v>0.9264</v>
      </c>
      <c r="H6853" s="3">
        <v>2.4299999999999999E-2</v>
      </c>
      <c r="I6853" s="3">
        <v>4.2299999999999997E-2</v>
      </c>
      <c r="J6853" s="3">
        <v>5.5999999999999999E-3</v>
      </c>
      <c r="K6853" s="3">
        <v>1.4E-3</v>
      </c>
    </row>
    <row r="6854" spans="1:11">
      <c r="A6854" t="s">
        <v>195</v>
      </c>
      <c r="B6854" t="s">
        <v>220</v>
      </c>
      <c r="C6854">
        <v>182</v>
      </c>
      <c r="D6854" t="s">
        <v>194</v>
      </c>
      <c r="E6854">
        <v>2677</v>
      </c>
      <c r="G6854" s="3">
        <v>0.90739999999999998</v>
      </c>
      <c r="H6854" s="3">
        <v>5.4100000000000002E-2</v>
      </c>
      <c r="I6854" s="3">
        <v>3.73E-2</v>
      </c>
      <c r="J6854" s="3">
        <v>1.1999999999999999E-3</v>
      </c>
    </row>
    <row r="6855" spans="1:11">
      <c r="A6855" t="s">
        <v>199</v>
      </c>
      <c r="B6855" t="s">
        <v>217</v>
      </c>
      <c r="C6855">
        <v>814</v>
      </c>
      <c r="D6855" t="s">
        <v>194</v>
      </c>
      <c r="E6855">
        <v>2677</v>
      </c>
      <c r="F6855" s="3">
        <v>1.1000000000000001E-3</v>
      </c>
      <c r="G6855" s="3">
        <v>0.97750000000000004</v>
      </c>
      <c r="H6855" s="3">
        <v>1.54E-2</v>
      </c>
      <c r="I6855" s="3">
        <v>5.1000000000000004E-3</v>
      </c>
      <c r="J6855" s="3">
        <v>1E-3</v>
      </c>
    </row>
    <row r="6856" spans="1:11">
      <c r="A6856" t="s">
        <v>199</v>
      </c>
      <c r="B6856" t="s">
        <v>219</v>
      </c>
      <c r="C6856">
        <v>451</v>
      </c>
      <c r="D6856" t="s">
        <v>194</v>
      </c>
      <c r="E6856">
        <v>2677</v>
      </c>
      <c r="G6856" s="3">
        <v>0.97030000000000005</v>
      </c>
      <c r="H6856" s="3">
        <v>9.7000000000000003E-3</v>
      </c>
      <c r="I6856" s="3">
        <v>0.02</v>
      </c>
      <c r="J6856" s="3">
        <v>1E-4</v>
      </c>
    </row>
    <row r="6857" spans="1:11">
      <c r="A6857" t="s">
        <v>199</v>
      </c>
      <c r="B6857" t="s">
        <v>220</v>
      </c>
      <c r="C6857">
        <v>223</v>
      </c>
      <c r="D6857" t="s">
        <v>194</v>
      </c>
      <c r="E6857">
        <v>2677</v>
      </c>
      <c r="G6857" s="3">
        <v>0.95420000000000005</v>
      </c>
      <c r="H6857" s="3">
        <v>3.6600000000000001E-2</v>
      </c>
      <c r="I6857" s="3">
        <v>7.1000000000000004E-3</v>
      </c>
      <c r="J6857" s="3">
        <v>2.0999999999999999E-3</v>
      </c>
    </row>
    <row r="6858" spans="1:11">
      <c r="A6858" t="s">
        <v>200</v>
      </c>
      <c r="B6858" t="s">
        <v>200</v>
      </c>
      <c r="C6858">
        <v>2677</v>
      </c>
      <c r="D6858" t="s">
        <v>200</v>
      </c>
      <c r="E6858">
        <v>2677</v>
      </c>
      <c r="F6858" s="3">
        <v>4.0000000000000002E-4</v>
      </c>
      <c r="G6858" s="3">
        <v>0.94750000000000001</v>
      </c>
      <c r="H6858" s="3">
        <v>2.6599999999999999E-2</v>
      </c>
      <c r="I6858" s="3">
        <v>2.3099999999999999E-2</v>
      </c>
      <c r="J6858" s="3">
        <v>2.2000000000000001E-3</v>
      </c>
      <c r="K6858" s="3">
        <v>2.0000000000000001E-4</v>
      </c>
    </row>
    <row r="6860" spans="1:11" ht="30">
      <c r="A6860" s="22" t="s">
        <v>1517</v>
      </c>
    </row>
    <row r="6861" spans="1:11">
      <c r="A6861" t="s">
        <v>185</v>
      </c>
      <c r="B6861" t="s">
        <v>186</v>
      </c>
      <c r="C6861" t="s">
        <v>192</v>
      </c>
      <c r="D6861" t="s">
        <v>184</v>
      </c>
      <c r="E6861" t="s">
        <v>193</v>
      </c>
      <c r="F6861" t="s">
        <v>257</v>
      </c>
      <c r="G6861" t="s">
        <v>226</v>
      </c>
      <c r="H6861" t="s">
        <v>247</v>
      </c>
      <c r="I6861" t="s">
        <v>227</v>
      </c>
    </row>
    <row r="6862" spans="1:11">
      <c r="A6862" t="s">
        <v>195</v>
      </c>
      <c r="B6862" t="s">
        <v>196</v>
      </c>
      <c r="C6862">
        <v>413</v>
      </c>
      <c r="D6862" t="s">
        <v>194</v>
      </c>
      <c r="E6862">
        <v>2677</v>
      </c>
      <c r="F6862" s="3">
        <v>1E-4</v>
      </c>
      <c r="G6862" s="3">
        <v>8.0000000000000002E-3</v>
      </c>
      <c r="H6862" s="3">
        <v>6.1999999999999998E-3</v>
      </c>
      <c r="I6862" s="3">
        <v>0.98560000000000003</v>
      </c>
    </row>
    <row r="6863" spans="1:11">
      <c r="A6863" t="s">
        <v>195</v>
      </c>
      <c r="B6863" t="s">
        <v>198</v>
      </c>
      <c r="C6863">
        <v>755</v>
      </c>
      <c r="D6863" t="s">
        <v>194</v>
      </c>
      <c r="E6863">
        <v>2677</v>
      </c>
      <c r="G6863" s="3">
        <v>2.5999999999999999E-3</v>
      </c>
      <c r="I6863" s="3">
        <v>0.99739999999999995</v>
      </c>
    </row>
    <row r="6864" spans="1:11">
      <c r="A6864" t="s">
        <v>199</v>
      </c>
      <c r="B6864" t="s">
        <v>196</v>
      </c>
      <c r="C6864">
        <v>525</v>
      </c>
      <c r="D6864" t="s">
        <v>194</v>
      </c>
      <c r="E6864">
        <v>2677</v>
      </c>
      <c r="G6864" s="3">
        <v>1.4E-3</v>
      </c>
      <c r="H6864" s="3">
        <v>4.0000000000000002E-4</v>
      </c>
      <c r="I6864" s="3">
        <v>0.99819999999999998</v>
      </c>
    </row>
    <row r="6865" spans="1:9">
      <c r="A6865" t="s">
        <v>199</v>
      </c>
      <c r="B6865" t="s">
        <v>198</v>
      </c>
      <c r="C6865">
        <v>945</v>
      </c>
      <c r="D6865" t="s">
        <v>194</v>
      </c>
      <c r="E6865">
        <v>2677</v>
      </c>
      <c r="F6865" s="3">
        <v>2.0000000000000001E-4</v>
      </c>
      <c r="G6865" s="3">
        <v>8.9999999999999998E-4</v>
      </c>
      <c r="I6865" s="3">
        <v>0.99890000000000001</v>
      </c>
    </row>
    <row r="6866" spans="1:9">
      <c r="A6866" t="s">
        <v>200</v>
      </c>
      <c r="B6866" t="s">
        <v>200</v>
      </c>
      <c r="C6866">
        <v>2677</v>
      </c>
      <c r="D6866" t="s">
        <v>200</v>
      </c>
      <c r="E6866">
        <v>2677</v>
      </c>
      <c r="F6866" s="3">
        <v>1E-4</v>
      </c>
      <c r="G6866" s="3">
        <v>2.3999999999999998E-3</v>
      </c>
      <c r="H6866" s="3">
        <v>8.0000000000000004E-4</v>
      </c>
      <c r="I6866" s="3">
        <v>0.99680000000000002</v>
      </c>
    </row>
    <row r="6868" spans="1:9" ht="45">
      <c r="A6868" s="22" t="s">
        <v>1518</v>
      </c>
    </row>
    <row r="6869" spans="1:9">
      <c r="A6869" t="s">
        <v>185</v>
      </c>
      <c r="B6869" t="s">
        <v>186</v>
      </c>
      <c r="C6869" t="s">
        <v>192</v>
      </c>
      <c r="D6869" t="s">
        <v>184</v>
      </c>
      <c r="E6869" t="s">
        <v>193</v>
      </c>
      <c r="F6869" t="s">
        <v>257</v>
      </c>
      <c r="G6869" t="s">
        <v>226</v>
      </c>
      <c r="H6869" t="s">
        <v>247</v>
      </c>
      <c r="I6869" t="s">
        <v>227</v>
      </c>
    </row>
    <row r="6870" spans="1:9">
      <c r="A6870" t="s">
        <v>195</v>
      </c>
      <c r="B6870" t="s">
        <v>202</v>
      </c>
      <c r="C6870">
        <v>533</v>
      </c>
      <c r="D6870" t="s">
        <v>194</v>
      </c>
      <c r="E6870">
        <v>2677</v>
      </c>
      <c r="G6870" s="3">
        <v>4.7000000000000002E-3</v>
      </c>
      <c r="H6870" s="3">
        <v>2.5999999999999999E-3</v>
      </c>
      <c r="I6870" s="3">
        <v>0.99270000000000003</v>
      </c>
    </row>
    <row r="6871" spans="1:9">
      <c r="A6871" t="s">
        <v>195</v>
      </c>
      <c r="B6871" t="s">
        <v>204</v>
      </c>
      <c r="C6871">
        <v>301</v>
      </c>
      <c r="D6871" t="s">
        <v>194</v>
      </c>
      <c r="E6871">
        <v>2677</v>
      </c>
      <c r="F6871" s="3">
        <v>2.0000000000000001E-4</v>
      </c>
      <c r="I6871" s="3">
        <v>0.99980000000000002</v>
      </c>
    </row>
    <row r="6872" spans="1:9">
      <c r="A6872" t="s">
        <v>195</v>
      </c>
      <c r="B6872" t="s">
        <v>205</v>
      </c>
      <c r="C6872">
        <v>334</v>
      </c>
      <c r="D6872" t="s">
        <v>194</v>
      </c>
      <c r="E6872">
        <v>2677</v>
      </c>
      <c r="G6872" s="3">
        <v>7.4999999999999997E-3</v>
      </c>
      <c r="I6872" s="3">
        <v>0.99250000000000005</v>
      </c>
    </row>
    <row r="6873" spans="1:9">
      <c r="A6873" t="s">
        <v>199</v>
      </c>
      <c r="B6873" t="s">
        <v>202</v>
      </c>
      <c r="C6873">
        <v>538</v>
      </c>
      <c r="D6873" t="s">
        <v>194</v>
      </c>
      <c r="E6873">
        <v>2677</v>
      </c>
      <c r="G6873" s="3">
        <v>8.0000000000000004E-4</v>
      </c>
      <c r="H6873" s="3">
        <v>1E-4</v>
      </c>
      <c r="I6873" s="3">
        <v>0.99909999999999999</v>
      </c>
    </row>
    <row r="6874" spans="1:9">
      <c r="A6874" t="s">
        <v>199</v>
      </c>
      <c r="B6874" t="s">
        <v>204</v>
      </c>
      <c r="C6874">
        <v>426</v>
      </c>
      <c r="D6874" t="s">
        <v>194</v>
      </c>
      <c r="E6874">
        <v>2677</v>
      </c>
      <c r="G6874" s="3">
        <v>1.2999999999999999E-3</v>
      </c>
      <c r="I6874" s="3">
        <v>0.99870000000000003</v>
      </c>
    </row>
    <row r="6875" spans="1:9">
      <c r="A6875" t="s">
        <v>199</v>
      </c>
      <c r="B6875" t="s">
        <v>205</v>
      </c>
      <c r="C6875">
        <v>506</v>
      </c>
      <c r="D6875" t="s">
        <v>194</v>
      </c>
      <c r="E6875">
        <v>2677</v>
      </c>
      <c r="F6875" s="3">
        <v>6.9999999999999999E-4</v>
      </c>
      <c r="G6875" s="3">
        <v>1.6000000000000001E-3</v>
      </c>
      <c r="I6875" s="3">
        <v>0.99770000000000003</v>
      </c>
    </row>
    <row r="6876" spans="1:9">
      <c r="A6876" t="s">
        <v>200</v>
      </c>
      <c r="B6876" t="s">
        <v>200</v>
      </c>
      <c r="C6876">
        <v>2677</v>
      </c>
      <c r="D6876" t="s">
        <v>200</v>
      </c>
      <c r="E6876">
        <v>2677</v>
      </c>
      <c r="F6876" s="3">
        <v>1E-4</v>
      </c>
      <c r="G6876" s="3">
        <v>2.3999999999999998E-3</v>
      </c>
      <c r="H6876" s="3">
        <v>8.0000000000000004E-4</v>
      </c>
      <c r="I6876" s="3">
        <v>0.99680000000000002</v>
      </c>
    </row>
    <row r="6878" spans="1:9" ht="45">
      <c r="A6878" s="22" t="s">
        <v>1519</v>
      </c>
    </row>
    <row r="6879" spans="1:9">
      <c r="A6879" t="s">
        <v>185</v>
      </c>
      <c r="B6879" t="s">
        <v>186</v>
      </c>
      <c r="C6879" t="s">
        <v>192</v>
      </c>
      <c r="D6879" t="s">
        <v>184</v>
      </c>
      <c r="E6879" t="s">
        <v>193</v>
      </c>
      <c r="F6879" t="s">
        <v>257</v>
      </c>
      <c r="G6879" t="s">
        <v>226</v>
      </c>
      <c r="H6879" t="s">
        <v>247</v>
      </c>
      <c r="I6879" t="s">
        <v>227</v>
      </c>
    </row>
    <row r="6880" spans="1:9">
      <c r="A6880" t="s">
        <v>195</v>
      </c>
      <c r="B6880" t="s">
        <v>207</v>
      </c>
      <c r="C6880">
        <v>322</v>
      </c>
      <c r="D6880" t="s">
        <v>194</v>
      </c>
      <c r="E6880">
        <v>2677</v>
      </c>
      <c r="G6880" s="3">
        <v>3.5000000000000001E-3</v>
      </c>
      <c r="I6880" s="3">
        <v>0.99650000000000005</v>
      </c>
    </row>
    <row r="6881" spans="1:9">
      <c r="A6881" t="s">
        <v>195</v>
      </c>
      <c r="B6881" t="s">
        <v>209</v>
      </c>
      <c r="C6881">
        <v>867</v>
      </c>
      <c r="D6881" t="s">
        <v>194</v>
      </c>
      <c r="E6881">
        <v>2677</v>
      </c>
      <c r="F6881" s="3">
        <v>0</v>
      </c>
      <c r="G6881" s="3">
        <v>4.3E-3</v>
      </c>
      <c r="H6881" s="3">
        <v>2.2000000000000001E-3</v>
      </c>
      <c r="I6881" s="3">
        <v>0.99350000000000005</v>
      </c>
    </row>
    <row r="6882" spans="1:9">
      <c r="A6882" t="s">
        <v>199</v>
      </c>
      <c r="B6882" t="s">
        <v>207</v>
      </c>
      <c r="C6882">
        <v>283</v>
      </c>
      <c r="D6882" t="s">
        <v>194</v>
      </c>
      <c r="E6882">
        <v>2677</v>
      </c>
      <c r="F6882" s="3">
        <v>1E-3</v>
      </c>
      <c r="G6882" s="3">
        <v>3.2000000000000002E-3</v>
      </c>
      <c r="H6882" s="3">
        <v>5.9999999999999995E-4</v>
      </c>
      <c r="I6882" s="3">
        <v>0.99519999999999997</v>
      </c>
    </row>
    <row r="6883" spans="1:9">
      <c r="A6883" t="s">
        <v>199</v>
      </c>
      <c r="B6883" t="s">
        <v>209</v>
      </c>
      <c r="C6883">
        <v>1205</v>
      </c>
      <c r="D6883" t="s">
        <v>194</v>
      </c>
      <c r="E6883">
        <v>2677</v>
      </c>
      <c r="G6883" s="3">
        <v>6.9999999999999999E-4</v>
      </c>
      <c r="I6883" s="3">
        <v>0.99929999999999997</v>
      </c>
    </row>
    <row r="6884" spans="1:9">
      <c r="A6884" t="s">
        <v>200</v>
      </c>
      <c r="B6884" t="s">
        <v>200</v>
      </c>
      <c r="C6884">
        <v>2677</v>
      </c>
      <c r="D6884" t="s">
        <v>200</v>
      </c>
      <c r="E6884">
        <v>2677</v>
      </c>
      <c r="F6884" s="3">
        <v>1E-4</v>
      </c>
      <c r="G6884" s="3">
        <v>2.3999999999999998E-3</v>
      </c>
      <c r="H6884" s="3">
        <v>8.0000000000000004E-4</v>
      </c>
      <c r="I6884" s="3">
        <v>0.99680000000000002</v>
      </c>
    </row>
    <row r="6886" spans="1:9" ht="45">
      <c r="A6886" s="22" t="s">
        <v>1520</v>
      </c>
    </row>
    <row r="6887" spans="1:9">
      <c r="A6887" t="s">
        <v>185</v>
      </c>
      <c r="B6887" t="s">
        <v>192</v>
      </c>
      <c r="C6887" t="s">
        <v>184</v>
      </c>
      <c r="D6887" t="s">
        <v>193</v>
      </c>
      <c r="E6887" t="s">
        <v>257</v>
      </c>
      <c r="F6887" t="s">
        <v>226</v>
      </c>
      <c r="G6887" t="s">
        <v>247</v>
      </c>
      <c r="H6887" t="s">
        <v>227</v>
      </c>
    </row>
    <row r="6888" spans="1:9">
      <c r="A6888" t="s">
        <v>195</v>
      </c>
      <c r="B6888">
        <v>1189</v>
      </c>
      <c r="C6888" t="s">
        <v>194</v>
      </c>
      <c r="D6888">
        <v>2677</v>
      </c>
      <c r="E6888" s="3">
        <v>0</v>
      </c>
      <c r="F6888" s="3">
        <v>4.1000000000000003E-3</v>
      </c>
      <c r="G6888" s="3">
        <v>1.6999999999999999E-3</v>
      </c>
      <c r="H6888" s="3">
        <v>0.99419999999999997</v>
      </c>
    </row>
    <row r="6889" spans="1:9">
      <c r="A6889" t="s">
        <v>199</v>
      </c>
      <c r="B6889">
        <v>1488</v>
      </c>
      <c r="C6889" t="s">
        <v>194</v>
      </c>
      <c r="D6889">
        <v>2677</v>
      </c>
      <c r="E6889" s="3">
        <v>1E-4</v>
      </c>
      <c r="F6889" s="3">
        <v>1E-3</v>
      </c>
      <c r="G6889" s="3">
        <v>1E-4</v>
      </c>
      <c r="H6889" s="3">
        <v>0.99880000000000002</v>
      </c>
    </row>
    <row r="6890" spans="1:9">
      <c r="A6890" t="s">
        <v>200</v>
      </c>
      <c r="B6890">
        <v>2677</v>
      </c>
      <c r="C6890" t="s">
        <v>200</v>
      </c>
      <c r="D6890">
        <v>2677</v>
      </c>
      <c r="E6890" s="3">
        <v>1E-4</v>
      </c>
      <c r="F6890" s="3">
        <v>2.3999999999999998E-3</v>
      </c>
      <c r="G6890" s="3">
        <v>8.0000000000000004E-4</v>
      </c>
      <c r="H6890" s="3">
        <v>0.99680000000000002</v>
      </c>
    </row>
    <row r="6892" spans="1:9" ht="30">
      <c r="A6892" s="22" t="s">
        <v>1521</v>
      </c>
    </row>
    <row r="6893" spans="1:9">
      <c r="A6893" t="s">
        <v>185</v>
      </c>
      <c r="B6893" t="s">
        <v>186</v>
      </c>
      <c r="C6893" t="s">
        <v>192</v>
      </c>
      <c r="D6893" t="s">
        <v>184</v>
      </c>
      <c r="E6893" t="s">
        <v>193</v>
      </c>
      <c r="F6893" t="s">
        <v>257</v>
      </c>
      <c r="G6893" t="s">
        <v>226</v>
      </c>
      <c r="H6893" t="s">
        <v>247</v>
      </c>
      <c r="I6893" t="s">
        <v>227</v>
      </c>
    </row>
    <row r="6894" spans="1:9">
      <c r="A6894" t="s">
        <v>195</v>
      </c>
      <c r="B6894" t="s">
        <v>212</v>
      </c>
      <c r="C6894">
        <v>873</v>
      </c>
      <c r="D6894" t="s">
        <v>194</v>
      </c>
      <c r="E6894">
        <v>2677</v>
      </c>
      <c r="F6894" s="3">
        <v>0</v>
      </c>
      <c r="G6894" s="3">
        <v>2.7000000000000001E-3</v>
      </c>
      <c r="H6894" s="3">
        <v>2.2000000000000001E-3</v>
      </c>
      <c r="I6894" s="3">
        <v>0.995</v>
      </c>
    </row>
    <row r="6895" spans="1:9">
      <c r="A6895" t="s">
        <v>195</v>
      </c>
      <c r="B6895" t="s">
        <v>214</v>
      </c>
      <c r="C6895">
        <v>181</v>
      </c>
      <c r="D6895" t="s">
        <v>194</v>
      </c>
      <c r="E6895">
        <v>2677</v>
      </c>
      <c r="I6895" s="3">
        <v>1</v>
      </c>
    </row>
    <row r="6896" spans="1:9">
      <c r="A6896" t="s">
        <v>195</v>
      </c>
      <c r="B6896" t="s">
        <v>215</v>
      </c>
      <c r="C6896">
        <v>135</v>
      </c>
      <c r="D6896" t="s">
        <v>194</v>
      </c>
      <c r="E6896">
        <v>2677</v>
      </c>
      <c r="G6896" s="3">
        <v>2.4E-2</v>
      </c>
      <c r="I6896" s="3">
        <v>0.97599999999999998</v>
      </c>
    </row>
    <row r="6897" spans="1:9">
      <c r="A6897" t="s">
        <v>199</v>
      </c>
      <c r="B6897" t="s">
        <v>212</v>
      </c>
      <c r="C6897">
        <v>1118</v>
      </c>
      <c r="D6897" t="s">
        <v>194</v>
      </c>
      <c r="E6897">
        <v>2677</v>
      </c>
      <c r="F6897" s="3">
        <v>2.0000000000000001E-4</v>
      </c>
      <c r="G6897" s="3">
        <v>2.9999999999999997E-4</v>
      </c>
      <c r="H6897" s="3">
        <v>1E-4</v>
      </c>
      <c r="I6897" s="3">
        <v>0.99950000000000006</v>
      </c>
    </row>
    <row r="6898" spans="1:9">
      <c r="A6898" t="s">
        <v>199</v>
      </c>
      <c r="B6898" t="s">
        <v>214</v>
      </c>
      <c r="C6898">
        <v>197</v>
      </c>
      <c r="D6898" t="s">
        <v>194</v>
      </c>
      <c r="E6898">
        <v>2677</v>
      </c>
      <c r="G6898" s="3">
        <v>2.5999999999999999E-3</v>
      </c>
      <c r="I6898" s="3">
        <v>0.99739999999999995</v>
      </c>
    </row>
    <row r="6899" spans="1:9">
      <c r="A6899" t="s">
        <v>199</v>
      </c>
      <c r="B6899" t="s">
        <v>215</v>
      </c>
      <c r="C6899">
        <v>173</v>
      </c>
      <c r="D6899" t="s">
        <v>194</v>
      </c>
      <c r="E6899">
        <v>2677</v>
      </c>
      <c r="G6899" s="3">
        <v>5.1999999999999998E-3</v>
      </c>
      <c r="I6899" s="3">
        <v>0.99480000000000002</v>
      </c>
    </row>
    <row r="6900" spans="1:9">
      <c r="A6900" t="s">
        <v>200</v>
      </c>
      <c r="B6900" t="s">
        <v>200</v>
      </c>
      <c r="C6900">
        <v>2677</v>
      </c>
      <c r="D6900" t="s">
        <v>200</v>
      </c>
      <c r="E6900">
        <v>2677</v>
      </c>
      <c r="F6900" s="3">
        <v>1E-4</v>
      </c>
      <c r="G6900" s="3">
        <v>2.3999999999999998E-3</v>
      </c>
      <c r="H6900" s="3">
        <v>8.0000000000000004E-4</v>
      </c>
      <c r="I6900" s="3">
        <v>0.99680000000000002</v>
      </c>
    </row>
    <row r="6902" spans="1:9" ht="45">
      <c r="A6902" s="22" t="s">
        <v>1522</v>
      </c>
    </row>
    <row r="6903" spans="1:9">
      <c r="A6903" t="s">
        <v>185</v>
      </c>
      <c r="B6903" t="s">
        <v>186</v>
      </c>
      <c r="C6903" t="s">
        <v>192</v>
      </c>
      <c r="D6903" t="s">
        <v>184</v>
      </c>
      <c r="E6903" t="s">
        <v>193</v>
      </c>
      <c r="F6903" t="s">
        <v>257</v>
      </c>
      <c r="G6903" t="s">
        <v>226</v>
      </c>
      <c r="H6903" t="s">
        <v>247</v>
      </c>
      <c r="I6903" t="s">
        <v>227</v>
      </c>
    </row>
    <row r="6904" spans="1:9">
      <c r="A6904" t="s">
        <v>195</v>
      </c>
      <c r="B6904" t="s">
        <v>217</v>
      </c>
      <c r="C6904">
        <v>499</v>
      </c>
      <c r="D6904" t="s">
        <v>194</v>
      </c>
      <c r="E6904">
        <v>2677</v>
      </c>
      <c r="F6904" s="3">
        <v>1E-4</v>
      </c>
      <c r="G6904" s="3">
        <v>7.1999999999999998E-3</v>
      </c>
      <c r="H6904" s="3">
        <v>3.8999999999999998E-3</v>
      </c>
      <c r="I6904" s="3">
        <v>0.98870000000000002</v>
      </c>
    </row>
    <row r="6905" spans="1:9">
      <c r="A6905" t="s">
        <v>195</v>
      </c>
      <c r="B6905" t="s">
        <v>219</v>
      </c>
      <c r="C6905">
        <v>507</v>
      </c>
      <c r="D6905" t="s">
        <v>194</v>
      </c>
      <c r="E6905">
        <v>2677</v>
      </c>
      <c r="G6905" s="3">
        <v>2.5999999999999999E-3</v>
      </c>
      <c r="I6905" s="3">
        <v>0.99739999999999995</v>
      </c>
    </row>
    <row r="6906" spans="1:9">
      <c r="A6906" t="s">
        <v>195</v>
      </c>
      <c r="B6906" t="s">
        <v>220</v>
      </c>
      <c r="C6906">
        <v>182</v>
      </c>
      <c r="D6906" t="s">
        <v>194</v>
      </c>
      <c r="E6906">
        <v>2677</v>
      </c>
      <c r="I6906" s="3">
        <v>1</v>
      </c>
    </row>
    <row r="6907" spans="1:9">
      <c r="A6907" t="s">
        <v>199</v>
      </c>
      <c r="B6907" t="s">
        <v>217</v>
      </c>
      <c r="C6907">
        <v>814</v>
      </c>
      <c r="D6907" t="s">
        <v>194</v>
      </c>
      <c r="E6907">
        <v>2677</v>
      </c>
      <c r="F6907" s="3">
        <v>2.0000000000000001E-4</v>
      </c>
      <c r="G6907" s="3">
        <v>1.1000000000000001E-3</v>
      </c>
      <c r="H6907" s="3">
        <v>1E-4</v>
      </c>
      <c r="I6907" s="3">
        <v>0.99860000000000004</v>
      </c>
    </row>
    <row r="6908" spans="1:9">
      <c r="A6908" t="s">
        <v>199</v>
      </c>
      <c r="B6908" t="s">
        <v>219</v>
      </c>
      <c r="C6908">
        <v>451</v>
      </c>
      <c r="D6908" t="s">
        <v>194</v>
      </c>
      <c r="E6908">
        <v>2677</v>
      </c>
      <c r="G6908" s="3">
        <v>1.1000000000000001E-3</v>
      </c>
      <c r="I6908" s="3">
        <v>0.99890000000000001</v>
      </c>
    </row>
    <row r="6909" spans="1:9">
      <c r="A6909" t="s">
        <v>199</v>
      </c>
      <c r="B6909" t="s">
        <v>220</v>
      </c>
      <c r="C6909">
        <v>223</v>
      </c>
      <c r="D6909" t="s">
        <v>194</v>
      </c>
      <c r="E6909">
        <v>2677</v>
      </c>
      <c r="G6909" s="3">
        <v>8.0000000000000004E-4</v>
      </c>
      <c r="I6909" s="3">
        <v>0.99919999999999998</v>
      </c>
    </row>
    <row r="6910" spans="1:9">
      <c r="A6910" t="s">
        <v>200</v>
      </c>
      <c r="B6910" t="s">
        <v>200</v>
      </c>
      <c r="C6910">
        <v>2677</v>
      </c>
      <c r="D6910" t="s">
        <v>200</v>
      </c>
      <c r="E6910">
        <v>2677</v>
      </c>
      <c r="F6910" s="3">
        <v>1E-4</v>
      </c>
      <c r="G6910" s="3">
        <v>2.3999999999999998E-3</v>
      </c>
      <c r="H6910" s="3">
        <v>8.0000000000000004E-4</v>
      </c>
      <c r="I6910" s="3">
        <v>0.99680000000000002</v>
      </c>
    </row>
    <row r="6912" spans="1:9" ht="30">
      <c r="A6912" s="22" t="s">
        <v>1523</v>
      </c>
    </row>
    <row r="6913" spans="1:18">
      <c r="A6913" t="s">
        <v>185</v>
      </c>
      <c r="B6913" t="s">
        <v>186</v>
      </c>
      <c r="C6913" t="s">
        <v>192</v>
      </c>
      <c r="D6913" t="s">
        <v>184</v>
      </c>
      <c r="E6913" t="s">
        <v>193</v>
      </c>
      <c r="F6913" t="s">
        <v>1524</v>
      </c>
      <c r="G6913" t="s">
        <v>1525</v>
      </c>
      <c r="H6913" t="s">
        <v>257</v>
      </c>
      <c r="I6913" t="s">
        <v>1526</v>
      </c>
      <c r="J6913" t="s">
        <v>1527</v>
      </c>
      <c r="K6913" t="s">
        <v>1528</v>
      </c>
      <c r="L6913" t="s">
        <v>1529</v>
      </c>
      <c r="M6913" t="s">
        <v>1530</v>
      </c>
      <c r="N6913" t="s">
        <v>1531</v>
      </c>
      <c r="O6913" t="s">
        <v>1532</v>
      </c>
      <c r="P6913" t="s">
        <v>1533</v>
      </c>
      <c r="Q6913" t="s">
        <v>1534</v>
      </c>
      <c r="R6913" t="s">
        <v>247</v>
      </c>
    </row>
    <row r="6914" spans="1:18">
      <c r="A6914" t="s">
        <v>195</v>
      </c>
      <c r="B6914" t="s">
        <v>196</v>
      </c>
      <c r="C6914">
        <v>413</v>
      </c>
      <c r="D6914" t="s">
        <v>194</v>
      </c>
      <c r="E6914">
        <v>2677</v>
      </c>
      <c r="F6914" s="3">
        <v>3.2000000000000001E-2</v>
      </c>
      <c r="G6914" s="3">
        <v>2.0999999999999999E-3</v>
      </c>
      <c r="H6914" s="3">
        <v>1.29E-2</v>
      </c>
      <c r="K6914" s="3">
        <v>1.9699999999999999E-2</v>
      </c>
      <c r="L6914" s="3">
        <v>0.30080000000000001</v>
      </c>
      <c r="M6914" s="3">
        <v>0.20200000000000001</v>
      </c>
      <c r="N6914" s="3">
        <v>8.3000000000000004E-2</v>
      </c>
      <c r="O6914" s="3">
        <v>2.3999999999999998E-3</v>
      </c>
      <c r="P6914" s="3">
        <v>0.30499999999999999</v>
      </c>
      <c r="Q6914" s="3">
        <v>4.02E-2</v>
      </c>
    </row>
    <row r="6915" spans="1:18">
      <c r="A6915" t="s">
        <v>195</v>
      </c>
      <c r="B6915" t="s">
        <v>198</v>
      </c>
      <c r="C6915">
        <v>755</v>
      </c>
      <c r="D6915" t="s">
        <v>194</v>
      </c>
      <c r="E6915">
        <v>2677</v>
      </c>
      <c r="F6915" s="3">
        <v>5.9999999999999995E-4</v>
      </c>
      <c r="G6915" s="3">
        <v>0</v>
      </c>
      <c r="H6915" s="3">
        <v>5.0000000000000001E-4</v>
      </c>
      <c r="L6915" s="3">
        <v>0.87450000000000006</v>
      </c>
      <c r="M6915" s="3">
        <v>7.0099999999999996E-2</v>
      </c>
      <c r="N6915" s="3">
        <v>1.2999999999999999E-2</v>
      </c>
      <c r="O6915" s="3">
        <v>1E-4</v>
      </c>
      <c r="P6915" s="3">
        <v>3.95E-2</v>
      </c>
      <c r="Q6915" s="3">
        <v>1.6999999999999999E-3</v>
      </c>
    </row>
    <row r="6916" spans="1:18">
      <c r="A6916" t="s">
        <v>199</v>
      </c>
      <c r="B6916" t="s">
        <v>196</v>
      </c>
      <c r="C6916">
        <v>525</v>
      </c>
      <c r="D6916" t="s">
        <v>194</v>
      </c>
      <c r="E6916">
        <v>2677</v>
      </c>
      <c r="G6916" s="3">
        <v>4.0000000000000002E-4</v>
      </c>
      <c r="H6916" s="3">
        <v>1E-4</v>
      </c>
      <c r="I6916" s="3">
        <v>5.4000000000000003E-3</v>
      </c>
      <c r="J6916" s="3">
        <v>3.3E-3</v>
      </c>
      <c r="K6916" s="3">
        <v>4.8999999999999998E-3</v>
      </c>
      <c r="L6916" s="3">
        <v>0.30230000000000001</v>
      </c>
      <c r="M6916" s="3">
        <v>0.29649999999999999</v>
      </c>
      <c r="N6916" s="3">
        <v>0.1961</v>
      </c>
      <c r="O6916" s="3">
        <v>6.9999999999999999E-4</v>
      </c>
      <c r="P6916" s="3">
        <v>0.18529999999999999</v>
      </c>
      <c r="Q6916" s="3">
        <v>5.1000000000000004E-3</v>
      </c>
    </row>
    <row r="6917" spans="1:18">
      <c r="A6917" t="s">
        <v>199</v>
      </c>
      <c r="B6917" t="s">
        <v>198</v>
      </c>
      <c r="C6917">
        <v>945</v>
      </c>
      <c r="D6917" t="s">
        <v>194</v>
      </c>
      <c r="E6917">
        <v>2677</v>
      </c>
      <c r="F6917" s="3">
        <v>1E-4</v>
      </c>
      <c r="G6917" s="3">
        <v>2.3999999999999998E-3</v>
      </c>
      <c r="H6917" s="3">
        <v>2E-3</v>
      </c>
      <c r="J6917" s="3">
        <v>1E-3</v>
      </c>
      <c r="L6917" s="3">
        <v>0.83609999999999995</v>
      </c>
      <c r="M6917" s="3">
        <v>0.1212</v>
      </c>
      <c r="N6917" s="3">
        <v>1.6E-2</v>
      </c>
      <c r="P6917" s="3">
        <v>1.95E-2</v>
      </c>
      <c r="Q6917" s="3">
        <v>1.5E-3</v>
      </c>
      <c r="R6917" s="3">
        <v>4.0000000000000002E-4</v>
      </c>
    </row>
    <row r="6918" spans="1:18">
      <c r="A6918" t="s">
        <v>200</v>
      </c>
      <c r="B6918" t="s">
        <v>200</v>
      </c>
      <c r="C6918">
        <v>2677</v>
      </c>
      <c r="D6918" t="s">
        <v>200</v>
      </c>
      <c r="E6918">
        <v>2677</v>
      </c>
      <c r="F6918" s="3">
        <v>4.0000000000000001E-3</v>
      </c>
      <c r="G6918" s="3">
        <v>1.4E-3</v>
      </c>
      <c r="H6918" s="3">
        <v>2.5999999999999999E-3</v>
      </c>
      <c r="I6918" s="3">
        <v>5.9999999999999995E-4</v>
      </c>
      <c r="J6918" s="3">
        <v>8.0000000000000004E-4</v>
      </c>
      <c r="K6918" s="3">
        <v>2.8E-3</v>
      </c>
      <c r="L6918" s="3">
        <v>0.7298</v>
      </c>
      <c r="M6918" s="3">
        <v>0.13239999999999999</v>
      </c>
      <c r="N6918" s="3">
        <v>4.1399999999999999E-2</v>
      </c>
      <c r="O6918" s="3">
        <v>4.0000000000000002E-4</v>
      </c>
      <c r="P6918" s="3">
        <v>7.6999999999999999E-2</v>
      </c>
      <c r="Q6918" s="3">
        <v>6.6E-3</v>
      </c>
      <c r="R6918" s="3">
        <v>2.0000000000000001E-4</v>
      </c>
    </row>
    <row r="6920" spans="1:18" ht="45">
      <c r="A6920" s="22" t="s">
        <v>1535</v>
      </c>
    </row>
    <row r="6921" spans="1:18">
      <c r="A6921" t="s">
        <v>185</v>
      </c>
      <c r="B6921" t="s">
        <v>186</v>
      </c>
      <c r="C6921" t="s">
        <v>192</v>
      </c>
      <c r="D6921" t="s">
        <v>184</v>
      </c>
      <c r="E6921" t="s">
        <v>193</v>
      </c>
      <c r="F6921" t="s">
        <v>1524</v>
      </c>
      <c r="G6921" t="s">
        <v>1525</v>
      </c>
      <c r="H6921" t="s">
        <v>257</v>
      </c>
      <c r="I6921" t="s">
        <v>1526</v>
      </c>
      <c r="J6921" t="s">
        <v>1527</v>
      </c>
      <c r="K6921" t="s">
        <v>1528</v>
      </c>
      <c r="L6921" t="s">
        <v>1529</v>
      </c>
      <c r="M6921" t="s">
        <v>1530</v>
      </c>
      <c r="N6921" t="s">
        <v>1531</v>
      </c>
      <c r="O6921" t="s">
        <v>1532</v>
      </c>
      <c r="P6921" t="s">
        <v>1533</v>
      </c>
      <c r="Q6921" t="s">
        <v>1534</v>
      </c>
      <c r="R6921" t="s">
        <v>247</v>
      </c>
    </row>
    <row r="6922" spans="1:18">
      <c r="A6922" t="s">
        <v>195</v>
      </c>
      <c r="B6922" t="s">
        <v>202</v>
      </c>
      <c r="C6922">
        <v>533</v>
      </c>
      <c r="D6922" t="s">
        <v>194</v>
      </c>
      <c r="E6922">
        <v>2677</v>
      </c>
      <c r="F6922" s="3">
        <v>1.3899999999999999E-2</v>
      </c>
      <c r="G6922" s="3">
        <v>8.9999999999999998E-4</v>
      </c>
      <c r="H6922" s="3">
        <v>5.1999999999999998E-3</v>
      </c>
      <c r="K6922" s="3">
        <v>8.0999999999999996E-3</v>
      </c>
      <c r="L6922" s="3">
        <v>0.71379999999999999</v>
      </c>
      <c r="M6922" s="3">
        <v>0.10730000000000001</v>
      </c>
      <c r="N6922" s="3">
        <v>4.2900000000000001E-2</v>
      </c>
      <c r="P6922" s="3">
        <v>9.5200000000000007E-2</v>
      </c>
      <c r="Q6922" s="3">
        <v>1.2699999999999999E-2</v>
      </c>
    </row>
    <row r="6923" spans="1:18">
      <c r="A6923" t="s">
        <v>195</v>
      </c>
      <c r="B6923" t="s">
        <v>204</v>
      </c>
      <c r="C6923">
        <v>301</v>
      </c>
      <c r="D6923" t="s">
        <v>194</v>
      </c>
      <c r="E6923">
        <v>2677</v>
      </c>
      <c r="G6923" s="3">
        <v>1E-4</v>
      </c>
      <c r="H6923" s="3">
        <v>1.5E-3</v>
      </c>
      <c r="L6923" s="3">
        <v>0.72299999999999998</v>
      </c>
      <c r="M6923" s="3">
        <v>0.10929999999999999</v>
      </c>
      <c r="N6923" s="3">
        <v>1.5299999999999999E-2</v>
      </c>
      <c r="P6923" s="3">
        <v>0.14419999999999999</v>
      </c>
      <c r="Q6923" s="3">
        <v>6.4999999999999997E-3</v>
      </c>
    </row>
    <row r="6924" spans="1:18">
      <c r="A6924" t="s">
        <v>195</v>
      </c>
      <c r="B6924" t="s">
        <v>205</v>
      </c>
      <c r="C6924">
        <v>334</v>
      </c>
      <c r="D6924" t="s">
        <v>194</v>
      </c>
      <c r="E6924">
        <v>2677</v>
      </c>
      <c r="H6924" s="3">
        <v>1.1000000000000001E-3</v>
      </c>
      <c r="L6924" s="3">
        <v>0.75339999999999996</v>
      </c>
      <c r="M6924" s="3">
        <v>8.9300000000000004E-2</v>
      </c>
      <c r="N6924" s="3">
        <v>4.1000000000000003E-3</v>
      </c>
      <c r="O6924" s="3">
        <v>5.3E-3</v>
      </c>
      <c r="P6924" s="3">
        <v>0.12970000000000001</v>
      </c>
      <c r="Q6924" s="3">
        <v>1.72E-2</v>
      </c>
    </row>
    <row r="6925" spans="1:18">
      <c r="A6925" t="s">
        <v>199</v>
      </c>
      <c r="B6925" t="s">
        <v>202</v>
      </c>
      <c r="C6925">
        <v>538</v>
      </c>
      <c r="D6925" t="s">
        <v>194</v>
      </c>
      <c r="E6925">
        <v>2677</v>
      </c>
      <c r="F6925" s="3">
        <v>1E-4</v>
      </c>
      <c r="G6925" s="3">
        <v>3.0999999999999999E-3</v>
      </c>
      <c r="H6925" s="3">
        <v>1.9E-3</v>
      </c>
      <c r="I6925" s="3">
        <v>1.6000000000000001E-3</v>
      </c>
      <c r="J6925" s="3">
        <v>1E-3</v>
      </c>
      <c r="K6925" s="3">
        <v>1.4E-3</v>
      </c>
      <c r="L6925" s="3">
        <v>0.75219999999999998</v>
      </c>
      <c r="M6925" s="3">
        <v>0.1293</v>
      </c>
      <c r="N6925" s="3">
        <v>6.6799999999999998E-2</v>
      </c>
      <c r="P6925" s="3">
        <v>4.1300000000000003E-2</v>
      </c>
      <c r="Q6925" s="3">
        <v>1.1999999999999999E-3</v>
      </c>
    </row>
    <row r="6926" spans="1:18">
      <c r="A6926" t="s">
        <v>199</v>
      </c>
      <c r="B6926" t="s">
        <v>204</v>
      </c>
      <c r="C6926">
        <v>426</v>
      </c>
      <c r="D6926" t="s">
        <v>194</v>
      </c>
      <c r="E6926">
        <v>2677</v>
      </c>
      <c r="G6926" s="3">
        <v>1E-4</v>
      </c>
      <c r="J6926" s="3">
        <v>3.3999999999999998E-3</v>
      </c>
      <c r="L6926" s="3">
        <v>0.5877</v>
      </c>
      <c r="M6926" s="3">
        <v>0.28160000000000002</v>
      </c>
      <c r="N6926" s="3">
        <v>3.0300000000000001E-2</v>
      </c>
      <c r="P6926" s="3">
        <v>9.1600000000000001E-2</v>
      </c>
      <c r="Q6926" s="3">
        <v>4.4999999999999997E-3</v>
      </c>
      <c r="R6926" s="3">
        <v>8.9999999999999998E-4</v>
      </c>
    </row>
    <row r="6927" spans="1:18">
      <c r="A6927" t="s">
        <v>199</v>
      </c>
      <c r="B6927" t="s">
        <v>205</v>
      </c>
      <c r="C6927">
        <v>506</v>
      </c>
      <c r="D6927" t="s">
        <v>194</v>
      </c>
      <c r="E6927">
        <v>2677</v>
      </c>
      <c r="H6927" s="3">
        <v>2.5000000000000001E-3</v>
      </c>
      <c r="J6927" s="3">
        <v>6.9999999999999999E-4</v>
      </c>
      <c r="L6927" s="3">
        <v>0.85160000000000002</v>
      </c>
      <c r="M6927" s="3">
        <v>9.9099999999999994E-2</v>
      </c>
      <c r="N6927" s="3">
        <v>5.4000000000000003E-3</v>
      </c>
      <c r="O6927" s="3">
        <v>8.0000000000000004E-4</v>
      </c>
      <c r="P6927" s="3">
        <v>3.6200000000000003E-2</v>
      </c>
      <c r="Q6927" s="3">
        <v>2.8999999999999998E-3</v>
      </c>
      <c r="R6927" s="3">
        <v>8.0000000000000004E-4</v>
      </c>
    </row>
    <row r="6928" spans="1:18">
      <c r="A6928" t="s">
        <v>200</v>
      </c>
      <c r="B6928" t="s">
        <v>200</v>
      </c>
      <c r="C6928">
        <v>2677</v>
      </c>
      <c r="D6928" t="s">
        <v>200</v>
      </c>
      <c r="E6928">
        <v>2677</v>
      </c>
      <c r="F6928" s="3">
        <v>4.0000000000000001E-3</v>
      </c>
      <c r="G6928" s="3">
        <v>1.4E-3</v>
      </c>
      <c r="H6928" s="3">
        <v>2.5999999999999999E-3</v>
      </c>
      <c r="I6928" s="3">
        <v>5.9999999999999995E-4</v>
      </c>
      <c r="J6928" s="3">
        <v>8.0000000000000004E-4</v>
      </c>
      <c r="K6928" s="3">
        <v>2.8E-3</v>
      </c>
      <c r="L6928" s="3">
        <v>0.7298</v>
      </c>
      <c r="M6928" s="3">
        <v>0.13239999999999999</v>
      </c>
      <c r="N6928" s="3">
        <v>4.1399999999999999E-2</v>
      </c>
      <c r="O6928" s="3">
        <v>4.0000000000000002E-4</v>
      </c>
      <c r="P6928" s="3">
        <v>7.6999999999999999E-2</v>
      </c>
      <c r="Q6928" s="3">
        <v>6.6E-3</v>
      </c>
      <c r="R6928" s="3">
        <v>2.0000000000000001E-4</v>
      </c>
    </row>
    <row r="6930" spans="1:18" ht="45">
      <c r="A6930" s="22" t="s">
        <v>1536</v>
      </c>
    </row>
    <row r="6931" spans="1:18">
      <c r="A6931" t="s">
        <v>185</v>
      </c>
      <c r="B6931" t="s">
        <v>186</v>
      </c>
      <c r="C6931" t="s">
        <v>192</v>
      </c>
      <c r="D6931" t="s">
        <v>184</v>
      </c>
      <c r="E6931" t="s">
        <v>193</v>
      </c>
      <c r="F6931" t="s">
        <v>1524</v>
      </c>
      <c r="G6931" t="s">
        <v>1525</v>
      </c>
      <c r="H6931" t="s">
        <v>257</v>
      </c>
      <c r="I6931" t="s">
        <v>1526</v>
      </c>
      <c r="J6931" t="s">
        <v>1527</v>
      </c>
      <c r="K6931" t="s">
        <v>1528</v>
      </c>
      <c r="L6931" t="s">
        <v>1529</v>
      </c>
      <c r="M6931" t="s">
        <v>1530</v>
      </c>
      <c r="N6931" t="s">
        <v>1531</v>
      </c>
      <c r="O6931" t="s">
        <v>1532</v>
      </c>
      <c r="P6931" t="s">
        <v>1533</v>
      </c>
      <c r="Q6931" t="s">
        <v>1534</v>
      </c>
      <c r="R6931" t="s">
        <v>247</v>
      </c>
    </row>
    <row r="6932" spans="1:18">
      <c r="A6932" t="s">
        <v>195</v>
      </c>
      <c r="B6932" t="s">
        <v>207</v>
      </c>
      <c r="C6932">
        <v>322</v>
      </c>
      <c r="D6932" t="s">
        <v>194</v>
      </c>
      <c r="E6932">
        <v>2677</v>
      </c>
      <c r="F6932" s="3">
        <v>3.0200000000000001E-2</v>
      </c>
      <c r="G6932" s="3">
        <v>1E-4</v>
      </c>
      <c r="H6932" s="3">
        <v>2.5000000000000001E-3</v>
      </c>
      <c r="L6932" s="3">
        <v>0.67210000000000003</v>
      </c>
      <c r="M6932" s="3">
        <v>0.1321</v>
      </c>
      <c r="N6932" s="3">
        <v>4.0099999999999997E-2</v>
      </c>
      <c r="O6932" s="3">
        <v>2.9999999999999997E-4</v>
      </c>
      <c r="P6932" s="3">
        <v>0.1201</v>
      </c>
      <c r="Q6932" s="3">
        <v>2.5000000000000001E-3</v>
      </c>
    </row>
    <row r="6933" spans="1:18">
      <c r="A6933" t="s">
        <v>195</v>
      </c>
      <c r="B6933" t="s">
        <v>209</v>
      </c>
      <c r="C6933">
        <v>867</v>
      </c>
      <c r="D6933" t="s">
        <v>194</v>
      </c>
      <c r="E6933">
        <v>2677</v>
      </c>
      <c r="F6933" s="3">
        <v>1.6999999999999999E-3</v>
      </c>
      <c r="G6933" s="3">
        <v>6.9999999999999999E-4</v>
      </c>
      <c r="H6933" s="3">
        <v>4.3E-3</v>
      </c>
      <c r="K6933" s="3">
        <v>7.0000000000000001E-3</v>
      </c>
      <c r="L6933" s="3">
        <v>0.7379</v>
      </c>
      <c r="M6933" s="3">
        <v>9.6600000000000005E-2</v>
      </c>
      <c r="N6933" s="3">
        <v>2.86E-2</v>
      </c>
      <c r="O6933" s="3">
        <v>8.9999999999999998E-4</v>
      </c>
      <c r="P6933" s="3">
        <v>0.1071</v>
      </c>
      <c r="Q6933" s="3">
        <v>1.52E-2</v>
      </c>
    </row>
    <row r="6934" spans="1:18">
      <c r="A6934" t="s">
        <v>199</v>
      </c>
      <c r="B6934" t="s">
        <v>207</v>
      </c>
      <c r="C6934">
        <v>283</v>
      </c>
      <c r="D6934" t="s">
        <v>194</v>
      </c>
      <c r="E6934">
        <v>2677</v>
      </c>
      <c r="F6934" s="3">
        <v>4.0000000000000002E-4</v>
      </c>
      <c r="G6934" s="3">
        <v>1.6299999999999999E-2</v>
      </c>
      <c r="J6934" s="3">
        <v>1E-3</v>
      </c>
      <c r="L6934" s="3">
        <v>0.72940000000000005</v>
      </c>
      <c r="M6934" s="3">
        <v>0.1115</v>
      </c>
      <c r="N6934" s="3">
        <v>7.0199999999999999E-2</v>
      </c>
      <c r="P6934" s="3">
        <v>6.6900000000000001E-2</v>
      </c>
      <c r="Q6934" s="3">
        <v>3.2000000000000002E-3</v>
      </c>
      <c r="R6934" s="3">
        <v>1.1000000000000001E-3</v>
      </c>
    </row>
    <row r="6935" spans="1:18">
      <c r="A6935" t="s">
        <v>199</v>
      </c>
      <c r="B6935" t="s">
        <v>209</v>
      </c>
      <c r="C6935">
        <v>1205</v>
      </c>
      <c r="D6935" t="s">
        <v>194</v>
      </c>
      <c r="E6935">
        <v>2677</v>
      </c>
      <c r="G6935" s="3">
        <v>0</v>
      </c>
      <c r="H6935" s="3">
        <v>1.9E-3</v>
      </c>
      <c r="I6935" s="3">
        <v>1.1000000000000001E-3</v>
      </c>
      <c r="J6935" s="3">
        <v>1.4E-3</v>
      </c>
      <c r="K6935" s="3">
        <v>1E-3</v>
      </c>
      <c r="L6935" s="3">
        <v>0.7379</v>
      </c>
      <c r="M6935" s="3">
        <v>0.15959999999999999</v>
      </c>
      <c r="N6935" s="3">
        <v>4.6399999999999997E-2</v>
      </c>
      <c r="O6935" s="3">
        <v>1E-4</v>
      </c>
      <c r="P6935" s="3">
        <v>4.8000000000000001E-2</v>
      </c>
      <c r="Q6935" s="3">
        <v>2.3E-3</v>
      </c>
      <c r="R6935" s="3">
        <v>2.0000000000000001E-4</v>
      </c>
    </row>
    <row r="6936" spans="1:18">
      <c r="A6936" t="s">
        <v>200</v>
      </c>
      <c r="B6936" t="s">
        <v>200</v>
      </c>
      <c r="C6936">
        <v>2677</v>
      </c>
      <c r="D6936" t="s">
        <v>200</v>
      </c>
      <c r="E6936">
        <v>2677</v>
      </c>
      <c r="F6936" s="3">
        <v>4.0000000000000001E-3</v>
      </c>
      <c r="G6936" s="3">
        <v>1.4E-3</v>
      </c>
      <c r="H6936" s="3">
        <v>2.5999999999999999E-3</v>
      </c>
      <c r="I6936" s="3">
        <v>5.9999999999999995E-4</v>
      </c>
      <c r="J6936" s="3">
        <v>8.0000000000000004E-4</v>
      </c>
      <c r="K6936" s="3">
        <v>2.8E-3</v>
      </c>
      <c r="L6936" s="3">
        <v>0.7298</v>
      </c>
      <c r="M6936" s="3">
        <v>0.13239999999999999</v>
      </c>
      <c r="N6936" s="3">
        <v>4.1399999999999999E-2</v>
      </c>
      <c r="O6936" s="3">
        <v>4.0000000000000002E-4</v>
      </c>
      <c r="P6936" s="3">
        <v>7.6999999999999999E-2</v>
      </c>
      <c r="Q6936" s="3">
        <v>6.6E-3</v>
      </c>
      <c r="R6936" s="3">
        <v>2.0000000000000001E-4</v>
      </c>
    </row>
    <row r="6938" spans="1:18" ht="45">
      <c r="A6938" s="22" t="s">
        <v>1537</v>
      </c>
    </row>
    <row r="6939" spans="1:18">
      <c r="A6939" t="s">
        <v>185</v>
      </c>
      <c r="B6939" t="s">
        <v>192</v>
      </c>
      <c r="C6939" t="s">
        <v>184</v>
      </c>
      <c r="D6939" t="s">
        <v>193</v>
      </c>
      <c r="E6939" t="s">
        <v>1524</v>
      </c>
      <c r="F6939" t="s">
        <v>1525</v>
      </c>
      <c r="G6939" t="s">
        <v>257</v>
      </c>
      <c r="H6939" t="s">
        <v>1526</v>
      </c>
      <c r="I6939" t="s">
        <v>1527</v>
      </c>
      <c r="J6939" t="s">
        <v>1528</v>
      </c>
      <c r="K6939" t="s">
        <v>1529</v>
      </c>
      <c r="L6939" t="s">
        <v>1530</v>
      </c>
      <c r="M6939" t="s">
        <v>1531</v>
      </c>
      <c r="N6939" t="s">
        <v>1532</v>
      </c>
      <c r="O6939" t="s">
        <v>1533</v>
      </c>
      <c r="P6939" t="s">
        <v>1534</v>
      </c>
      <c r="Q6939" t="s">
        <v>247</v>
      </c>
    </row>
    <row r="6940" spans="1:18">
      <c r="A6940" t="s">
        <v>195</v>
      </c>
      <c r="B6940">
        <v>1189</v>
      </c>
      <c r="C6940" t="s">
        <v>194</v>
      </c>
      <c r="D6940">
        <v>2677</v>
      </c>
      <c r="E6940" s="3">
        <v>8.9999999999999993E-3</v>
      </c>
      <c r="F6940" s="3">
        <v>5.9999999999999995E-4</v>
      </c>
      <c r="G6940" s="3">
        <v>3.8E-3</v>
      </c>
      <c r="J6940" s="3">
        <v>5.1999999999999998E-3</v>
      </c>
      <c r="K6940" s="3">
        <v>0.72099999999999997</v>
      </c>
      <c r="L6940" s="3">
        <v>0.1057</v>
      </c>
      <c r="M6940" s="3">
        <v>3.15E-2</v>
      </c>
      <c r="N6940" s="3">
        <v>6.9999999999999999E-4</v>
      </c>
      <c r="O6940" s="3">
        <v>0.1104</v>
      </c>
      <c r="P6940" s="3">
        <v>1.1900000000000001E-2</v>
      </c>
    </row>
    <row r="6941" spans="1:18">
      <c r="A6941" t="s">
        <v>199</v>
      </c>
      <c r="B6941">
        <v>1488</v>
      </c>
      <c r="C6941" t="s">
        <v>194</v>
      </c>
      <c r="D6941">
        <v>2677</v>
      </c>
      <c r="E6941" s="3">
        <v>1E-4</v>
      </c>
      <c r="F6941" s="3">
        <v>2E-3</v>
      </c>
      <c r="G6941" s="3">
        <v>1.6000000000000001E-3</v>
      </c>
      <c r="H6941" s="3">
        <v>1E-3</v>
      </c>
      <c r="I6941" s="3">
        <v>1.4E-3</v>
      </c>
      <c r="J6941" s="3">
        <v>8.9999999999999998E-4</v>
      </c>
      <c r="K6941" s="3">
        <v>0.73680000000000001</v>
      </c>
      <c r="L6941" s="3">
        <v>0.15379999999999999</v>
      </c>
      <c r="M6941" s="3">
        <v>4.9299999999999997E-2</v>
      </c>
      <c r="N6941" s="3">
        <v>1E-4</v>
      </c>
      <c r="O6941" s="3">
        <v>5.0299999999999997E-2</v>
      </c>
      <c r="P6941" s="3">
        <v>2.3999999999999998E-3</v>
      </c>
      <c r="Q6941" s="3">
        <v>2.9999999999999997E-4</v>
      </c>
    </row>
    <row r="6942" spans="1:18">
      <c r="A6942" t="s">
        <v>200</v>
      </c>
      <c r="B6942">
        <v>2677</v>
      </c>
      <c r="C6942" t="s">
        <v>200</v>
      </c>
      <c r="D6942">
        <v>2677</v>
      </c>
      <c r="E6942" s="3">
        <v>4.0000000000000001E-3</v>
      </c>
      <c r="F6942" s="3">
        <v>1.4E-3</v>
      </c>
      <c r="G6942" s="3">
        <v>2.5999999999999999E-3</v>
      </c>
      <c r="H6942" s="3">
        <v>5.9999999999999995E-4</v>
      </c>
      <c r="I6942" s="3">
        <v>8.0000000000000004E-4</v>
      </c>
      <c r="J6942" s="3">
        <v>2.8E-3</v>
      </c>
      <c r="K6942" s="3">
        <v>0.7298</v>
      </c>
      <c r="L6942" s="3">
        <v>0.13239999999999999</v>
      </c>
      <c r="M6942" s="3">
        <v>4.1399999999999999E-2</v>
      </c>
      <c r="N6942" s="3">
        <v>4.0000000000000002E-4</v>
      </c>
      <c r="O6942" s="3">
        <v>7.6999999999999999E-2</v>
      </c>
      <c r="P6942" s="3">
        <v>6.6E-3</v>
      </c>
      <c r="Q6942" s="3">
        <v>2.0000000000000001E-4</v>
      </c>
    </row>
    <row r="6944" spans="1:18" ht="30">
      <c r="A6944" s="22" t="s">
        <v>1538</v>
      </c>
    </row>
    <row r="6945" spans="1:18">
      <c r="A6945" t="s">
        <v>185</v>
      </c>
      <c r="B6945" t="s">
        <v>186</v>
      </c>
      <c r="C6945" t="s">
        <v>192</v>
      </c>
      <c r="D6945" t="s">
        <v>184</v>
      </c>
      <c r="E6945" t="s">
        <v>193</v>
      </c>
      <c r="F6945" t="s">
        <v>1524</v>
      </c>
      <c r="G6945" t="s">
        <v>1525</v>
      </c>
      <c r="H6945" t="s">
        <v>257</v>
      </c>
      <c r="I6945" t="s">
        <v>1526</v>
      </c>
      <c r="J6945" t="s">
        <v>1527</v>
      </c>
      <c r="K6945" t="s">
        <v>1528</v>
      </c>
      <c r="L6945" t="s">
        <v>1529</v>
      </c>
      <c r="M6945" t="s">
        <v>1530</v>
      </c>
      <c r="N6945" t="s">
        <v>1531</v>
      </c>
      <c r="O6945" t="s">
        <v>1532</v>
      </c>
      <c r="P6945" t="s">
        <v>1533</v>
      </c>
      <c r="Q6945" t="s">
        <v>1534</v>
      </c>
      <c r="R6945" t="s">
        <v>247</v>
      </c>
    </row>
    <row r="6946" spans="1:18">
      <c r="A6946" t="s">
        <v>195</v>
      </c>
      <c r="B6946" t="s">
        <v>212</v>
      </c>
      <c r="C6946">
        <v>873</v>
      </c>
      <c r="D6946" t="s">
        <v>194</v>
      </c>
      <c r="E6946">
        <v>2677</v>
      </c>
      <c r="F6946" s="3">
        <v>6.7000000000000002E-3</v>
      </c>
      <c r="G6946" s="3">
        <v>0</v>
      </c>
      <c r="H6946" s="3">
        <v>4.7000000000000002E-3</v>
      </c>
      <c r="K6946" s="3">
        <v>7.0000000000000001E-3</v>
      </c>
      <c r="L6946" s="3">
        <v>0.73909999999999998</v>
      </c>
      <c r="M6946" s="3">
        <v>8.9899999999999994E-2</v>
      </c>
      <c r="N6946" s="3">
        <v>2.9600000000000001E-2</v>
      </c>
      <c r="O6946" s="3">
        <v>8.0000000000000004E-4</v>
      </c>
      <c r="P6946" s="3">
        <v>0.1153</v>
      </c>
      <c r="Q6946" s="3">
        <v>6.7999999999999996E-3</v>
      </c>
    </row>
    <row r="6947" spans="1:18">
      <c r="A6947" t="s">
        <v>195</v>
      </c>
      <c r="B6947" t="s">
        <v>214</v>
      </c>
      <c r="C6947">
        <v>181</v>
      </c>
      <c r="D6947" t="s">
        <v>194</v>
      </c>
      <c r="E6947">
        <v>2677</v>
      </c>
      <c r="F6947" s="3">
        <v>1.1900000000000001E-2</v>
      </c>
      <c r="G6947" s="3">
        <v>1.1999999999999999E-3</v>
      </c>
      <c r="H6947" s="3">
        <v>2.0000000000000001E-4</v>
      </c>
      <c r="L6947" s="3">
        <v>0.71960000000000002</v>
      </c>
      <c r="M6947" s="3">
        <v>0.14130000000000001</v>
      </c>
      <c r="N6947" s="3">
        <v>1.9900000000000001E-2</v>
      </c>
      <c r="O6947" s="3">
        <v>5.0000000000000001E-4</v>
      </c>
      <c r="P6947" s="3">
        <v>8.0399999999999999E-2</v>
      </c>
      <c r="Q6947" s="3">
        <v>2.52E-2</v>
      </c>
    </row>
    <row r="6948" spans="1:18">
      <c r="A6948" t="s">
        <v>195</v>
      </c>
      <c r="B6948" t="s">
        <v>215</v>
      </c>
      <c r="C6948">
        <v>135</v>
      </c>
      <c r="D6948" t="s">
        <v>194</v>
      </c>
      <c r="E6948">
        <v>2677</v>
      </c>
      <c r="F6948" s="3">
        <v>2.35E-2</v>
      </c>
      <c r="G6948" s="3">
        <v>4.3E-3</v>
      </c>
      <c r="H6948" s="3">
        <v>2.8999999999999998E-3</v>
      </c>
      <c r="L6948" s="3">
        <v>0.56100000000000005</v>
      </c>
      <c r="M6948" s="3">
        <v>0.17829999999999999</v>
      </c>
      <c r="N6948" s="3">
        <v>7.2099999999999997E-2</v>
      </c>
      <c r="P6948" s="3">
        <v>0.12609999999999999</v>
      </c>
      <c r="Q6948" s="3">
        <v>3.1800000000000002E-2</v>
      </c>
    </row>
    <row r="6949" spans="1:18">
      <c r="A6949" t="s">
        <v>199</v>
      </c>
      <c r="B6949" t="s">
        <v>212</v>
      </c>
      <c r="C6949">
        <v>1118</v>
      </c>
      <c r="D6949" t="s">
        <v>194</v>
      </c>
      <c r="E6949">
        <v>2677</v>
      </c>
      <c r="F6949" s="3">
        <v>1E-4</v>
      </c>
      <c r="G6949" s="3">
        <v>2.5000000000000001E-3</v>
      </c>
      <c r="H6949" s="3">
        <v>5.0000000000000001E-4</v>
      </c>
      <c r="I6949" s="3">
        <v>1.2999999999999999E-3</v>
      </c>
      <c r="J6949" s="3">
        <v>1E-3</v>
      </c>
      <c r="L6949" s="3">
        <v>0.749</v>
      </c>
      <c r="M6949" s="3">
        <v>0.15340000000000001</v>
      </c>
      <c r="N6949" s="3">
        <v>4.6399999999999997E-2</v>
      </c>
      <c r="P6949" s="3">
        <v>4.3499999999999997E-2</v>
      </c>
      <c r="Q6949" s="3">
        <v>1.8E-3</v>
      </c>
      <c r="R6949" s="3">
        <v>4.0000000000000002E-4</v>
      </c>
    </row>
    <row r="6950" spans="1:18">
      <c r="A6950" t="s">
        <v>199</v>
      </c>
      <c r="B6950" t="s">
        <v>214</v>
      </c>
      <c r="C6950">
        <v>197</v>
      </c>
      <c r="D6950" t="s">
        <v>194</v>
      </c>
      <c r="E6950">
        <v>2677</v>
      </c>
      <c r="J6950" s="3">
        <v>4.3E-3</v>
      </c>
      <c r="L6950" s="3">
        <v>0.85029999999999994</v>
      </c>
      <c r="M6950" s="3">
        <v>7.6300000000000007E-2</v>
      </c>
      <c r="N6950" s="3">
        <v>1.35E-2</v>
      </c>
      <c r="O6950" s="3">
        <v>8.9999999999999998E-4</v>
      </c>
      <c r="P6950" s="3">
        <v>5.3400000000000003E-2</v>
      </c>
      <c r="Q6950" s="3">
        <v>1.2999999999999999E-3</v>
      </c>
    </row>
    <row r="6951" spans="1:18">
      <c r="A6951" t="s">
        <v>199</v>
      </c>
      <c r="B6951" t="s">
        <v>215</v>
      </c>
      <c r="C6951">
        <v>173</v>
      </c>
      <c r="D6951" t="s">
        <v>194</v>
      </c>
      <c r="E6951">
        <v>2677</v>
      </c>
      <c r="G6951" s="3">
        <v>5.9999999999999995E-4</v>
      </c>
      <c r="H6951" s="3">
        <v>1.46E-2</v>
      </c>
      <c r="K6951" s="3">
        <v>1.0699999999999999E-2</v>
      </c>
      <c r="L6951" s="3">
        <v>0.42149999999999999</v>
      </c>
      <c r="M6951" s="3">
        <v>0.2964</v>
      </c>
      <c r="N6951" s="3">
        <v>0.14030000000000001</v>
      </c>
      <c r="P6951" s="3">
        <v>0.1065</v>
      </c>
      <c r="Q6951" s="3">
        <v>9.4000000000000004E-3</v>
      </c>
    </row>
    <row r="6952" spans="1:18">
      <c r="A6952" t="s">
        <v>200</v>
      </c>
      <c r="B6952" t="s">
        <v>200</v>
      </c>
      <c r="C6952">
        <v>2677</v>
      </c>
      <c r="D6952" t="s">
        <v>200</v>
      </c>
      <c r="E6952">
        <v>2677</v>
      </c>
      <c r="F6952" s="3">
        <v>4.0000000000000001E-3</v>
      </c>
      <c r="G6952" s="3">
        <v>1.4E-3</v>
      </c>
      <c r="H6952" s="3">
        <v>2.5999999999999999E-3</v>
      </c>
      <c r="I6952" s="3">
        <v>5.9999999999999995E-4</v>
      </c>
      <c r="J6952" s="3">
        <v>8.0000000000000004E-4</v>
      </c>
      <c r="K6952" s="3">
        <v>2.8E-3</v>
      </c>
      <c r="L6952" s="3">
        <v>0.7298</v>
      </c>
      <c r="M6952" s="3">
        <v>0.13239999999999999</v>
      </c>
      <c r="N6952" s="3">
        <v>4.1399999999999999E-2</v>
      </c>
      <c r="O6952" s="3">
        <v>4.0000000000000002E-4</v>
      </c>
      <c r="P6952" s="3">
        <v>7.6999999999999999E-2</v>
      </c>
      <c r="Q6952" s="3">
        <v>6.6E-3</v>
      </c>
      <c r="R6952" s="3">
        <v>2.0000000000000001E-4</v>
      </c>
    </row>
    <row r="6954" spans="1:18" ht="45">
      <c r="A6954" s="22" t="s">
        <v>1539</v>
      </c>
    </row>
    <row r="6955" spans="1:18">
      <c r="A6955" t="s">
        <v>185</v>
      </c>
      <c r="B6955" t="s">
        <v>186</v>
      </c>
      <c r="C6955" t="s">
        <v>192</v>
      </c>
      <c r="D6955" t="s">
        <v>184</v>
      </c>
      <c r="E6955" t="s">
        <v>193</v>
      </c>
      <c r="F6955" t="s">
        <v>1524</v>
      </c>
      <c r="G6955" t="s">
        <v>1525</v>
      </c>
      <c r="H6955" t="s">
        <v>257</v>
      </c>
      <c r="I6955" t="s">
        <v>1526</v>
      </c>
      <c r="J6955" t="s">
        <v>1527</v>
      </c>
      <c r="K6955" t="s">
        <v>1528</v>
      </c>
      <c r="L6955" t="s">
        <v>1529</v>
      </c>
      <c r="M6955" t="s">
        <v>1530</v>
      </c>
      <c r="N6955" t="s">
        <v>1531</v>
      </c>
      <c r="O6955" t="s">
        <v>1532</v>
      </c>
      <c r="P6955" t="s">
        <v>1533</v>
      </c>
      <c r="Q6955" t="s">
        <v>1534</v>
      </c>
      <c r="R6955" t="s">
        <v>247</v>
      </c>
    </row>
    <row r="6956" spans="1:18">
      <c r="A6956" t="s">
        <v>195</v>
      </c>
      <c r="B6956" t="s">
        <v>217</v>
      </c>
      <c r="C6956">
        <v>499</v>
      </c>
      <c r="D6956" t="s">
        <v>194</v>
      </c>
      <c r="E6956">
        <v>2677</v>
      </c>
      <c r="F6956" s="3">
        <v>1.09E-2</v>
      </c>
      <c r="G6956" s="3">
        <v>8.9999999999999998E-4</v>
      </c>
      <c r="H6956" s="3">
        <v>8.0999999999999996E-3</v>
      </c>
      <c r="L6956" s="3">
        <v>0.72260000000000002</v>
      </c>
      <c r="M6956" s="3">
        <v>0.1004</v>
      </c>
      <c r="N6956" s="3">
        <v>4.0399999999999998E-2</v>
      </c>
      <c r="O6956" s="3">
        <v>1.5E-3</v>
      </c>
      <c r="P6956" s="3">
        <v>0.1055</v>
      </c>
      <c r="Q6956" s="3">
        <v>9.5999999999999992E-3</v>
      </c>
    </row>
    <row r="6957" spans="1:18">
      <c r="A6957" t="s">
        <v>195</v>
      </c>
      <c r="B6957" t="s">
        <v>219</v>
      </c>
      <c r="C6957">
        <v>507</v>
      </c>
      <c r="D6957" t="s">
        <v>194</v>
      </c>
      <c r="E6957">
        <v>2677</v>
      </c>
      <c r="F6957" s="3">
        <v>1.1299999999999999E-2</v>
      </c>
      <c r="G6957" s="3">
        <v>5.0000000000000001E-4</v>
      </c>
      <c r="H6957" s="3">
        <v>1.1000000000000001E-3</v>
      </c>
      <c r="L6957" s="3">
        <v>0.71430000000000005</v>
      </c>
      <c r="M6957" s="3">
        <v>0.12039999999999999</v>
      </c>
      <c r="N6957" s="3">
        <v>3.2000000000000001E-2</v>
      </c>
      <c r="O6957" s="3">
        <v>2.0000000000000001E-4</v>
      </c>
      <c r="P6957" s="3">
        <v>0.1115</v>
      </c>
      <c r="Q6957" s="3">
        <v>8.6999999999999994E-3</v>
      </c>
    </row>
    <row r="6958" spans="1:18">
      <c r="A6958" t="s">
        <v>195</v>
      </c>
      <c r="B6958" t="s">
        <v>220</v>
      </c>
      <c r="C6958">
        <v>182</v>
      </c>
      <c r="D6958" t="s">
        <v>194</v>
      </c>
      <c r="E6958">
        <v>2677</v>
      </c>
      <c r="G6958" s="3">
        <v>1E-4</v>
      </c>
      <c r="K6958" s="3">
        <v>2.7799999999999998E-2</v>
      </c>
      <c r="L6958" s="3">
        <v>0.73140000000000005</v>
      </c>
      <c r="M6958" s="3">
        <v>8.6999999999999994E-2</v>
      </c>
      <c r="N6958" s="3">
        <v>1.0699999999999999E-2</v>
      </c>
      <c r="P6958" s="3">
        <v>0.1192</v>
      </c>
      <c r="Q6958" s="3">
        <v>2.3800000000000002E-2</v>
      </c>
    </row>
    <row r="6959" spans="1:18">
      <c r="A6959" t="s">
        <v>199</v>
      </c>
      <c r="B6959" t="s">
        <v>217</v>
      </c>
      <c r="C6959">
        <v>814</v>
      </c>
      <c r="D6959" t="s">
        <v>194</v>
      </c>
      <c r="E6959">
        <v>2677</v>
      </c>
      <c r="G6959" s="3">
        <v>1E-4</v>
      </c>
      <c r="H6959" s="3">
        <v>2.5999999999999999E-3</v>
      </c>
      <c r="I6959" s="3">
        <v>1.6999999999999999E-3</v>
      </c>
      <c r="J6959" s="3">
        <v>8.9999999999999998E-4</v>
      </c>
      <c r="K6959" s="3">
        <v>1.5E-3</v>
      </c>
      <c r="L6959" s="3">
        <v>0.71530000000000005</v>
      </c>
      <c r="M6959" s="3">
        <v>0.17299999999999999</v>
      </c>
      <c r="N6959" s="3">
        <v>5.2600000000000001E-2</v>
      </c>
      <c r="P6959" s="3">
        <v>5.0099999999999999E-2</v>
      </c>
      <c r="Q6959" s="3">
        <v>2E-3</v>
      </c>
      <c r="R6959" s="3">
        <v>2.9999999999999997E-4</v>
      </c>
    </row>
    <row r="6960" spans="1:18">
      <c r="A6960" t="s">
        <v>199</v>
      </c>
      <c r="B6960" t="s">
        <v>219</v>
      </c>
      <c r="C6960">
        <v>451</v>
      </c>
      <c r="D6960" t="s">
        <v>194</v>
      </c>
      <c r="E6960">
        <v>2677</v>
      </c>
      <c r="F6960" s="3">
        <v>2.0000000000000001E-4</v>
      </c>
      <c r="G6960" s="3">
        <v>7.7999999999999996E-3</v>
      </c>
      <c r="J6960" s="3">
        <v>5.0000000000000001E-4</v>
      </c>
      <c r="L6960" s="3">
        <v>0.7954</v>
      </c>
      <c r="M6960" s="3">
        <v>9.5299999999999996E-2</v>
      </c>
      <c r="N6960" s="3">
        <v>4.0500000000000001E-2</v>
      </c>
      <c r="O6960" s="3">
        <v>5.0000000000000001E-4</v>
      </c>
      <c r="P6960" s="3">
        <v>5.57E-2</v>
      </c>
      <c r="Q6960" s="3">
        <v>3.5000000000000001E-3</v>
      </c>
      <c r="R6960" s="3">
        <v>5.0000000000000001E-4</v>
      </c>
    </row>
    <row r="6961" spans="1:18">
      <c r="A6961" t="s">
        <v>199</v>
      </c>
      <c r="B6961" t="s">
        <v>220</v>
      </c>
      <c r="C6961">
        <v>223</v>
      </c>
      <c r="D6961" t="s">
        <v>194</v>
      </c>
      <c r="E6961">
        <v>2677</v>
      </c>
      <c r="H6961" s="3">
        <v>6.9999999999999999E-4</v>
      </c>
      <c r="J6961" s="3">
        <v>4.7999999999999996E-3</v>
      </c>
      <c r="L6961" s="3">
        <v>0.72689999999999999</v>
      </c>
      <c r="M6961" s="3">
        <v>0.17249999999999999</v>
      </c>
      <c r="N6961" s="3">
        <v>5.04E-2</v>
      </c>
      <c r="P6961" s="3">
        <v>4.24E-2</v>
      </c>
      <c r="Q6961" s="3">
        <v>2.3E-3</v>
      </c>
    </row>
    <row r="6962" spans="1:18">
      <c r="A6962" t="s">
        <v>200</v>
      </c>
      <c r="B6962" t="s">
        <v>200</v>
      </c>
      <c r="C6962">
        <v>2677</v>
      </c>
      <c r="D6962" t="s">
        <v>200</v>
      </c>
      <c r="E6962">
        <v>2677</v>
      </c>
      <c r="F6962" s="3">
        <v>4.0000000000000001E-3</v>
      </c>
      <c r="G6962" s="3">
        <v>1.4E-3</v>
      </c>
      <c r="H6962" s="3">
        <v>2.5999999999999999E-3</v>
      </c>
      <c r="I6962" s="3">
        <v>5.9999999999999995E-4</v>
      </c>
      <c r="J6962" s="3">
        <v>8.0000000000000004E-4</v>
      </c>
      <c r="K6962" s="3">
        <v>2.8E-3</v>
      </c>
      <c r="L6962" s="3">
        <v>0.7298</v>
      </c>
      <c r="M6962" s="3">
        <v>0.13239999999999999</v>
      </c>
      <c r="N6962" s="3">
        <v>4.1399999999999999E-2</v>
      </c>
      <c r="O6962" s="3">
        <v>4.0000000000000002E-4</v>
      </c>
      <c r="P6962" s="3">
        <v>7.6999999999999999E-2</v>
      </c>
      <c r="Q6962" s="3">
        <v>6.6E-3</v>
      </c>
      <c r="R6962" s="3">
        <v>2.0000000000000001E-4</v>
      </c>
    </row>
    <row r="6964" spans="1:18" ht="30">
      <c r="A6964" s="22" t="s">
        <v>1540</v>
      </c>
    </row>
    <row r="6965" spans="1:18">
      <c r="A6965" t="s">
        <v>185</v>
      </c>
      <c r="B6965" t="s">
        <v>186</v>
      </c>
      <c r="C6965" t="s">
        <v>192</v>
      </c>
      <c r="D6965" t="s">
        <v>184</v>
      </c>
      <c r="E6965" t="s">
        <v>193</v>
      </c>
      <c r="F6965" t="s">
        <v>257</v>
      </c>
      <c r="G6965" t="s">
        <v>226</v>
      </c>
      <c r="H6965" t="s">
        <v>227</v>
      </c>
    </row>
    <row r="6966" spans="1:18">
      <c r="A6966" t="s">
        <v>195</v>
      </c>
      <c r="B6966" t="s">
        <v>196</v>
      </c>
      <c r="C6966">
        <v>410</v>
      </c>
      <c r="D6966" t="s">
        <v>194</v>
      </c>
      <c r="E6966">
        <v>2665</v>
      </c>
      <c r="G6966" s="3">
        <v>0.85009999999999997</v>
      </c>
      <c r="H6966" s="3">
        <v>0.14990000000000001</v>
      </c>
    </row>
    <row r="6967" spans="1:18">
      <c r="A6967" t="s">
        <v>195</v>
      </c>
      <c r="B6967" t="s">
        <v>198</v>
      </c>
      <c r="C6967">
        <v>752</v>
      </c>
      <c r="D6967" t="s">
        <v>194</v>
      </c>
      <c r="E6967">
        <v>2665</v>
      </c>
      <c r="G6967" s="3">
        <v>0.90010000000000001</v>
      </c>
      <c r="H6967" s="3">
        <v>9.9900000000000003E-2</v>
      </c>
    </row>
    <row r="6968" spans="1:18">
      <c r="A6968" t="s">
        <v>199</v>
      </c>
      <c r="B6968" t="s">
        <v>196</v>
      </c>
      <c r="C6968">
        <v>524</v>
      </c>
      <c r="D6968" t="s">
        <v>194</v>
      </c>
      <c r="E6968">
        <v>2665</v>
      </c>
      <c r="G6968" s="3">
        <v>0.9597</v>
      </c>
      <c r="H6968" s="3">
        <v>4.0300000000000002E-2</v>
      </c>
    </row>
    <row r="6969" spans="1:18">
      <c r="A6969" t="s">
        <v>199</v>
      </c>
      <c r="B6969" t="s">
        <v>198</v>
      </c>
      <c r="C6969">
        <v>940</v>
      </c>
      <c r="D6969" t="s">
        <v>194</v>
      </c>
      <c r="E6969">
        <v>2665</v>
      </c>
      <c r="F6969" s="3">
        <v>2.3999999999999998E-3</v>
      </c>
      <c r="G6969" s="3">
        <v>0.94530000000000003</v>
      </c>
      <c r="H6969" s="3">
        <v>5.2299999999999999E-2</v>
      </c>
    </row>
    <row r="6970" spans="1:18">
      <c r="A6970" t="s">
        <v>200</v>
      </c>
      <c r="B6970" t="s">
        <v>200</v>
      </c>
      <c r="C6970">
        <v>2665</v>
      </c>
      <c r="D6970" t="s">
        <v>200</v>
      </c>
      <c r="E6970">
        <v>2665</v>
      </c>
      <c r="F6970" s="3">
        <v>1.1000000000000001E-3</v>
      </c>
      <c r="G6970" s="3">
        <v>0.92120000000000002</v>
      </c>
      <c r="H6970" s="3">
        <v>7.7799999999999994E-2</v>
      </c>
    </row>
    <row r="6972" spans="1:18" ht="45">
      <c r="A6972" s="22" t="s">
        <v>1541</v>
      </c>
    </row>
    <row r="6973" spans="1:18">
      <c r="A6973" t="s">
        <v>185</v>
      </c>
      <c r="B6973" t="s">
        <v>186</v>
      </c>
      <c r="C6973" t="s">
        <v>192</v>
      </c>
      <c r="D6973" t="s">
        <v>184</v>
      </c>
      <c r="E6973" t="s">
        <v>193</v>
      </c>
      <c r="F6973" t="s">
        <v>257</v>
      </c>
      <c r="G6973" t="s">
        <v>226</v>
      </c>
      <c r="H6973" t="s">
        <v>227</v>
      </c>
    </row>
    <row r="6974" spans="1:18">
      <c r="A6974" t="s">
        <v>195</v>
      </c>
      <c r="B6974" t="s">
        <v>202</v>
      </c>
      <c r="C6974">
        <v>531</v>
      </c>
      <c r="D6974" t="s">
        <v>194</v>
      </c>
      <c r="E6974">
        <v>2665</v>
      </c>
      <c r="G6974" s="3">
        <v>0.86140000000000005</v>
      </c>
      <c r="H6974" s="3">
        <v>0.1386</v>
      </c>
    </row>
    <row r="6975" spans="1:18">
      <c r="A6975" t="s">
        <v>195</v>
      </c>
      <c r="B6975" t="s">
        <v>204</v>
      </c>
      <c r="C6975">
        <v>299</v>
      </c>
      <c r="D6975" t="s">
        <v>194</v>
      </c>
      <c r="E6975">
        <v>2665</v>
      </c>
      <c r="G6975" s="3">
        <v>0.93979999999999997</v>
      </c>
      <c r="H6975" s="3">
        <v>6.0199999999999997E-2</v>
      </c>
    </row>
    <row r="6976" spans="1:18">
      <c r="A6976" t="s">
        <v>195</v>
      </c>
      <c r="B6976" t="s">
        <v>205</v>
      </c>
      <c r="C6976">
        <v>332</v>
      </c>
      <c r="D6976" t="s">
        <v>194</v>
      </c>
      <c r="E6976">
        <v>2665</v>
      </c>
      <c r="G6976" s="3">
        <v>0.92479999999999996</v>
      </c>
      <c r="H6976" s="3">
        <v>7.5200000000000003E-2</v>
      </c>
    </row>
    <row r="6977" spans="1:8">
      <c r="A6977" t="s">
        <v>199</v>
      </c>
      <c r="B6977" t="s">
        <v>202</v>
      </c>
      <c r="C6977">
        <v>537</v>
      </c>
      <c r="D6977" t="s">
        <v>194</v>
      </c>
      <c r="E6977">
        <v>2665</v>
      </c>
      <c r="G6977" s="3">
        <v>0.94069999999999998</v>
      </c>
      <c r="H6977" s="3">
        <v>5.9299999999999999E-2</v>
      </c>
    </row>
    <row r="6978" spans="1:8">
      <c r="A6978" t="s">
        <v>199</v>
      </c>
      <c r="B6978" t="s">
        <v>204</v>
      </c>
      <c r="C6978">
        <v>425</v>
      </c>
      <c r="D6978" t="s">
        <v>194</v>
      </c>
      <c r="E6978">
        <v>2665</v>
      </c>
      <c r="G6978" s="3">
        <v>0.95469999999999999</v>
      </c>
      <c r="H6978" s="3">
        <v>4.53E-2</v>
      </c>
    </row>
    <row r="6979" spans="1:8">
      <c r="A6979" t="s">
        <v>199</v>
      </c>
      <c r="B6979" t="s">
        <v>205</v>
      </c>
      <c r="C6979">
        <v>502</v>
      </c>
      <c r="D6979" t="s">
        <v>194</v>
      </c>
      <c r="E6979">
        <v>2665</v>
      </c>
      <c r="F6979" s="3">
        <v>1.15E-2</v>
      </c>
      <c r="G6979" s="3">
        <v>0.96799999999999997</v>
      </c>
      <c r="H6979" s="3">
        <v>2.0500000000000001E-2</v>
      </c>
    </row>
    <row r="6980" spans="1:8">
      <c r="A6980" t="s">
        <v>200</v>
      </c>
      <c r="B6980" t="s">
        <v>200</v>
      </c>
      <c r="C6980">
        <v>2665</v>
      </c>
      <c r="D6980" t="s">
        <v>200</v>
      </c>
      <c r="E6980">
        <v>2665</v>
      </c>
      <c r="F6980" s="3">
        <v>1.1000000000000001E-3</v>
      </c>
      <c r="G6980" s="3">
        <v>0.92120000000000002</v>
      </c>
      <c r="H6980" s="3">
        <v>7.7799999999999994E-2</v>
      </c>
    </row>
    <row r="6982" spans="1:8" ht="45">
      <c r="A6982" s="22" t="s">
        <v>1542</v>
      </c>
    </row>
    <row r="6983" spans="1:8">
      <c r="A6983" t="s">
        <v>185</v>
      </c>
      <c r="B6983" t="s">
        <v>186</v>
      </c>
      <c r="C6983" t="s">
        <v>192</v>
      </c>
      <c r="D6983" t="s">
        <v>184</v>
      </c>
      <c r="E6983" t="s">
        <v>193</v>
      </c>
      <c r="F6983" t="s">
        <v>257</v>
      </c>
      <c r="G6983" t="s">
        <v>226</v>
      </c>
      <c r="H6983" t="s">
        <v>227</v>
      </c>
    </row>
    <row r="6984" spans="1:8">
      <c r="A6984" t="s">
        <v>195</v>
      </c>
      <c r="B6984" t="s">
        <v>207</v>
      </c>
      <c r="C6984">
        <v>319</v>
      </c>
      <c r="D6984" t="s">
        <v>194</v>
      </c>
      <c r="E6984">
        <v>2665</v>
      </c>
      <c r="G6984" s="3">
        <v>0.88680000000000003</v>
      </c>
      <c r="H6984" s="3">
        <v>0.1132</v>
      </c>
    </row>
    <row r="6985" spans="1:8">
      <c r="A6985" t="s">
        <v>195</v>
      </c>
      <c r="B6985" t="s">
        <v>209</v>
      </c>
      <c r="C6985">
        <v>864</v>
      </c>
      <c r="D6985" t="s">
        <v>194</v>
      </c>
      <c r="E6985">
        <v>2665</v>
      </c>
      <c r="G6985" s="3">
        <v>0.88759999999999994</v>
      </c>
      <c r="H6985" s="3">
        <v>0.1124</v>
      </c>
    </row>
    <row r="6986" spans="1:8">
      <c r="A6986" t="s">
        <v>199</v>
      </c>
      <c r="B6986" t="s">
        <v>207</v>
      </c>
      <c r="C6986">
        <v>282</v>
      </c>
      <c r="D6986" t="s">
        <v>194</v>
      </c>
      <c r="E6986">
        <v>2665</v>
      </c>
      <c r="F6986" s="3">
        <v>2.0000000000000001E-4</v>
      </c>
      <c r="G6986" s="3">
        <v>0.95930000000000004</v>
      </c>
      <c r="H6986" s="3">
        <v>4.0500000000000001E-2</v>
      </c>
    </row>
    <row r="6987" spans="1:8">
      <c r="A6987" t="s">
        <v>199</v>
      </c>
      <c r="B6987" t="s">
        <v>209</v>
      </c>
      <c r="C6987">
        <v>1200</v>
      </c>
      <c r="D6987" t="s">
        <v>194</v>
      </c>
      <c r="E6987">
        <v>2665</v>
      </c>
      <c r="F6987" s="3">
        <v>2.2000000000000001E-3</v>
      </c>
      <c r="G6987" s="3">
        <v>0.94650000000000001</v>
      </c>
      <c r="H6987" s="3">
        <v>5.1299999999999998E-2</v>
      </c>
    </row>
    <row r="6988" spans="1:8">
      <c r="A6988" t="s">
        <v>200</v>
      </c>
      <c r="B6988" t="s">
        <v>200</v>
      </c>
      <c r="C6988">
        <v>2665</v>
      </c>
      <c r="D6988" t="s">
        <v>200</v>
      </c>
      <c r="E6988">
        <v>2665</v>
      </c>
      <c r="F6988" s="3">
        <v>1.1000000000000001E-3</v>
      </c>
      <c r="G6988" s="3">
        <v>0.92120000000000002</v>
      </c>
      <c r="H6988" s="3">
        <v>7.7799999999999994E-2</v>
      </c>
    </row>
    <row r="6990" spans="1:8" ht="45">
      <c r="A6990" s="22" t="s">
        <v>1543</v>
      </c>
    </row>
    <row r="6991" spans="1:8">
      <c r="A6991" t="s">
        <v>185</v>
      </c>
      <c r="B6991" t="s">
        <v>192</v>
      </c>
      <c r="C6991" t="s">
        <v>184</v>
      </c>
      <c r="D6991" t="s">
        <v>193</v>
      </c>
      <c r="E6991" t="s">
        <v>257</v>
      </c>
      <c r="F6991" t="s">
        <v>226</v>
      </c>
      <c r="G6991" t="s">
        <v>227</v>
      </c>
    </row>
    <row r="6992" spans="1:8">
      <c r="A6992" t="s">
        <v>195</v>
      </c>
      <c r="B6992">
        <v>1183</v>
      </c>
      <c r="C6992" t="s">
        <v>194</v>
      </c>
      <c r="D6992">
        <v>2665</v>
      </c>
      <c r="F6992" s="3">
        <v>0.88739999999999997</v>
      </c>
      <c r="G6992" s="3">
        <v>0.11260000000000001</v>
      </c>
    </row>
    <row r="6993" spans="1:8">
      <c r="A6993" t="s">
        <v>199</v>
      </c>
      <c r="B6993">
        <v>1482</v>
      </c>
      <c r="C6993" t="s">
        <v>194</v>
      </c>
      <c r="D6993">
        <v>2665</v>
      </c>
      <c r="E6993" s="3">
        <v>2E-3</v>
      </c>
      <c r="F6993" s="3">
        <v>0.94810000000000005</v>
      </c>
      <c r="G6993" s="3">
        <v>0.05</v>
      </c>
    </row>
    <row r="6994" spans="1:8">
      <c r="A6994" t="s">
        <v>200</v>
      </c>
      <c r="B6994">
        <v>2665</v>
      </c>
      <c r="C6994" t="s">
        <v>200</v>
      </c>
      <c r="D6994">
        <v>2665</v>
      </c>
      <c r="E6994" s="3">
        <v>1.1000000000000001E-3</v>
      </c>
      <c r="F6994" s="3">
        <v>0.92120000000000002</v>
      </c>
      <c r="G6994" s="3">
        <v>7.7799999999999994E-2</v>
      </c>
    </row>
    <row r="6996" spans="1:8" ht="30">
      <c r="A6996" s="22" t="s">
        <v>1544</v>
      </c>
    </row>
    <row r="6997" spans="1:8">
      <c r="A6997" t="s">
        <v>185</v>
      </c>
      <c r="B6997" t="s">
        <v>186</v>
      </c>
      <c r="C6997" t="s">
        <v>192</v>
      </c>
      <c r="D6997" t="s">
        <v>184</v>
      </c>
      <c r="E6997" t="s">
        <v>193</v>
      </c>
      <c r="F6997" t="s">
        <v>257</v>
      </c>
      <c r="G6997" t="s">
        <v>226</v>
      </c>
      <c r="H6997" t="s">
        <v>227</v>
      </c>
    </row>
    <row r="6998" spans="1:8">
      <c r="A6998" t="s">
        <v>195</v>
      </c>
      <c r="B6998" t="s">
        <v>212</v>
      </c>
      <c r="C6998">
        <v>869</v>
      </c>
      <c r="D6998" t="s">
        <v>194</v>
      </c>
      <c r="E6998">
        <v>2665</v>
      </c>
      <c r="G6998" s="3">
        <v>0.91639999999999999</v>
      </c>
      <c r="H6998" s="3">
        <v>8.3599999999999994E-2</v>
      </c>
    </row>
    <row r="6999" spans="1:8">
      <c r="A6999" t="s">
        <v>195</v>
      </c>
      <c r="B6999" t="s">
        <v>214</v>
      </c>
      <c r="C6999">
        <v>180</v>
      </c>
      <c r="D6999" t="s">
        <v>194</v>
      </c>
      <c r="E6999">
        <v>2665</v>
      </c>
      <c r="G6999" s="3">
        <v>0.7167</v>
      </c>
      <c r="H6999" s="3">
        <v>0.2833</v>
      </c>
    </row>
    <row r="7000" spans="1:8">
      <c r="A7000" t="s">
        <v>195</v>
      </c>
      <c r="B7000" t="s">
        <v>215</v>
      </c>
      <c r="C7000">
        <v>134</v>
      </c>
      <c r="D7000" t="s">
        <v>194</v>
      </c>
      <c r="E7000">
        <v>2665</v>
      </c>
      <c r="G7000" s="3">
        <v>0.96589999999999998</v>
      </c>
      <c r="H7000" s="3">
        <v>3.4099999999999998E-2</v>
      </c>
    </row>
    <row r="7001" spans="1:8">
      <c r="A7001" t="s">
        <v>199</v>
      </c>
      <c r="B7001" t="s">
        <v>212</v>
      </c>
      <c r="C7001">
        <v>1113</v>
      </c>
      <c r="D7001" t="s">
        <v>194</v>
      </c>
      <c r="E7001">
        <v>2665</v>
      </c>
      <c r="F7001" s="3">
        <v>2.5000000000000001E-3</v>
      </c>
      <c r="G7001" s="3">
        <v>0.97060000000000002</v>
      </c>
      <c r="H7001" s="3">
        <v>2.6800000000000001E-2</v>
      </c>
    </row>
    <row r="7002" spans="1:8">
      <c r="A7002" t="s">
        <v>199</v>
      </c>
      <c r="B7002" t="s">
        <v>214</v>
      </c>
      <c r="C7002">
        <v>197</v>
      </c>
      <c r="D7002" t="s">
        <v>194</v>
      </c>
      <c r="E7002">
        <v>2665</v>
      </c>
      <c r="F7002" s="3">
        <v>1E-4</v>
      </c>
      <c r="G7002" s="3">
        <v>0.80910000000000004</v>
      </c>
      <c r="H7002" s="3">
        <v>0.19070000000000001</v>
      </c>
    </row>
    <row r="7003" spans="1:8">
      <c r="A7003" t="s">
        <v>199</v>
      </c>
      <c r="B7003" t="s">
        <v>215</v>
      </c>
      <c r="C7003">
        <v>172</v>
      </c>
      <c r="D7003" t="s">
        <v>194</v>
      </c>
      <c r="E7003">
        <v>2665</v>
      </c>
      <c r="G7003" s="3">
        <v>0.99390000000000001</v>
      </c>
      <c r="H7003" s="3">
        <v>6.1000000000000004E-3</v>
      </c>
    </row>
    <row r="7004" spans="1:8">
      <c r="A7004" t="s">
        <v>200</v>
      </c>
      <c r="B7004" t="s">
        <v>200</v>
      </c>
      <c r="C7004">
        <v>2665</v>
      </c>
      <c r="D7004" t="s">
        <v>200</v>
      </c>
      <c r="E7004">
        <v>2665</v>
      </c>
      <c r="F7004" s="3">
        <v>1.1000000000000001E-3</v>
      </c>
      <c r="G7004" s="3">
        <v>0.92120000000000002</v>
      </c>
      <c r="H7004" s="3">
        <v>7.7799999999999994E-2</v>
      </c>
    </row>
    <row r="7006" spans="1:8" ht="45">
      <c r="A7006" s="22" t="s">
        <v>1545</v>
      </c>
    </row>
    <row r="7007" spans="1:8">
      <c r="A7007" t="s">
        <v>185</v>
      </c>
      <c r="B7007" t="s">
        <v>186</v>
      </c>
      <c r="C7007" t="s">
        <v>192</v>
      </c>
      <c r="D7007" t="s">
        <v>184</v>
      </c>
      <c r="E7007" t="s">
        <v>193</v>
      </c>
      <c r="F7007" t="s">
        <v>257</v>
      </c>
      <c r="G7007" t="s">
        <v>226</v>
      </c>
      <c r="H7007" t="s">
        <v>227</v>
      </c>
    </row>
    <row r="7008" spans="1:8">
      <c r="A7008" t="s">
        <v>195</v>
      </c>
      <c r="B7008" t="s">
        <v>217</v>
      </c>
      <c r="C7008">
        <v>495</v>
      </c>
      <c r="D7008" t="s">
        <v>194</v>
      </c>
      <c r="E7008">
        <v>2665</v>
      </c>
      <c r="G7008" s="3">
        <v>0.93710000000000004</v>
      </c>
      <c r="H7008" s="3">
        <v>6.2899999999999998E-2</v>
      </c>
    </row>
    <row r="7009" spans="1:10">
      <c r="A7009" t="s">
        <v>195</v>
      </c>
      <c r="B7009" t="s">
        <v>219</v>
      </c>
      <c r="C7009">
        <v>505</v>
      </c>
      <c r="D7009" t="s">
        <v>194</v>
      </c>
      <c r="E7009">
        <v>2665</v>
      </c>
      <c r="G7009" s="3">
        <v>0.84619999999999995</v>
      </c>
      <c r="H7009" s="3">
        <v>0.15379999999999999</v>
      </c>
    </row>
    <row r="7010" spans="1:10">
      <c r="A7010" t="s">
        <v>195</v>
      </c>
      <c r="B7010" t="s">
        <v>220</v>
      </c>
      <c r="C7010">
        <v>182</v>
      </c>
      <c r="D7010" t="s">
        <v>194</v>
      </c>
      <c r="E7010">
        <v>2665</v>
      </c>
      <c r="G7010" s="3">
        <v>0.86270000000000002</v>
      </c>
      <c r="H7010" s="3">
        <v>0.13730000000000001</v>
      </c>
    </row>
    <row r="7011" spans="1:10">
      <c r="A7011" t="s">
        <v>199</v>
      </c>
      <c r="B7011" t="s">
        <v>217</v>
      </c>
      <c r="C7011">
        <v>810</v>
      </c>
      <c r="D7011" t="s">
        <v>194</v>
      </c>
      <c r="E7011">
        <v>2665</v>
      </c>
      <c r="F7011" s="3">
        <v>3.3E-3</v>
      </c>
      <c r="G7011" s="3">
        <v>0.98219999999999996</v>
      </c>
      <c r="H7011" s="3">
        <v>1.46E-2</v>
      </c>
    </row>
    <row r="7012" spans="1:10">
      <c r="A7012" t="s">
        <v>199</v>
      </c>
      <c r="B7012" t="s">
        <v>219</v>
      </c>
      <c r="C7012">
        <v>450</v>
      </c>
      <c r="D7012" t="s">
        <v>194</v>
      </c>
      <c r="E7012">
        <v>2665</v>
      </c>
      <c r="G7012" s="3">
        <v>0.90780000000000005</v>
      </c>
      <c r="H7012" s="3">
        <v>9.2200000000000004E-2</v>
      </c>
    </row>
    <row r="7013" spans="1:10">
      <c r="A7013" t="s">
        <v>199</v>
      </c>
      <c r="B7013" t="s">
        <v>220</v>
      </c>
      <c r="C7013">
        <v>222</v>
      </c>
      <c r="D7013" t="s">
        <v>194</v>
      </c>
      <c r="E7013">
        <v>2665</v>
      </c>
      <c r="F7013" s="3">
        <v>1E-4</v>
      </c>
      <c r="G7013" s="3">
        <v>0.88180000000000003</v>
      </c>
      <c r="H7013" s="3">
        <v>0.1181</v>
      </c>
    </row>
    <row r="7014" spans="1:10">
      <c r="A7014" t="s">
        <v>200</v>
      </c>
      <c r="B7014" t="s">
        <v>200</v>
      </c>
      <c r="C7014">
        <v>2665</v>
      </c>
      <c r="D7014" t="s">
        <v>200</v>
      </c>
      <c r="E7014">
        <v>2665</v>
      </c>
      <c r="F7014" s="3">
        <v>1.1000000000000001E-3</v>
      </c>
      <c r="G7014" s="3">
        <v>0.92120000000000002</v>
      </c>
      <c r="H7014" s="3">
        <v>7.7799999999999994E-2</v>
      </c>
    </row>
    <row r="7016" spans="1:10" ht="45">
      <c r="A7016" s="22" t="s">
        <v>1546</v>
      </c>
    </row>
    <row r="7017" spans="1:10">
      <c r="A7017" t="s">
        <v>184</v>
      </c>
      <c r="B7017" t="s">
        <v>185</v>
      </c>
      <c r="C7017" t="s">
        <v>186</v>
      </c>
      <c r="D7017" t="s">
        <v>187</v>
      </c>
      <c r="E7017" t="s">
        <v>188</v>
      </c>
      <c r="F7017" t="s">
        <v>189</v>
      </c>
      <c r="G7017" t="s">
        <v>190</v>
      </c>
      <c r="H7017" t="s">
        <v>191</v>
      </c>
      <c r="I7017" t="s">
        <v>192</v>
      </c>
      <c r="J7017" t="s">
        <v>193</v>
      </c>
    </row>
    <row r="7018" spans="1:10">
      <c r="A7018" t="s">
        <v>194</v>
      </c>
      <c r="B7018" t="s">
        <v>195</v>
      </c>
      <c r="C7018" t="s">
        <v>196</v>
      </c>
      <c r="D7018" t="s">
        <v>197</v>
      </c>
      <c r="E7018">
        <v>3.6427305567192021</v>
      </c>
      <c r="F7018">
        <v>4</v>
      </c>
      <c r="G7018">
        <v>1</v>
      </c>
      <c r="H7018">
        <v>15</v>
      </c>
      <c r="I7018">
        <v>43</v>
      </c>
      <c r="J7018">
        <v>152</v>
      </c>
    </row>
    <row r="7019" spans="1:10">
      <c r="A7019" t="s">
        <v>194</v>
      </c>
      <c r="B7019" t="s">
        <v>195</v>
      </c>
      <c r="C7019" t="s">
        <v>198</v>
      </c>
      <c r="D7019" t="s">
        <v>197</v>
      </c>
      <c r="E7019">
        <v>5.6887314882667184</v>
      </c>
      <c r="F7019">
        <v>3</v>
      </c>
      <c r="G7019">
        <v>1</v>
      </c>
      <c r="H7019">
        <v>39</v>
      </c>
      <c r="I7019">
        <v>75</v>
      </c>
      <c r="J7019">
        <v>152</v>
      </c>
    </row>
    <row r="7020" spans="1:10" s="25" customFormat="1">
      <c r="A7020" s="25" t="s">
        <v>194</v>
      </c>
      <c r="B7020" s="25" t="s">
        <v>199</v>
      </c>
      <c r="C7020" s="25" t="s">
        <v>196</v>
      </c>
      <c r="D7020" s="25" t="s">
        <v>197</v>
      </c>
      <c r="E7020" s="25">
        <v>3.4518490626070402</v>
      </c>
      <c r="F7020" s="25">
        <v>3</v>
      </c>
      <c r="G7020" s="25">
        <v>2</v>
      </c>
      <c r="H7020" s="25">
        <v>10</v>
      </c>
      <c r="I7020" s="25">
        <v>10</v>
      </c>
      <c r="J7020" s="25">
        <v>152</v>
      </c>
    </row>
    <row r="7021" spans="1:10" s="25" customFormat="1">
      <c r="A7021" s="25" t="s">
        <v>194</v>
      </c>
      <c r="B7021" s="25" t="s">
        <v>199</v>
      </c>
      <c r="C7021" s="25" t="s">
        <v>198</v>
      </c>
      <c r="D7021" s="25" t="s">
        <v>197</v>
      </c>
      <c r="E7021" s="25">
        <v>3.9511339596827071</v>
      </c>
      <c r="F7021" s="25">
        <v>2</v>
      </c>
      <c r="G7021" s="25">
        <v>1</v>
      </c>
      <c r="H7021" s="25">
        <v>20</v>
      </c>
      <c r="I7021" s="25">
        <v>23</v>
      </c>
      <c r="J7021" s="25">
        <v>152</v>
      </c>
    </row>
    <row r="7022" spans="1:10">
      <c r="A7022" t="s">
        <v>200</v>
      </c>
      <c r="B7022" t="s">
        <v>200</v>
      </c>
      <c r="C7022" t="s">
        <v>200</v>
      </c>
      <c r="D7022" t="s">
        <v>200</v>
      </c>
      <c r="E7022">
        <v>4.6737580876005476</v>
      </c>
      <c r="F7022">
        <v>3</v>
      </c>
      <c r="G7022">
        <v>1</v>
      </c>
      <c r="H7022">
        <v>39</v>
      </c>
      <c r="I7022">
        <v>152</v>
      </c>
      <c r="J7022">
        <v>152</v>
      </c>
    </row>
    <row r="7024" spans="1:10" ht="45">
      <c r="A7024" s="22" t="s">
        <v>1547</v>
      </c>
    </row>
    <row r="7025" spans="1:10">
      <c r="A7025" t="s">
        <v>184</v>
      </c>
      <c r="B7025" t="s">
        <v>185</v>
      </c>
      <c r="C7025" t="s">
        <v>186</v>
      </c>
      <c r="D7025" t="s">
        <v>187</v>
      </c>
      <c r="E7025" t="s">
        <v>188</v>
      </c>
      <c r="F7025" t="s">
        <v>189</v>
      </c>
      <c r="G7025" t="s">
        <v>190</v>
      </c>
      <c r="H7025" t="s">
        <v>191</v>
      </c>
      <c r="I7025" t="s">
        <v>192</v>
      </c>
      <c r="J7025" t="s">
        <v>193</v>
      </c>
    </row>
    <row r="7026" spans="1:10">
      <c r="A7026" t="s">
        <v>194</v>
      </c>
      <c r="B7026" t="s">
        <v>195</v>
      </c>
      <c r="C7026" t="s">
        <v>202</v>
      </c>
      <c r="D7026" t="s">
        <v>203</v>
      </c>
      <c r="E7026">
        <v>5.4135308519356968</v>
      </c>
      <c r="F7026">
        <v>3</v>
      </c>
      <c r="G7026">
        <v>1</v>
      </c>
      <c r="H7026">
        <v>39</v>
      </c>
      <c r="I7026">
        <v>60</v>
      </c>
      <c r="J7026">
        <v>152</v>
      </c>
    </row>
    <row r="7027" spans="1:10" s="25" customFormat="1">
      <c r="A7027" s="25" t="s">
        <v>194</v>
      </c>
      <c r="B7027" s="25" t="s">
        <v>195</v>
      </c>
      <c r="C7027" s="25" t="s">
        <v>204</v>
      </c>
      <c r="D7027" s="25" t="s">
        <v>203</v>
      </c>
      <c r="E7027" s="25">
        <v>3.2814916269436281</v>
      </c>
      <c r="F7027" s="25">
        <v>2</v>
      </c>
      <c r="G7027" s="25">
        <v>1</v>
      </c>
      <c r="H7027" s="25">
        <v>9</v>
      </c>
      <c r="I7027" s="25">
        <v>25</v>
      </c>
      <c r="J7027" s="25">
        <v>152</v>
      </c>
    </row>
    <row r="7028" spans="1:10">
      <c r="A7028" t="s">
        <v>194</v>
      </c>
      <c r="B7028" t="s">
        <v>195</v>
      </c>
      <c r="C7028" t="s">
        <v>205</v>
      </c>
      <c r="D7028" t="s">
        <v>203</v>
      </c>
      <c r="E7028">
        <v>3.935021468653797</v>
      </c>
      <c r="F7028">
        <v>3</v>
      </c>
      <c r="G7028">
        <v>1</v>
      </c>
      <c r="H7028">
        <v>15</v>
      </c>
      <c r="I7028">
        <v>33</v>
      </c>
      <c r="J7028">
        <v>152</v>
      </c>
    </row>
    <row r="7029" spans="1:10" s="25" customFormat="1">
      <c r="A7029" s="25" t="s">
        <v>194</v>
      </c>
      <c r="B7029" s="25" t="s">
        <v>199</v>
      </c>
      <c r="C7029" s="25" t="s">
        <v>202</v>
      </c>
      <c r="D7029" s="25" t="s">
        <v>203</v>
      </c>
      <c r="E7029" s="25">
        <v>4.4141550584018487</v>
      </c>
      <c r="F7029" s="25">
        <v>2</v>
      </c>
      <c r="G7029" s="25">
        <v>1</v>
      </c>
      <c r="H7029" s="25">
        <v>20</v>
      </c>
      <c r="I7029" s="25">
        <v>18</v>
      </c>
      <c r="J7029" s="25">
        <v>152</v>
      </c>
    </row>
    <row r="7030" spans="1:10" s="25" customFormat="1">
      <c r="A7030" s="25" t="s">
        <v>194</v>
      </c>
      <c r="B7030" s="25" t="s">
        <v>199</v>
      </c>
      <c r="C7030" s="25" t="s">
        <v>204</v>
      </c>
      <c r="D7030" s="25" t="s">
        <v>203</v>
      </c>
      <c r="E7030" s="25">
        <v>2.8046657221077291</v>
      </c>
      <c r="F7030" s="25">
        <v>2</v>
      </c>
      <c r="G7030" s="25">
        <v>2</v>
      </c>
      <c r="H7030" s="25">
        <v>10</v>
      </c>
      <c r="I7030" s="25">
        <v>9</v>
      </c>
      <c r="J7030" s="25">
        <v>152</v>
      </c>
    </row>
    <row r="7031" spans="1:10" s="25" customFormat="1">
      <c r="A7031" s="25" t="s">
        <v>194</v>
      </c>
      <c r="B7031" s="25" t="s">
        <v>199</v>
      </c>
      <c r="C7031" s="25" t="s">
        <v>205</v>
      </c>
      <c r="D7031" s="25" t="s">
        <v>203</v>
      </c>
      <c r="E7031" s="25">
        <v>2.559094183146061</v>
      </c>
      <c r="F7031" s="25">
        <v>2</v>
      </c>
      <c r="G7031" s="25">
        <v>1</v>
      </c>
      <c r="H7031" s="25">
        <v>6</v>
      </c>
      <c r="I7031" s="25">
        <v>6</v>
      </c>
      <c r="J7031" s="25">
        <v>152</v>
      </c>
    </row>
    <row r="7032" spans="1:10">
      <c r="A7032" t="s">
        <v>200</v>
      </c>
      <c r="B7032" t="s">
        <v>200</v>
      </c>
      <c r="C7032" t="s">
        <v>200</v>
      </c>
      <c r="D7032" t="s">
        <v>200</v>
      </c>
      <c r="E7032">
        <v>4.6737580876005476</v>
      </c>
      <c r="F7032">
        <v>3</v>
      </c>
      <c r="G7032">
        <v>1</v>
      </c>
      <c r="H7032">
        <v>39</v>
      </c>
      <c r="I7032">
        <v>152</v>
      </c>
      <c r="J7032">
        <v>152</v>
      </c>
    </row>
    <row r="7034" spans="1:10" ht="45">
      <c r="A7034" s="22" t="s">
        <v>1548</v>
      </c>
    </row>
    <row r="7035" spans="1:10">
      <c r="A7035" t="s">
        <v>184</v>
      </c>
      <c r="B7035" t="s">
        <v>185</v>
      </c>
      <c r="C7035" t="s">
        <v>186</v>
      </c>
      <c r="D7035" t="s">
        <v>187</v>
      </c>
      <c r="E7035" t="s">
        <v>188</v>
      </c>
      <c r="F7035" t="s">
        <v>189</v>
      </c>
      <c r="G7035" t="s">
        <v>190</v>
      </c>
      <c r="H7035" t="s">
        <v>191</v>
      </c>
      <c r="I7035" t="s">
        <v>192</v>
      </c>
      <c r="J7035" t="s">
        <v>193</v>
      </c>
    </row>
    <row r="7036" spans="1:10" s="25" customFormat="1">
      <c r="A7036" s="25" t="s">
        <v>194</v>
      </c>
      <c r="B7036" s="25" t="s">
        <v>195</v>
      </c>
      <c r="C7036" s="25" t="s">
        <v>207</v>
      </c>
      <c r="D7036" s="25" t="s">
        <v>208</v>
      </c>
      <c r="E7036" s="25">
        <v>5.6847625119207068</v>
      </c>
      <c r="F7036" s="25">
        <v>5</v>
      </c>
      <c r="G7036" s="25">
        <v>1</v>
      </c>
      <c r="H7036" s="25">
        <v>20</v>
      </c>
      <c r="I7036" s="25">
        <v>25</v>
      </c>
      <c r="J7036" s="25">
        <v>152</v>
      </c>
    </row>
    <row r="7037" spans="1:10">
      <c r="A7037" t="s">
        <v>194</v>
      </c>
      <c r="B7037" t="s">
        <v>195</v>
      </c>
      <c r="C7037" t="s">
        <v>209</v>
      </c>
      <c r="D7037" t="s">
        <v>208</v>
      </c>
      <c r="E7037">
        <v>4.8508625364166589</v>
      </c>
      <c r="F7037">
        <v>3</v>
      </c>
      <c r="G7037">
        <v>1</v>
      </c>
      <c r="H7037">
        <v>39</v>
      </c>
      <c r="I7037">
        <v>94</v>
      </c>
      <c r="J7037">
        <v>152</v>
      </c>
    </row>
    <row r="7038" spans="1:10" s="25" customFormat="1">
      <c r="A7038" s="25" t="s">
        <v>194</v>
      </c>
      <c r="B7038" s="25" t="s">
        <v>199</v>
      </c>
      <c r="C7038" s="25" t="s">
        <v>207</v>
      </c>
      <c r="D7038" s="25" t="s">
        <v>208</v>
      </c>
      <c r="E7038" s="25">
        <v>1.9798686243989121</v>
      </c>
      <c r="F7038" s="25">
        <v>2</v>
      </c>
      <c r="G7038" s="25">
        <v>1</v>
      </c>
      <c r="H7038" s="25">
        <v>8</v>
      </c>
      <c r="I7038" s="25">
        <v>7</v>
      </c>
      <c r="J7038" s="25">
        <v>152</v>
      </c>
    </row>
    <row r="7039" spans="1:10" s="25" customFormat="1">
      <c r="A7039" s="25" t="s">
        <v>194</v>
      </c>
      <c r="B7039" s="25" t="s">
        <v>199</v>
      </c>
      <c r="C7039" s="25" t="s">
        <v>209</v>
      </c>
      <c r="D7039" s="25" t="s">
        <v>208</v>
      </c>
      <c r="E7039" s="25">
        <v>4.1531573880676342</v>
      </c>
      <c r="F7039" s="25">
        <v>3</v>
      </c>
      <c r="G7039" s="25">
        <v>1</v>
      </c>
      <c r="H7039" s="25">
        <v>20</v>
      </c>
      <c r="I7039" s="25">
        <v>26</v>
      </c>
      <c r="J7039" s="25">
        <v>152</v>
      </c>
    </row>
    <row r="7040" spans="1:10">
      <c r="A7040" t="s">
        <v>200</v>
      </c>
      <c r="B7040" t="s">
        <v>200</v>
      </c>
      <c r="C7040" t="s">
        <v>200</v>
      </c>
      <c r="D7040" t="s">
        <v>200</v>
      </c>
      <c r="E7040">
        <v>4.6737580876005476</v>
      </c>
      <c r="F7040">
        <v>3</v>
      </c>
      <c r="G7040">
        <v>1</v>
      </c>
      <c r="H7040">
        <v>39</v>
      </c>
      <c r="I7040">
        <v>152</v>
      </c>
      <c r="J7040">
        <v>152</v>
      </c>
    </row>
    <row r="7042" spans="1:10" ht="45">
      <c r="A7042" s="22" t="s">
        <v>1549</v>
      </c>
    </row>
    <row r="7043" spans="1:10">
      <c r="A7043" t="s">
        <v>184</v>
      </c>
      <c r="B7043" t="s">
        <v>185</v>
      </c>
      <c r="C7043" t="s">
        <v>188</v>
      </c>
      <c r="D7043" t="s">
        <v>189</v>
      </c>
      <c r="E7043" t="s">
        <v>190</v>
      </c>
      <c r="F7043" t="s">
        <v>191</v>
      </c>
      <c r="G7043" t="s">
        <v>192</v>
      </c>
      <c r="H7043" t="s">
        <v>193</v>
      </c>
    </row>
    <row r="7044" spans="1:10">
      <c r="A7044" t="s">
        <v>194</v>
      </c>
      <c r="B7044" t="s">
        <v>195</v>
      </c>
      <c r="C7044">
        <v>5.0194468687851774</v>
      </c>
      <c r="D7044">
        <v>3</v>
      </c>
      <c r="E7044">
        <v>1</v>
      </c>
      <c r="F7044">
        <v>39</v>
      </c>
      <c r="G7044">
        <v>119</v>
      </c>
      <c r="H7044">
        <v>152</v>
      </c>
    </row>
    <row r="7045" spans="1:10">
      <c r="A7045" t="s">
        <v>194</v>
      </c>
      <c r="B7045" t="s">
        <v>199</v>
      </c>
      <c r="C7045">
        <v>3.8428222877081248</v>
      </c>
      <c r="D7045">
        <v>2</v>
      </c>
      <c r="E7045">
        <v>1</v>
      </c>
      <c r="F7045">
        <v>20</v>
      </c>
      <c r="G7045">
        <v>33</v>
      </c>
      <c r="H7045">
        <v>152</v>
      </c>
    </row>
    <row r="7046" spans="1:10">
      <c r="A7046" t="s">
        <v>200</v>
      </c>
      <c r="B7046" t="s">
        <v>200</v>
      </c>
      <c r="C7046">
        <v>4.6737580876005476</v>
      </c>
      <c r="D7046">
        <v>3</v>
      </c>
      <c r="E7046">
        <v>1</v>
      </c>
      <c r="F7046">
        <v>39</v>
      </c>
      <c r="G7046">
        <v>152</v>
      </c>
      <c r="H7046">
        <v>152</v>
      </c>
    </row>
    <row r="7048" spans="1:10" ht="45">
      <c r="A7048" s="22" t="s">
        <v>1550</v>
      </c>
    </row>
    <row r="7049" spans="1:10">
      <c r="A7049" t="s">
        <v>184</v>
      </c>
      <c r="B7049" t="s">
        <v>185</v>
      </c>
      <c r="C7049" t="s">
        <v>186</v>
      </c>
      <c r="D7049" t="s">
        <v>187</v>
      </c>
      <c r="E7049" t="s">
        <v>188</v>
      </c>
      <c r="F7049" t="s">
        <v>189</v>
      </c>
      <c r="G7049" t="s">
        <v>190</v>
      </c>
      <c r="H7049" t="s">
        <v>191</v>
      </c>
      <c r="I7049" t="s">
        <v>192</v>
      </c>
      <c r="J7049" t="s">
        <v>193</v>
      </c>
    </row>
    <row r="7050" spans="1:10">
      <c r="A7050" t="s">
        <v>194</v>
      </c>
      <c r="B7050" t="s">
        <v>195</v>
      </c>
      <c r="C7050" t="s">
        <v>212</v>
      </c>
      <c r="D7050" t="s">
        <v>213</v>
      </c>
      <c r="E7050">
        <v>4.9096443717689766</v>
      </c>
      <c r="F7050">
        <v>4</v>
      </c>
      <c r="G7050">
        <v>1</v>
      </c>
      <c r="H7050">
        <v>20</v>
      </c>
      <c r="I7050">
        <v>72</v>
      </c>
      <c r="J7050">
        <v>152</v>
      </c>
    </row>
    <row r="7051" spans="1:10">
      <c r="A7051" t="s">
        <v>194</v>
      </c>
      <c r="B7051" t="s">
        <v>195</v>
      </c>
      <c r="C7051" t="s">
        <v>214</v>
      </c>
      <c r="D7051" t="s">
        <v>213</v>
      </c>
      <c r="E7051">
        <v>5.2233764188572938</v>
      </c>
      <c r="F7051">
        <v>2</v>
      </c>
      <c r="G7051">
        <v>1</v>
      </c>
      <c r="H7051">
        <v>39</v>
      </c>
      <c r="I7051">
        <v>42</v>
      </c>
      <c r="J7051">
        <v>152</v>
      </c>
    </row>
    <row r="7052" spans="1:10" s="25" customFormat="1">
      <c r="A7052" s="25" t="s">
        <v>194</v>
      </c>
      <c r="B7052" s="25" t="s">
        <v>195</v>
      </c>
      <c r="C7052" s="25" t="s">
        <v>215</v>
      </c>
      <c r="D7052" s="25" t="s">
        <v>213</v>
      </c>
      <c r="E7052" s="25">
        <v>4.378585889117339</v>
      </c>
      <c r="F7052" s="25">
        <v>5</v>
      </c>
      <c r="G7052" s="25">
        <v>2</v>
      </c>
      <c r="H7052" s="25">
        <v>10</v>
      </c>
      <c r="I7052" s="25">
        <v>5</v>
      </c>
      <c r="J7052" s="25">
        <v>152</v>
      </c>
    </row>
    <row r="7053" spans="1:10" s="25" customFormat="1">
      <c r="A7053" s="25" t="s">
        <v>194</v>
      </c>
      <c r="B7053" s="25" t="s">
        <v>199</v>
      </c>
      <c r="C7053" s="25" t="s">
        <v>212</v>
      </c>
      <c r="D7053" s="25" t="s">
        <v>213</v>
      </c>
      <c r="E7053" s="25">
        <v>3.1800603351125249</v>
      </c>
      <c r="F7053" s="25">
        <v>2</v>
      </c>
      <c r="G7053" s="25">
        <v>1</v>
      </c>
      <c r="H7053" s="25">
        <v>10</v>
      </c>
      <c r="I7053" s="25">
        <v>23</v>
      </c>
      <c r="J7053" s="25">
        <v>152</v>
      </c>
    </row>
    <row r="7054" spans="1:10" s="25" customFormat="1">
      <c r="A7054" s="25" t="s">
        <v>194</v>
      </c>
      <c r="B7054" s="25" t="s">
        <v>199</v>
      </c>
      <c r="C7054" s="25" t="s">
        <v>214</v>
      </c>
      <c r="D7054" s="25" t="s">
        <v>213</v>
      </c>
      <c r="E7054" s="25">
        <v>4.7679729568855906</v>
      </c>
      <c r="F7054" s="25">
        <v>2</v>
      </c>
      <c r="G7054" s="25">
        <v>1</v>
      </c>
      <c r="H7054" s="25">
        <v>20</v>
      </c>
      <c r="I7054" s="25">
        <v>10</v>
      </c>
      <c r="J7054" s="25">
        <v>152</v>
      </c>
    </row>
    <row r="7055" spans="1:10">
      <c r="A7055" t="s">
        <v>200</v>
      </c>
      <c r="B7055" t="s">
        <v>200</v>
      </c>
      <c r="C7055" t="s">
        <v>200</v>
      </c>
      <c r="D7055" t="s">
        <v>200</v>
      </c>
      <c r="E7055">
        <v>4.6737580876005476</v>
      </c>
      <c r="F7055">
        <v>3</v>
      </c>
      <c r="G7055">
        <v>1</v>
      </c>
      <c r="H7055">
        <v>39</v>
      </c>
      <c r="I7055">
        <v>152</v>
      </c>
      <c r="J7055">
        <v>152</v>
      </c>
    </row>
    <row r="7057" spans="1:10" ht="45">
      <c r="A7057" s="22" t="s">
        <v>1551</v>
      </c>
    </row>
    <row r="7058" spans="1:10">
      <c r="A7058" t="s">
        <v>184</v>
      </c>
      <c r="B7058" t="s">
        <v>185</v>
      </c>
      <c r="C7058" t="s">
        <v>186</v>
      </c>
      <c r="D7058" t="s">
        <v>187</v>
      </c>
      <c r="E7058" t="s">
        <v>188</v>
      </c>
      <c r="F7058" t="s">
        <v>189</v>
      </c>
      <c r="G7058" t="s">
        <v>190</v>
      </c>
      <c r="H7058" t="s">
        <v>191</v>
      </c>
      <c r="I7058" t="s">
        <v>192</v>
      </c>
      <c r="J7058" t="s">
        <v>193</v>
      </c>
    </row>
    <row r="7059" spans="1:10">
      <c r="A7059" t="s">
        <v>194</v>
      </c>
      <c r="B7059" t="s">
        <v>195</v>
      </c>
      <c r="C7059" t="s">
        <v>217</v>
      </c>
      <c r="D7059" t="s">
        <v>218</v>
      </c>
      <c r="E7059">
        <v>4.2493274852378873</v>
      </c>
      <c r="F7059">
        <v>3</v>
      </c>
      <c r="G7059">
        <v>1</v>
      </c>
      <c r="H7059">
        <v>15</v>
      </c>
      <c r="I7059">
        <v>30</v>
      </c>
      <c r="J7059">
        <v>152</v>
      </c>
    </row>
    <row r="7060" spans="1:10">
      <c r="A7060" t="s">
        <v>194</v>
      </c>
      <c r="B7060" t="s">
        <v>195</v>
      </c>
      <c r="C7060" t="s">
        <v>219</v>
      </c>
      <c r="D7060" t="s">
        <v>218</v>
      </c>
      <c r="E7060">
        <v>4.5854953924827839</v>
      </c>
      <c r="F7060">
        <v>3</v>
      </c>
      <c r="G7060">
        <v>1</v>
      </c>
      <c r="H7060">
        <v>20</v>
      </c>
      <c r="I7060">
        <v>70</v>
      </c>
      <c r="J7060">
        <v>152</v>
      </c>
    </row>
    <row r="7061" spans="1:10" s="25" customFormat="1">
      <c r="A7061" s="25" t="s">
        <v>194</v>
      </c>
      <c r="B7061" s="25" t="s">
        <v>195</v>
      </c>
      <c r="C7061" s="25" t="s">
        <v>220</v>
      </c>
      <c r="D7061" s="25" t="s">
        <v>218</v>
      </c>
      <c r="E7061" s="25">
        <v>6.7155157070883593</v>
      </c>
      <c r="F7061" s="25">
        <v>3</v>
      </c>
      <c r="G7061" s="25">
        <v>1</v>
      </c>
      <c r="H7061" s="25">
        <v>39</v>
      </c>
      <c r="I7061" s="25">
        <v>19</v>
      </c>
      <c r="J7061" s="25">
        <v>152</v>
      </c>
    </row>
    <row r="7062" spans="1:10" s="25" customFormat="1">
      <c r="A7062" s="25" t="s">
        <v>194</v>
      </c>
      <c r="B7062" s="25" t="s">
        <v>199</v>
      </c>
      <c r="C7062" s="25" t="s">
        <v>217</v>
      </c>
      <c r="D7062" s="25" t="s">
        <v>218</v>
      </c>
      <c r="E7062" s="25">
        <v>2.502955475737775</v>
      </c>
      <c r="F7062" s="25">
        <v>2</v>
      </c>
      <c r="G7062" s="25">
        <v>1</v>
      </c>
      <c r="H7062" s="25">
        <v>6</v>
      </c>
      <c r="I7062" s="25">
        <v>8</v>
      </c>
      <c r="J7062" s="25">
        <v>152</v>
      </c>
    </row>
    <row r="7063" spans="1:10" s="25" customFormat="1">
      <c r="A7063" s="25" t="s">
        <v>194</v>
      </c>
      <c r="B7063" s="25" t="s">
        <v>199</v>
      </c>
      <c r="C7063" s="25" t="s">
        <v>219</v>
      </c>
      <c r="D7063" s="25" t="s">
        <v>218</v>
      </c>
      <c r="E7063" s="25">
        <v>5.6059676194775054</v>
      </c>
      <c r="F7063" s="25">
        <v>2</v>
      </c>
      <c r="G7063" s="25">
        <v>2</v>
      </c>
      <c r="H7063" s="25">
        <v>20</v>
      </c>
      <c r="I7063" s="25">
        <v>16</v>
      </c>
      <c r="J7063" s="25">
        <v>152</v>
      </c>
    </row>
    <row r="7064" spans="1:10" s="25" customFormat="1">
      <c r="A7064" s="25" t="s">
        <v>194</v>
      </c>
      <c r="B7064" s="25" t="s">
        <v>199</v>
      </c>
      <c r="C7064" s="25" t="s">
        <v>220</v>
      </c>
      <c r="D7064" s="25" t="s">
        <v>218</v>
      </c>
      <c r="E7064" s="25">
        <v>3.0550581184224792</v>
      </c>
      <c r="F7064" s="25">
        <v>2</v>
      </c>
      <c r="G7064" s="25">
        <v>1</v>
      </c>
      <c r="H7064" s="25">
        <v>5</v>
      </c>
      <c r="I7064" s="25">
        <v>9</v>
      </c>
      <c r="J7064" s="25">
        <v>152</v>
      </c>
    </row>
    <row r="7065" spans="1:10">
      <c r="A7065" t="s">
        <v>200</v>
      </c>
      <c r="B7065" t="s">
        <v>200</v>
      </c>
      <c r="C7065" t="s">
        <v>200</v>
      </c>
      <c r="D7065" t="s">
        <v>200</v>
      </c>
      <c r="E7065">
        <v>4.6737580876005476</v>
      </c>
      <c r="F7065">
        <v>3</v>
      </c>
      <c r="G7065">
        <v>1</v>
      </c>
      <c r="H7065">
        <v>39</v>
      </c>
      <c r="I7065">
        <v>152</v>
      </c>
      <c r="J7065">
        <v>152</v>
      </c>
    </row>
    <row r="7067" spans="1:10" ht="30">
      <c r="A7067" s="22" t="s">
        <v>1552</v>
      </c>
    </row>
    <row r="7068" spans="1:10">
      <c r="A7068" t="s">
        <v>185</v>
      </c>
      <c r="B7068" t="s">
        <v>186</v>
      </c>
      <c r="C7068" t="s">
        <v>192</v>
      </c>
      <c r="D7068" t="s">
        <v>184</v>
      </c>
      <c r="E7068" t="s">
        <v>193</v>
      </c>
      <c r="F7068" t="s">
        <v>257</v>
      </c>
      <c r="G7068" t="s">
        <v>226</v>
      </c>
      <c r="H7068" t="s">
        <v>247</v>
      </c>
      <c r="I7068" t="s">
        <v>227</v>
      </c>
    </row>
    <row r="7069" spans="1:10">
      <c r="A7069" t="s">
        <v>195</v>
      </c>
      <c r="B7069" t="s">
        <v>196</v>
      </c>
      <c r="C7069">
        <v>406</v>
      </c>
      <c r="D7069" t="s">
        <v>194</v>
      </c>
      <c r="E7069">
        <v>2659</v>
      </c>
      <c r="F7069" s="3">
        <v>4.7999999999999996E-3</v>
      </c>
      <c r="G7069" s="3">
        <v>0.23680000000000001</v>
      </c>
      <c r="I7069" s="3">
        <v>0.75839999999999996</v>
      </c>
    </row>
    <row r="7070" spans="1:10">
      <c r="A7070" t="s">
        <v>195</v>
      </c>
      <c r="B7070" t="s">
        <v>198</v>
      </c>
      <c r="C7070">
        <v>751</v>
      </c>
      <c r="D7070" t="s">
        <v>194</v>
      </c>
      <c r="E7070">
        <v>2659</v>
      </c>
      <c r="F7070" s="3">
        <v>5.8999999999999999E-3</v>
      </c>
      <c r="G7070" s="3">
        <v>4.3900000000000002E-2</v>
      </c>
      <c r="H7070" s="3">
        <v>2.3E-3</v>
      </c>
      <c r="I7070" s="3">
        <v>0.94799999999999995</v>
      </c>
    </row>
    <row r="7071" spans="1:10">
      <c r="A7071" t="s">
        <v>199</v>
      </c>
      <c r="B7071" t="s">
        <v>196</v>
      </c>
      <c r="C7071">
        <v>524</v>
      </c>
      <c r="D7071" t="s">
        <v>194</v>
      </c>
      <c r="E7071">
        <v>2659</v>
      </c>
      <c r="F7071" s="3">
        <v>1E-4</v>
      </c>
      <c r="G7071" s="3">
        <v>0.1021</v>
      </c>
      <c r="I7071" s="3">
        <v>0.89780000000000004</v>
      </c>
    </row>
    <row r="7072" spans="1:10">
      <c r="A7072" t="s">
        <v>199</v>
      </c>
      <c r="B7072" t="s">
        <v>198</v>
      </c>
      <c r="C7072">
        <v>939</v>
      </c>
      <c r="D7072" t="s">
        <v>194</v>
      </c>
      <c r="E7072">
        <v>2659</v>
      </c>
      <c r="G7072" s="3">
        <v>2.3199999999999998E-2</v>
      </c>
      <c r="I7072" s="3">
        <v>0.9768</v>
      </c>
    </row>
    <row r="7073" spans="1:9">
      <c r="A7073" t="s">
        <v>200</v>
      </c>
      <c r="B7073" t="s">
        <v>200</v>
      </c>
      <c r="C7073">
        <v>2659</v>
      </c>
      <c r="D7073" t="s">
        <v>200</v>
      </c>
      <c r="E7073">
        <v>2659</v>
      </c>
      <c r="F7073" s="3">
        <v>2.5000000000000001E-3</v>
      </c>
      <c r="G7073" s="3">
        <v>6.2399999999999997E-2</v>
      </c>
      <c r="H7073" s="3">
        <v>6.9999999999999999E-4</v>
      </c>
      <c r="I7073" s="3">
        <v>0.93440000000000001</v>
      </c>
    </row>
    <row r="7075" spans="1:9" ht="45">
      <c r="A7075" s="22" t="s">
        <v>1553</v>
      </c>
    </row>
    <row r="7076" spans="1:9">
      <c r="A7076" t="s">
        <v>185</v>
      </c>
      <c r="B7076" t="s">
        <v>186</v>
      </c>
      <c r="C7076" t="s">
        <v>192</v>
      </c>
      <c r="D7076" t="s">
        <v>184</v>
      </c>
      <c r="E7076" t="s">
        <v>193</v>
      </c>
      <c r="F7076" t="s">
        <v>257</v>
      </c>
      <c r="G7076" t="s">
        <v>226</v>
      </c>
      <c r="H7076" t="s">
        <v>247</v>
      </c>
      <c r="I7076" t="s">
        <v>227</v>
      </c>
    </row>
    <row r="7077" spans="1:9">
      <c r="A7077" t="s">
        <v>195</v>
      </c>
      <c r="B7077" t="s">
        <v>202</v>
      </c>
      <c r="C7077">
        <v>526</v>
      </c>
      <c r="D7077" t="s">
        <v>194</v>
      </c>
      <c r="E7077">
        <v>2659</v>
      </c>
      <c r="F7077" s="3">
        <v>6.4000000000000003E-3</v>
      </c>
      <c r="G7077" s="3">
        <v>9.3100000000000002E-2</v>
      </c>
      <c r="H7077" s="3">
        <v>2.5999999999999999E-3</v>
      </c>
      <c r="I7077" s="3">
        <v>0.89790000000000003</v>
      </c>
    </row>
    <row r="7078" spans="1:9">
      <c r="A7078" t="s">
        <v>195</v>
      </c>
      <c r="B7078" t="s">
        <v>204</v>
      </c>
      <c r="C7078">
        <v>299</v>
      </c>
      <c r="D7078" t="s">
        <v>194</v>
      </c>
      <c r="E7078">
        <v>2659</v>
      </c>
      <c r="F7078" s="3">
        <v>1.6999999999999999E-3</v>
      </c>
      <c r="G7078" s="3">
        <v>0.1076</v>
      </c>
      <c r="I7078" s="3">
        <v>0.89080000000000004</v>
      </c>
    </row>
    <row r="7079" spans="1:9">
      <c r="A7079" t="s">
        <v>195</v>
      </c>
      <c r="B7079" t="s">
        <v>205</v>
      </c>
      <c r="C7079">
        <v>332</v>
      </c>
      <c r="D7079" t="s">
        <v>194</v>
      </c>
      <c r="E7079">
        <v>2659</v>
      </c>
      <c r="F7079" s="3">
        <v>8.0000000000000002E-3</v>
      </c>
      <c r="G7079" s="3">
        <v>7.51E-2</v>
      </c>
      <c r="I7079" s="3">
        <v>0.91690000000000005</v>
      </c>
    </row>
    <row r="7080" spans="1:9">
      <c r="A7080" t="s">
        <v>199</v>
      </c>
      <c r="B7080" t="s">
        <v>202</v>
      </c>
      <c r="C7080">
        <v>536</v>
      </c>
      <c r="D7080" t="s">
        <v>194</v>
      </c>
      <c r="E7080">
        <v>2659</v>
      </c>
      <c r="G7080" s="3">
        <v>3.44E-2</v>
      </c>
      <c r="I7080" s="3">
        <v>0.96560000000000001</v>
      </c>
    </row>
    <row r="7081" spans="1:9">
      <c r="A7081" t="s">
        <v>199</v>
      </c>
      <c r="B7081" t="s">
        <v>204</v>
      </c>
      <c r="C7081">
        <v>425</v>
      </c>
      <c r="D7081" t="s">
        <v>194</v>
      </c>
      <c r="E7081">
        <v>2659</v>
      </c>
      <c r="F7081" s="3">
        <v>1E-4</v>
      </c>
      <c r="G7081" s="3">
        <v>6.0100000000000001E-2</v>
      </c>
      <c r="I7081" s="3">
        <v>0.93979999999999997</v>
      </c>
    </row>
    <row r="7082" spans="1:9">
      <c r="A7082" t="s">
        <v>199</v>
      </c>
      <c r="B7082" t="s">
        <v>205</v>
      </c>
      <c r="C7082">
        <v>502</v>
      </c>
      <c r="D7082" t="s">
        <v>194</v>
      </c>
      <c r="E7082">
        <v>2659</v>
      </c>
      <c r="G7082" s="3">
        <v>2.52E-2</v>
      </c>
      <c r="I7082" s="3">
        <v>0.9748</v>
      </c>
    </row>
    <row r="7083" spans="1:9">
      <c r="A7083" t="s">
        <v>200</v>
      </c>
      <c r="B7083" t="s">
        <v>200</v>
      </c>
      <c r="C7083">
        <v>2659</v>
      </c>
      <c r="D7083" t="s">
        <v>200</v>
      </c>
      <c r="E7083">
        <v>2659</v>
      </c>
      <c r="F7083" s="3">
        <v>2.5000000000000001E-3</v>
      </c>
      <c r="G7083" s="3">
        <v>6.2399999999999997E-2</v>
      </c>
      <c r="H7083" s="3">
        <v>6.9999999999999999E-4</v>
      </c>
      <c r="I7083" s="3">
        <v>0.93440000000000001</v>
      </c>
    </row>
    <row r="7085" spans="1:9" ht="45">
      <c r="A7085" s="22" t="s">
        <v>1554</v>
      </c>
    </row>
    <row r="7086" spans="1:9">
      <c r="A7086" t="s">
        <v>185</v>
      </c>
      <c r="B7086" t="s">
        <v>186</v>
      </c>
      <c r="C7086" t="s">
        <v>192</v>
      </c>
      <c r="D7086" t="s">
        <v>184</v>
      </c>
      <c r="E7086" t="s">
        <v>193</v>
      </c>
      <c r="F7086" t="s">
        <v>257</v>
      </c>
      <c r="G7086" t="s">
        <v>226</v>
      </c>
      <c r="H7086" t="s">
        <v>247</v>
      </c>
      <c r="I7086" t="s">
        <v>227</v>
      </c>
    </row>
    <row r="7087" spans="1:9">
      <c r="A7087" t="s">
        <v>195</v>
      </c>
      <c r="B7087" t="s">
        <v>207</v>
      </c>
      <c r="C7087">
        <v>315</v>
      </c>
      <c r="D7087" t="s">
        <v>194</v>
      </c>
      <c r="E7087">
        <v>2659</v>
      </c>
      <c r="F7087" s="3">
        <v>1.2999999999999999E-3</v>
      </c>
      <c r="G7087" s="3">
        <v>0.1087</v>
      </c>
      <c r="H7087" s="3">
        <v>6.7000000000000002E-3</v>
      </c>
      <c r="I7087" s="3">
        <v>0.88339999999999996</v>
      </c>
    </row>
    <row r="7088" spans="1:9">
      <c r="A7088" t="s">
        <v>195</v>
      </c>
      <c r="B7088" t="s">
        <v>209</v>
      </c>
      <c r="C7088">
        <v>863</v>
      </c>
      <c r="D7088" t="s">
        <v>194</v>
      </c>
      <c r="E7088">
        <v>2659</v>
      </c>
      <c r="F7088" s="3">
        <v>7.0000000000000001E-3</v>
      </c>
      <c r="G7088" s="3">
        <v>8.8300000000000003E-2</v>
      </c>
      <c r="I7088" s="3">
        <v>0.90469999999999995</v>
      </c>
    </row>
    <row r="7089" spans="1:9">
      <c r="A7089" t="s">
        <v>199</v>
      </c>
      <c r="B7089" t="s">
        <v>207</v>
      </c>
      <c r="C7089">
        <v>281</v>
      </c>
      <c r="D7089" t="s">
        <v>194</v>
      </c>
      <c r="E7089">
        <v>2659</v>
      </c>
      <c r="G7089" s="3">
        <v>4.58E-2</v>
      </c>
      <c r="I7089" s="3">
        <v>0.95420000000000005</v>
      </c>
    </row>
    <row r="7090" spans="1:9">
      <c r="A7090" t="s">
        <v>199</v>
      </c>
      <c r="B7090" t="s">
        <v>209</v>
      </c>
      <c r="C7090">
        <v>1200</v>
      </c>
      <c r="D7090" t="s">
        <v>194</v>
      </c>
      <c r="E7090">
        <v>2659</v>
      </c>
      <c r="F7090" s="3">
        <v>0</v>
      </c>
      <c r="G7090" s="3">
        <v>3.6799999999999999E-2</v>
      </c>
      <c r="I7090" s="3">
        <v>0.96319999999999995</v>
      </c>
    </row>
    <row r="7091" spans="1:9">
      <c r="A7091" t="s">
        <v>200</v>
      </c>
      <c r="B7091" t="s">
        <v>200</v>
      </c>
      <c r="C7091">
        <v>2659</v>
      </c>
      <c r="D7091" t="s">
        <v>200</v>
      </c>
      <c r="E7091">
        <v>2659</v>
      </c>
      <c r="F7091" s="3">
        <v>2.5000000000000001E-3</v>
      </c>
      <c r="G7091" s="3">
        <v>6.2399999999999997E-2</v>
      </c>
      <c r="H7091" s="3">
        <v>6.9999999999999999E-4</v>
      </c>
      <c r="I7091" s="3">
        <v>0.93440000000000001</v>
      </c>
    </row>
    <row r="7093" spans="1:9" ht="45">
      <c r="A7093" s="22" t="s">
        <v>1555</v>
      </c>
    </row>
    <row r="7094" spans="1:9">
      <c r="A7094" t="s">
        <v>185</v>
      </c>
      <c r="B7094" t="s">
        <v>192</v>
      </c>
      <c r="C7094" t="s">
        <v>184</v>
      </c>
      <c r="D7094" t="s">
        <v>193</v>
      </c>
      <c r="E7094" t="s">
        <v>257</v>
      </c>
      <c r="F7094" t="s">
        <v>226</v>
      </c>
      <c r="G7094" t="s">
        <v>247</v>
      </c>
      <c r="H7094" t="s">
        <v>227</v>
      </c>
    </row>
    <row r="7095" spans="1:9">
      <c r="A7095" t="s">
        <v>195</v>
      </c>
      <c r="B7095">
        <v>1178</v>
      </c>
      <c r="C7095" t="s">
        <v>194</v>
      </c>
      <c r="D7095">
        <v>2659</v>
      </c>
      <c r="E7095" s="3">
        <v>5.5999999999999999E-3</v>
      </c>
      <c r="F7095" s="3">
        <v>9.3399999999999997E-2</v>
      </c>
      <c r="G7095" s="3">
        <v>1.6999999999999999E-3</v>
      </c>
      <c r="H7095" s="3">
        <v>0.89929999999999999</v>
      </c>
    </row>
    <row r="7096" spans="1:9">
      <c r="A7096" t="s">
        <v>199</v>
      </c>
      <c r="B7096">
        <v>1481</v>
      </c>
      <c r="C7096" t="s">
        <v>194</v>
      </c>
      <c r="D7096">
        <v>2659</v>
      </c>
      <c r="E7096" s="3">
        <v>0</v>
      </c>
      <c r="F7096" s="3">
        <v>3.7900000000000003E-2</v>
      </c>
      <c r="H7096" s="3">
        <v>0.96209999999999996</v>
      </c>
    </row>
    <row r="7097" spans="1:9">
      <c r="A7097" t="s">
        <v>200</v>
      </c>
      <c r="B7097">
        <v>2659</v>
      </c>
      <c r="C7097" t="s">
        <v>200</v>
      </c>
      <c r="D7097">
        <v>2659</v>
      </c>
      <c r="E7097" s="3">
        <v>2.5000000000000001E-3</v>
      </c>
      <c r="F7097" s="3">
        <v>6.2399999999999997E-2</v>
      </c>
      <c r="G7097" s="3">
        <v>6.9999999999999999E-4</v>
      </c>
      <c r="H7097" s="3">
        <v>0.93440000000000001</v>
      </c>
    </row>
    <row r="7099" spans="1:9" ht="30">
      <c r="A7099" s="22" t="s">
        <v>1556</v>
      </c>
    </row>
    <row r="7100" spans="1:9">
      <c r="A7100" t="s">
        <v>185</v>
      </c>
      <c r="B7100" t="s">
        <v>186</v>
      </c>
      <c r="C7100" t="s">
        <v>192</v>
      </c>
      <c r="D7100" t="s">
        <v>184</v>
      </c>
      <c r="E7100" t="s">
        <v>193</v>
      </c>
      <c r="F7100" t="s">
        <v>257</v>
      </c>
      <c r="G7100" t="s">
        <v>226</v>
      </c>
      <c r="H7100" t="s">
        <v>247</v>
      </c>
      <c r="I7100" t="s">
        <v>227</v>
      </c>
    </row>
    <row r="7101" spans="1:9">
      <c r="A7101" t="s">
        <v>195</v>
      </c>
      <c r="B7101" t="s">
        <v>212</v>
      </c>
      <c r="C7101">
        <v>866</v>
      </c>
      <c r="D7101" t="s">
        <v>194</v>
      </c>
      <c r="E7101">
        <v>2659</v>
      </c>
      <c r="F7101" s="3">
        <v>7.1000000000000004E-3</v>
      </c>
      <c r="G7101" s="3">
        <v>8.09E-2</v>
      </c>
      <c r="H7101" s="3">
        <v>2.2000000000000001E-3</v>
      </c>
      <c r="I7101" s="3">
        <v>0.90980000000000005</v>
      </c>
    </row>
    <row r="7102" spans="1:9">
      <c r="A7102" t="s">
        <v>195</v>
      </c>
      <c r="B7102" t="s">
        <v>214</v>
      </c>
      <c r="C7102">
        <v>179</v>
      </c>
      <c r="D7102" t="s">
        <v>194</v>
      </c>
      <c r="E7102">
        <v>2659</v>
      </c>
      <c r="F7102" s="3">
        <v>1.2999999999999999E-3</v>
      </c>
      <c r="G7102" s="3">
        <v>0.1305</v>
      </c>
      <c r="I7102" s="3">
        <v>0.86819999999999997</v>
      </c>
    </row>
    <row r="7103" spans="1:9">
      <c r="A7103" t="s">
        <v>195</v>
      </c>
      <c r="B7103" t="s">
        <v>215</v>
      </c>
      <c r="C7103">
        <v>133</v>
      </c>
      <c r="D7103" t="s">
        <v>194</v>
      </c>
      <c r="E7103">
        <v>2659</v>
      </c>
      <c r="G7103" s="3">
        <v>0.1336</v>
      </c>
      <c r="I7103" s="3">
        <v>0.86639999999999995</v>
      </c>
    </row>
    <row r="7104" spans="1:9">
      <c r="A7104" t="s">
        <v>199</v>
      </c>
      <c r="B7104" t="s">
        <v>212</v>
      </c>
      <c r="C7104">
        <v>1112</v>
      </c>
      <c r="D7104" t="s">
        <v>194</v>
      </c>
      <c r="E7104">
        <v>2659</v>
      </c>
      <c r="F7104" s="3">
        <v>0</v>
      </c>
      <c r="G7104" s="3">
        <v>2.7900000000000001E-2</v>
      </c>
      <c r="I7104" s="3">
        <v>0.97199999999999998</v>
      </c>
    </row>
    <row r="7105" spans="1:13">
      <c r="A7105" t="s">
        <v>199</v>
      </c>
      <c r="B7105" t="s">
        <v>214</v>
      </c>
      <c r="C7105">
        <v>197</v>
      </c>
      <c r="D7105" t="s">
        <v>194</v>
      </c>
      <c r="E7105">
        <v>2659</v>
      </c>
      <c r="G7105" s="3">
        <v>8.5800000000000001E-2</v>
      </c>
      <c r="I7105" s="3">
        <v>0.91420000000000001</v>
      </c>
    </row>
    <row r="7106" spans="1:13">
      <c r="A7106" t="s">
        <v>199</v>
      </c>
      <c r="B7106" t="s">
        <v>215</v>
      </c>
      <c r="C7106">
        <v>172</v>
      </c>
      <c r="D7106" t="s">
        <v>194</v>
      </c>
      <c r="E7106">
        <v>2659</v>
      </c>
      <c r="G7106" s="3">
        <v>4.2299999999999997E-2</v>
      </c>
      <c r="I7106" s="3">
        <v>0.9577</v>
      </c>
    </row>
    <row r="7107" spans="1:13">
      <c r="A7107" t="s">
        <v>200</v>
      </c>
      <c r="B7107" t="s">
        <v>200</v>
      </c>
      <c r="C7107">
        <v>2659</v>
      </c>
      <c r="D7107" t="s">
        <v>200</v>
      </c>
      <c r="E7107">
        <v>2659</v>
      </c>
      <c r="F7107" s="3">
        <v>2.5000000000000001E-3</v>
      </c>
      <c r="G7107" s="3">
        <v>6.2399999999999997E-2</v>
      </c>
      <c r="H7107" s="3">
        <v>6.9999999999999999E-4</v>
      </c>
      <c r="I7107" s="3">
        <v>0.93440000000000001</v>
      </c>
    </row>
    <row r="7109" spans="1:13" ht="45">
      <c r="A7109" s="22" t="s">
        <v>1557</v>
      </c>
    </row>
    <row r="7110" spans="1:13">
      <c r="A7110" t="s">
        <v>185</v>
      </c>
      <c r="B7110" t="s">
        <v>186</v>
      </c>
      <c r="C7110" t="s">
        <v>192</v>
      </c>
      <c r="D7110" t="s">
        <v>184</v>
      </c>
      <c r="E7110" t="s">
        <v>193</v>
      </c>
      <c r="F7110" t="s">
        <v>257</v>
      </c>
      <c r="G7110" t="s">
        <v>226</v>
      </c>
      <c r="H7110" t="s">
        <v>247</v>
      </c>
      <c r="I7110" t="s">
        <v>227</v>
      </c>
    </row>
    <row r="7111" spans="1:13">
      <c r="A7111" t="s">
        <v>195</v>
      </c>
      <c r="B7111" t="s">
        <v>217</v>
      </c>
      <c r="C7111">
        <v>493</v>
      </c>
      <c r="D7111" t="s">
        <v>194</v>
      </c>
      <c r="E7111">
        <v>2659</v>
      </c>
      <c r="F7111" s="3">
        <v>7.1000000000000004E-3</v>
      </c>
      <c r="G7111" s="3">
        <v>8.0699999999999994E-2</v>
      </c>
      <c r="I7111" s="3">
        <v>0.91220000000000001</v>
      </c>
    </row>
    <row r="7112" spans="1:13">
      <c r="A7112" t="s">
        <v>195</v>
      </c>
      <c r="B7112" t="s">
        <v>219</v>
      </c>
      <c r="C7112">
        <v>502</v>
      </c>
      <c r="D7112" t="s">
        <v>194</v>
      </c>
      <c r="E7112">
        <v>2659</v>
      </c>
      <c r="F7112" s="3">
        <v>6.0000000000000001E-3</v>
      </c>
      <c r="G7112" s="3">
        <v>0.11169999999999999</v>
      </c>
      <c r="I7112" s="3">
        <v>0.88229999999999997</v>
      </c>
    </row>
    <row r="7113" spans="1:13">
      <c r="A7113" t="s">
        <v>195</v>
      </c>
      <c r="B7113" t="s">
        <v>220</v>
      </c>
      <c r="C7113">
        <v>182</v>
      </c>
      <c r="D7113" t="s">
        <v>194</v>
      </c>
      <c r="E7113">
        <v>2659</v>
      </c>
      <c r="F7113" s="3">
        <v>1.1999999999999999E-3</v>
      </c>
      <c r="G7113" s="3">
        <v>8.4000000000000005E-2</v>
      </c>
      <c r="H7113" s="3">
        <v>8.8000000000000005E-3</v>
      </c>
      <c r="I7113" s="3">
        <v>0.90600000000000003</v>
      </c>
    </row>
    <row r="7114" spans="1:13">
      <c r="A7114" t="s">
        <v>199</v>
      </c>
      <c r="B7114" t="s">
        <v>217</v>
      </c>
      <c r="C7114">
        <v>810</v>
      </c>
      <c r="D7114" t="s">
        <v>194</v>
      </c>
      <c r="E7114">
        <v>2659</v>
      </c>
      <c r="F7114" s="3">
        <v>0</v>
      </c>
      <c r="G7114" s="3">
        <v>2.87E-2</v>
      </c>
      <c r="I7114" s="3">
        <v>0.97130000000000005</v>
      </c>
    </row>
    <row r="7115" spans="1:13">
      <c r="A7115" t="s">
        <v>199</v>
      </c>
      <c r="B7115" t="s">
        <v>219</v>
      </c>
      <c r="C7115">
        <v>449</v>
      </c>
      <c r="D7115" t="s">
        <v>194</v>
      </c>
      <c r="E7115">
        <v>2659</v>
      </c>
      <c r="G7115" s="3">
        <v>4.7899999999999998E-2</v>
      </c>
      <c r="I7115" s="3">
        <v>0.95209999999999995</v>
      </c>
    </row>
    <row r="7116" spans="1:13">
      <c r="A7116" t="s">
        <v>199</v>
      </c>
      <c r="B7116" t="s">
        <v>220</v>
      </c>
      <c r="C7116">
        <v>222</v>
      </c>
      <c r="D7116" t="s">
        <v>194</v>
      </c>
      <c r="E7116">
        <v>2659</v>
      </c>
      <c r="G7116" s="3">
        <v>5.7200000000000001E-2</v>
      </c>
      <c r="I7116" s="3">
        <v>0.94279999999999997</v>
      </c>
    </row>
    <row r="7117" spans="1:13">
      <c r="A7117" t="s">
        <v>200</v>
      </c>
      <c r="B7117" t="s">
        <v>200</v>
      </c>
      <c r="C7117">
        <v>2659</v>
      </c>
      <c r="D7117" t="s">
        <v>200</v>
      </c>
      <c r="E7117">
        <v>2659</v>
      </c>
      <c r="F7117" s="3">
        <v>2.5000000000000001E-3</v>
      </c>
      <c r="G7117" s="3">
        <v>6.2399999999999997E-2</v>
      </c>
      <c r="H7117" s="3">
        <v>6.9999999999999999E-4</v>
      </c>
      <c r="I7117" s="3">
        <v>0.93440000000000001</v>
      </c>
    </row>
    <row r="7119" spans="1:13" ht="45">
      <c r="A7119" s="22" t="s">
        <v>1558</v>
      </c>
    </row>
    <row r="7120" spans="1:13">
      <c r="A7120" t="s">
        <v>185</v>
      </c>
      <c r="B7120" t="s">
        <v>186</v>
      </c>
      <c r="C7120" t="s">
        <v>192</v>
      </c>
      <c r="D7120" t="s">
        <v>184</v>
      </c>
      <c r="E7120" t="s">
        <v>193</v>
      </c>
      <c r="F7120" t="s">
        <v>257</v>
      </c>
      <c r="G7120" t="s">
        <v>247</v>
      </c>
      <c r="H7120" t="s">
        <v>1559</v>
      </c>
      <c r="I7120" t="s">
        <v>1560</v>
      </c>
      <c r="J7120" t="s">
        <v>1561</v>
      </c>
      <c r="K7120" t="s">
        <v>1562</v>
      </c>
      <c r="L7120" t="s">
        <v>1563</v>
      </c>
      <c r="M7120" t="s">
        <v>1564</v>
      </c>
    </row>
    <row r="7121" spans="1:13">
      <c r="A7121" t="s">
        <v>195</v>
      </c>
      <c r="B7121" t="s">
        <v>196</v>
      </c>
      <c r="C7121">
        <v>413</v>
      </c>
      <c r="D7121" t="s">
        <v>194</v>
      </c>
      <c r="E7121">
        <v>2677</v>
      </c>
      <c r="F7121" s="3">
        <v>1.23E-2</v>
      </c>
      <c r="H7121" s="3">
        <v>9.2399999999999996E-2</v>
      </c>
      <c r="I7121" s="3">
        <v>3.0099999999999998E-2</v>
      </c>
      <c r="J7121" s="3">
        <v>8.7099999999999997E-2</v>
      </c>
      <c r="K7121" s="3">
        <v>1.03E-2</v>
      </c>
      <c r="L7121" s="3">
        <v>0.155</v>
      </c>
      <c r="M7121" s="3">
        <v>0.61260000000000003</v>
      </c>
    </row>
    <row r="7122" spans="1:13">
      <c r="A7122" t="s">
        <v>195</v>
      </c>
      <c r="B7122" t="s">
        <v>198</v>
      </c>
      <c r="C7122">
        <v>755</v>
      </c>
      <c r="D7122" t="s">
        <v>194</v>
      </c>
      <c r="E7122">
        <v>2677</v>
      </c>
      <c r="F7122" s="3">
        <v>1.2999999999999999E-3</v>
      </c>
      <c r="H7122" s="3">
        <v>6.7000000000000002E-3</v>
      </c>
      <c r="I7122" s="3">
        <v>4.0000000000000002E-4</v>
      </c>
      <c r="J7122" s="3">
        <v>2.0999999999999999E-3</v>
      </c>
      <c r="K7122" s="3">
        <v>4.1000000000000003E-3</v>
      </c>
      <c r="L7122" s="3">
        <v>1.5100000000000001E-2</v>
      </c>
      <c r="M7122" s="3">
        <v>0.97030000000000005</v>
      </c>
    </row>
    <row r="7123" spans="1:13">
      <c r="A7123" t="s">
        <v>199</v>
      </c>
      <c r="B7123" t="s">
        <v>196</v>
      </c>
      <c r="C7123">
        <v>525</v>
      </c>
      <c r="D7123" t="s">
        <v>194</v>
      </c>
      <c r="E7123">
        <v>2677</v>
      </c>
      <c r="F7123" s="3">
        <v>6.9999999999999999E-4</v>
      </c>
      <c r="G7123" s="3">
        <v>4.7000000000000002E-3</v>
      </c>
      <c r="H7123" s="3">
        <v>4.65E-2</v>
      </c>
      <c r="I7123" s="3">
        <v>7.6E-3</v>
      </c>
      <c r="J7123" s="3">
        <v>7.3899999999999993E-2</v>
      </c>
      <c r="K7123" s="3">
        <v>9.5999999999999992E-3</v>
      </c>
      <c r="L7123" s="3">
        <v>0.13980000000000001</v>
      </c>
      <c r="M7123" s="3">
        <v>0.71709999999999996</v>
      </c>
    </row>
    <row r="7124" spans="1:13">
      <c r="A7124" t="s">
        <v>199</v>
      </c>
      <c r="B7124" t="s">
        <v>198</v>
      </c>
      <c r="C7124">
        <v>945</v>
      </c>
      <c r="D7124" t="s">
        <v>194</v>
      </c>
      <c r="E7124">
        <v>2677</v>
      </c>
      <c r="H7124" s="3">
        <v>1.2999999999999999E-3</v>
      </c>
      <c r="I7124" s="3">
        <v>0</v>
      </c>
      <c r="J7124" s="3">
        <v>4.8999999999999998E-3</v>
      </c>
      <c r="K7124" s="3">
        <v>1.8E-3</v>
      </c>
      <c r="L7124" s="3">
        <v>1.6400000000000001E-2</v>
      </c>
      <c r="M7124" s="3">
        <v>0.97550000000000003</v>
      </c>
    </row>
    <row r="7125" spans="1:13">
      <c r="A7125" t="s">
        <v>200</v>
      </c>
      <c r="B7125" t="s">
        <v>200</v>
      </c>
      <c r="C7125">
        <v>2677</v>
      </c>
      <c r="D7125" t="s">
        <v>200</v>
      </c>
      <c r="E7125">
        <v>2677</v>
      </c>
      <c r="F7125" s="3">
        <v>1.9E-3</v>
      </c>
      <c r="G7125" s="3">
        <v>5.0000000000000001E-4</v>
      </c>
      <c r="H7125" s="3">
        <v>1.8499999999999999E-2</v>
      </c>
      <c r="I7125" s="3">
        <v>4.4999999999999997E-3</v>
      </c>
      <c r="J7125" s="3">
        <v>2.1000000000000001E-2</v>
      </c>
      <c r="K7125" s="3">
        <v>4.4000000000000003E-3</v>
      </c>
      <c r="L7125" s="3">
        <v>4.5199999999999997E-2</v>
      </c>
      <c r="M7125" s="3">
        <v>0.90400000000000003</v>
      </c>
    </row>
    <row r="7127" spans="1:13" ht="45">
      <c r="A7127" s="22" t="s">
        <v>1565</v>
      </c>
    </row>
    <row r="7128" spans="1:13">
      <c r="A7128" t="s">
        <v>185</v>
      </c>
      <c r="B7128" t="s">
        <v>186</v>
      </c>
      <c r="C7128" t="s">
        <v>192</v>
      </c>
      <c r="D7128" t="s">
        <v>184</v>
      </c>
      <c r="E7128" t="s">
        <v>193</v>
      </c>
      <c r="F7128" t="s">
        <v>257</v>
      </c>
      <c r="G7128" t="s">
        <v>247</v>
      </c>
      <c r="H7128" t="s">
        <v>1559</v>
      </c>
      <c r="I7128" t="s">
        <v>1560</v>
      </c>
      <c r="J7128" t="s">
        <v>1561</v>
      </c>
      <c r="K7128" t="s">
        <v>1562</v>
      </c>
      <c r="L7128" t="s">
        <v>1563</v>
      </c>
      <c r="M7128" t="s">
        <v>1564</v>
      </c>
    </row>
    <row r="7129" spans="1:13">
      <c r="A7129" t="s">
        <v>195</v>
      </c>
      <c r="B7129" t="s">
        <v>202</v>
      </c>
      <c r="C7129">
        <v>533</v>
      </c>
      <c r="D7129" t="s">
        <v>194</v>
      </c>
      <c r="E7129">
        <v>2677</v>
      </c>
      <c r="F7129" s="3">
        <v>4.5999999999999999E-3</v>
      </c>
      <c r="H7129" s="3">
        <v>3.39E-2</v>
      </c>
      <c r="I7129" s="3">
        <v>5.5999999999999999E-3</v>
      </c>
      <c r="J7129" s="3">
        <v>2.1299999999999999E-2</v>
      </c>
      <c r="K7129" s="3">
        <v>8.8000000000000005E-3</v>
      </c>
      <c r="L7129" s="3">
        <v>5.2499999999999998E-2</v>
      </c>
      <c r="M7129" s="3">
        <v>0.87329999999999997</v>
      </c>
    </row>
    <row r="7130" spans="1:13">
      <c r="A7130" t="s">
        <v>195</v>
      </c>
      <c r="B7130" t="s">
        <v>204</v>
      </c>
      <c r="C7130">
        <v>301</v>
      </c>
      <c r="D7130" t="s">
        <v>194</v>
      </c>
      <c r="E7130">
        <v>2677</v>
      </c>
      <c r="F7130" s="3">
        <v>5.8999999999999999E-3</v>
      </c>
      <c r="H7130" s="3">
        <v>3.0200000000000001E-2</v>
      </c>
      <c r="I7130" s="3">
        <v>1.8499999999999999E-2</v>
      </c>
      <c r="J7130" s="3">
        <v>4.24E-2</v>
      </c>
      <c r="L7130" s="3">
        <v>3.6999999999999998E-2</v>
      </c>
      <c r="M7130" s="3">
        <v>0.86599999999999999</v>
      </c>
    </row>
    <row r="7131" spans="1:13">
      <c r="A7131" t="s">
        <v>195</v>
      </c>
      <c r="B7131" t="s">
        <v>205</v>
      </c>
      <c r="C7131">
        <v>334</v>
      </c>
      <c r="D7131" t="s">
        <v>194</v>
      </c>
      <c r="E7131">
        <v>2677</v>
      </c>
      <c r="H7131" s="3">
        <v>7.7999999999999996E-3</v>
      </c>
      <c r="I7131" s="3">
        <v>5.4000000000000003E-3</v>
      </c>
      <c r="J7131" s="3">
        <v>1.4200000000000001E-2</v>
      </c>
      <c r="K7131" s="3">
        <v>5.0000000000000001E-4</v>
      </c>
      <c r="L7131" s="3">
        <v>7.7200000000000005E-2</v>
      </c>
      <c r="M7131" s="3">
        <v>0.89480000000000004</v>
      </c>
    </row>
    <row r="7132" spans="1:13">
      <c r="A7132" t="s">
        <v>199</v>
      </c>
      <c r="B7132" t="s">
        <v>202</v>
      </c>
      <c r="C7132">
        <v>538</v>
      </c>
      <c r="D7132" t="s">
        <v>194</v>
      </c>
      <c r="E7132">
        <v>2677</v>
      </c>
      <c r="G7132" s="3">
        <v>1.4E-3</v>
      </c>
      <c r="H7132" s="3">
        <v>8.2000000000000007E-3</v>
      </c>
      <c r="I7132" s="3">
        <v>1.9E-3</v>
      </c>
      <c r="J7132" s="3">
        <v>1.4E-2</v>
      </c>
      <c r="K7132" s="3">
        <v>3.8999999999999998E-3</v>
      </c>
      <c r="L7132" s="3">
        <v>3.9199999999999999E-2</v>
      </c>
      <c r="M7132" s="3">
        <v>0.93149999999999999</v>
      </c>
    </row>
    <row r="7133" spans="1:13">
      <c r="A7133" t="s">
        <v>199</v>
      </c>
      <c r="B7133" t="s">
        <v>204</v>
      </c>
      <c r="C7133">
        <v>426</v>
      </c>
      <c r="D7133" t="s">
        <v>194</v>
      </c>
      <c r="E7133">
        <v>2677</v>
      </c>
      <c r="H7133" s="3">
        <v>1.43E-2</v>
      </c>
      <c r="I7133" s="3">
        <v>2.0000000000000001E-4</v>
      </c>
      <c r="J7133" s="3">
        <v>3.2300000000000002E-2</v>
      </c>
      <c r="K7133" s="3">
        <v>3.2000000000000002E-3</v>
      </c>
      <c r="L7133" s="3">
        <v>6.5699999999999995E-2</v>
      </c>
      <c r="M7133" s="3">
        <v>0.88429999999999997</v>
      </c>
    </row>
    <row r="7134" spans="1:13">
      <c r="A7134" t="s">
        <v>199</v>
      </c>
      <c r="B7134" t="s">
        <v>205</v>
      </c>
      <c r="C7134">
        <v>506</v>
      </c>
      <c r="D7134" t="s">
        <v>194</v>
      </c>
      <c r="E7134">
        <v>2677</v>
      </c>
      <c r="F7134" s="3">
        <v>8.0000000000000004E-4</v>
      </c>
      <c r="H7134" s="3">
        <v>1.0200000000000001E-2</v>
      </c>
      <c r="I7134" s="3">
        <v>1.2999999999999999E-3</v>
      </c>
      <c r="J7134" s="3">
        <v>1.49E-2</v>
      </c>
      <c r="K7134" s="3">
        <v>1E-3</v>
      </c>
      <c r="L7134" s="3">
        <v>9.2999999999999992E-3</v>
      </c>
      <c r="M7134" s="3">
        <v>0.96260000000000001</v>
      </c>
    </row>
    <row r="7135" spans="1:13">
      <c r="A7135" t="s">
        <v>200</v>
      </c>
      <c r="B7135" t="s">
        <v>200</v>
      </c>
      <c r="C7135">
        <v>2677</v>
      </c>
      <c r="D7135" t="s">
        <v>200</v>
      </c>
      <c r="E7135">
        <v>2677</v>
      </c>
      <c r="F7135" s="3">
        <v>1.9E-3</v>
      </c>
      <c r="G7135" s="3">
        <v>5.0000000000000001E-4</v>
      </c>
      <c r="H7135" s="3">
        <v>1.8499999999999999E-2</v>
      </c>
      <c r="I7135" s="3">
        <v>4.4999999999999997E-3</v>
      </c>
      <c r="J7135" s="3">
        <v>2.1000000000000001E-2</v>
      </c>
      <c r="K7135" s="3">
        <v>4.4000000000000003E-3</v>
      </c>
      <c r="L7135" s="3">
        <v>4.5199999999999997E-2</v>
      </c>
      <c r="M7135" s="3">
        <v>0.90400000000000003</v>
      </c>
    </row>
    <row r="7137" spans="1:13" ht="45">
      <c r="A7137" s="22" t="s">
        <v>1566</v>
      </c>
    </row>
    <row r="7138" spans="1:13">
      <c r="A7138" t="s">
        <v>185</v>
      </c>
      <c r="B7138" t="s">
        <v>186</v>
      </c>
      <c r="C7138" t="s">
        <v>192</v>
      </c>
      <c r="D7138" t="s">
        <v>184</v>
      </c>
      <c r="E7138" t="s">
        <v>193</v>
      </c>
      <c r="F7138" t="s">
        <v>257</v>
      </c>
      <c r="G7138" t="s">
        <v>247</v>
      </c>
      <c r="H7138" t="s">
        <v>1559</v>
      </c>
      <c r="I7138" t="s">
        <v>1560</v>
      </c>
      <c r="J7138" t="s">
        <v>1561</v>
      </c>
      <c r="K7138" t="s">
        <v>1562</v>
      </c>
      <c r="L7138" t="s">
        <v>1563</v>
      </c>
      <c r="M7138" t="s">
        <v>1564</v>
      </c>
    </row>
    <row r="7139" spans="1:13">
      <c r="A7139" t="s">
        <v>195</v>
      </c>
      <c r="B7139" t="s">
        <v>207</v>
      </c>
      <c r="C7139">
        <v>322</v>
      </c>
      <c r="D7139" t="s">
        <v>194</v>
      </c>
      <c r="E7139">
        <v>2677</v>
      </c>
      <c r="F7139" s="3">
        <v>3.7000000000000002E-3</v>
      </c>
      <c r="H7139" s="3">
        <v>6.0999999999999999E-2</v>
      </c>
      <c r="I7139" s="3">
        <v>2.1299999999999999E-2</v>
      </c>
      <c r="J7139" s="3">
        <v>1.7600000000000001E-2</v>
      </c>
      <c r="K7139" s="3">
        <v>1.83E-2</v>
      </c>
      <c r="L7139" s="3">
        <v>4.65E-2</v>
      </c>
      <c r="M7139" s="3">
        <v>0.83150000000000002</v>
      </c>
    </row>
    <row r="7140" spans="1:13">
      <c r="A7140" t="s">
        <v>195</v>
      </c>
      <c r="B7140" t="s">
        <v>209</v>
      </c>
      <c r="C7140">
        <v>867</v>
      </c>
      <c r="D7140" t="s">
        <v>194</v>
      </c>
      <c r="E7140">
        <v>2677</v>
      </c>
      <c r="F7140" s="3">
        <v>4.4000000000000003E-3</v>
      </c>
      <c r="H7140" s="3">
        <v>1.8599999999999998E-2</v>
      </c>
      <c r="I7140" s="3">
        <v>3.8E-3</v>
      </c>
      <c r="J7140" s="3">
        <v>2.7699999999999999E-2</v>
      </c>
      <c r="K7140" s="3">
        <v>1.4E-3</v>
      </c>
      <c r="L7140" s="3">
        <v>5.4399999999999997E-2</v>
      </c>
      <c r="M7140" s="3">
        <v>0.88970000000000005</v>
      </c>
    </row>
    <row r="7141" spans="1:13">
      <c r="A7141" t="s">
        <v>199</v>
      </c>
      <c r="B7141" t="s">
        <v>207</v>
      </c>
      <c r="C7141">
        <v>283</v>
      </c>
      <c r="D7141" t="s">
        <v>194</v>
      </c>
      <c r="E7141">
        <v>2677</v>
      </c>
      <c r="G7141" s="3">
        <v>3.5999999999999999E-3</v>
      </c>
      <c r="H7141" s="3">
        <v>1.6E-2</v>
      </c>
      <c r="I7141" s="3">
        <v>3.7000000000000002E-3</v>
      </c>
      <c r="J7141" s="3">
        <v>1.1900000000000001E-2</v>
      </c>
      <c r="K7141" s="3">
        <v>1.1999999999999999E-3</v>
      </c>
      <c r="L7141" s="3">
        <v>2.8500000000000001E-2</v>
      </c>
      <c r="M7141" s="3">
        <v>0.93510000000000004</v>
      </c>
    </row>
    <row r="7142" spans="1:13">
      <c r="A7142" t="s">
        <v>199</v>
      </c>
      <c r="B7142" t="s">
        <v>209</v>
      </c>
      <c r="C7142">
        <v>1205</v>
      </c>
      <c r="D7142" t="s">
        <v>194</v>
      </c>
      <c r="E7142">
        <v>2677</v>
      </c>
      <c r="F7142" s="3">
        <v>1E-4</v>
      </c>
      <c r="G7142" s="3">
        <v>5.0000000000000001E-4</v>
      </c>
      <c r="H7142" s="3">
        <v>8.8000000000000005E-3</v>
      </c>
      <c r="I7142" s="3">
        <v>1.1000000000000001E-3</v>
      </c>
      <c r="J7142" s="3">
        <v>1.8499999999999999E-2</v>
      </c>
      <c r="K7142" s="3">
        <v>3.5999999999999999E-3</v>
      </c>
      <c r="L7142" s="3">
        <v>4.1000000000000002E-2</v>
      </c>
      <c r="M7142" s="3">
        <v>0.92630000000000001</v>
      </c>
    </row>
    <row r="7143" spans="1:13">
      <c r="A7143" t="s">
        <v>200</v>
      </c>
      <c r="B7143" t="s">
        <v>200</v>
      </c>
      <c r="C7143">
        <v>2677</v>
      </c>
      <c r="D7143" t="s">
        <v>200</v>
      </c>
      <c r="E7143">
        <v>2677</v>
      </c>
      <c r="F7143" s="3">
        <v>1.9E-3</v>
      </c>
      <c r="G7143" s="3">
        <v>5.0000000000000001E-4</v>
      </c>
      <c r="H7143" s="3">
        <v>1.8499999999999999E-2</v>
      </c>
      <c r="I7143" s="3">
        <v>4.4999999999999997E-3</v>
      </c>
      <c r="J7143" s="3">
        <v>2.1000000000000001E-2</v>
      </c>
      <c r="K7143" s="3">
        <v>4.4000000000000003E-3</v>
      </c>
      <c r="L7143" s="3">
        <v>4.5199999999999997E-2</v>
      </c>
      <c r="M7143" s="3">
        <v>0.90400000000000003</v>
      </c>
    </row>
    <row r="7145" spans="1:13" ht="45">
      <c r="A7145" s="22" t="s">
        <v>1567</v>
      </c>
    </row>
    <row r="7146" spans="1:13">
      <c r="A7146" t="s">
        <v>185</v>
      </c>
      <c r="B7146" t="s">
        <v>192</v>
      </c>
      <c r="C7146" t="s">
        <v>184</v>
      </c>
      <c r="D7146" t="s">
        <v>193</v>
      </c>
      <c r="E7146" t="s">
        <v>257</v>
      </c>
      <c r="F7146" t="s">
        <v>247</v>
      </c>
      <c r="G7146" t="s">
        <v>1559</v>
      </c>
      <c r="H7146" t="s">
        <v>1560</v>
      </c>
      <c r="I7146" t="s">
        <v>1561</v>
      </c>
      <c r="J7146" t="s">
        <v>1562</v>
      </c>
      <c r="K7146" t="s">
        <v>1563</v>
      </c>
      <c r="L7146" t="s">
        <v>1564</v>
      </c>
    </row>
    <row r="7147" spans="1:13">
      <c r="A7147" t="s">
        <v>195</v>
      </c>
      <c r="B7147">
        <v>1189</v>
      </c>
      <c r="C7147" t="s">
        <v>194</v>
      </c>
      <c r="D7147">
        <v>2677</v>
      </c>
      <c r="E7147" s="3">
        <v>4.1999999999999997E-3</v>
      </c>
      <c r="G7147" s="3">
        <v>2.9499999999999998E-2</v>
      </c>
      <c r="H7147" s="3">
        <v>8.3000000000000001E-3</v>
      </c>
      <c r="I7147" s="3">
        <v>2.5100000000000001E-2</v>
      </c>
      <c r="J7147" s="3">
        <v>5.7000000000000002E-3</v>
      </c>
      <c r="K7147" s="3">
        <v>5.2400000000000002E-2</v>
      </c>
      <c r="L7147" s="3">
        <v>0.87470000000000003</v>
      </c>
    </row>
    <row r="7148" spans="1:13">
      <c r="A7148" t="s">
        <v>199</v>
      </c>
      <c r="B7148">
        <v>1488</v>
      </c>
      <c r="C7148" t="s">
        <v>194</v>
      </c>
      <c r="D7148">
        <v>2677</v>
      </c>
      <c r="E7148" s="3">
        <v>1E-4</v>
      </c>
      <c r="F7148" s="3">
        <v>8.9999999999999998E-4</v>
      </c>
      <c r="G7148" s="3">
        <v>9.7000000000000003E-3</v>
      </c>
      <c r="H7148" s="3">
        <v>1.4E-3</v>
      </c>
      <c r="I7148" s="3">
        <v>1.77E-2</v>
      </c>
      <c r="J7148" s="3">
        <v>3.3E-3</v>
      </c>
      <c r="K7148" s="3">
        <v>3.95E-2</v>
      </c>
      <c r="L7148" s="3">
        <v>0.9274</v>
      </c>
    </row>
    <row r="7149" spans="1:13">
      <c r="A7149" t="s">
        <v>200</v>
      </c>
      <c r="B7149">
        <v>2677</v>
      </c>
      <c r="C7149" t="s">
        <v>200</v>
      </c>
      <c r="D7149">
        <v>2677</v>
      </c>
      <c r="E7149" s="3">
        <v>1.9E-3</v>
      </c>
      <c r="F7149" s="3">
        <v>5.0000000000000001E-4</v>
      </c>
      <c r="G7149" s="3">
        <v>1.8499999999999999E-2</v>
      </c>
      <c r="H7149" s="3">
        <v>4.4999999999999997E-3</v>
      </c>
      <c r="I7149" s="3">
        <v>2.1000000000000001E-2</v>
      </c>
      <c r="J7149" s="3">
        <v>4.4000000000000003E-3</v>
      </c>
      <c r="K7149" s="3">
        <v>4.5199999999999997E-2</v>
      </c>
      <c r="L7149" s="3">
        <v>0.90400000000000003</v>
      </c>
    </row>
    <row r="7151" spans="1:13" ht="45">
      <c r="A7151" s="22" t="s">
        <v>1568</v>
      </c>
    </row>
    <row r="7152" spans="1:13">
      <c r="A7152" t="s">
        <v>185</v>
      </c>
      <c r="B7152" t="s">
        <v>186</v>
      </c>
      <c r="C7152" t="s">
        <v>192</v>
      </c>
      <c r="D7152" t="s">
        <v>184</v>
      </c>
      <c r="E7152" t="s">
        <v>193</v>
      </c>
      <c r="F7152" t="s">
        <v>257</v>
      </c>
      <c r="G7152" t="s">
        <v>247</v>
      </c>
      <c r="H7152" t="s">
        <v>1559</v>
      </c>
      <c r="I7152" t="s">
        <v>1560</v>
      </c>
      <c r="J7152" t="s">
        <v>1561</v>
      </c>
      <c r="K7152" t="s">
        <v>1562</v>
      </c>
      <c r="L7152" t="s">
        <v>1563</v>
      </c>
      <c r="M7152" t="s">
        <v>1564</v>
      </c>
    </row>
    <row r="7153" spans="1:13">
      <c r="A7153" t="s">
        <v>195</v>
      </c>
      <c r="B7153" t="s">
        <v>212</v>
      </c>
      <c r="C7153">
        <v>873</v>
      </c>
      <c r="D7153" t="s">
        <v>194</v>
      </c>
      <c r="E7153">
        <v>2677</v>
      </c>
      <c r="F7153" s="3">
        <v>4.4000000000000003E-3</v>
      </c>
      <c r="H7153" s="3">
        <v>3.3700000000000001E-2</v>
      </c>
      <c r="I7153" s="3">
        <v>2.8E-3</v>
      </c>
      <c r="J7153" s="3">
        <v>2.41E-2</v>
      </c>
      <c r="K7153" s="3">
        <v>7.0000000000000001E-3</v>
      </c>
      <c r="L7153" s="3">
        <v>5.6899999999999999E-2</v>
      </c>
      <c r="M7153" s="3">
        <v>0.87109999999999999</v>
      </c>
    </row>
    <row r="7154" spans="1:13">
      <c r="A7154" t="s">
        <v>195</v>
      </c>
      <c r="B7154" t="s">
        <v>214</v>
      </c>
      <c r="C7154">
        <v>181</v>
      </c>
      <c r="D7154" t="s">
        <v>194</v>
      </c>
      <c r="E7154">
        <v>2677</v>
      </c>
      <c r="F7154" s="3">
        <v>5.7000000000000002E-3</v>
      </c>
      <c r="H7154" s="3">
        <v>1.32E-2</v>
      </c>
      <c r="I7154" s="3">
        <v>1.1299999999999999E-2</v>
      </c>
      <c r="J7154" s="3">
        <v>3.0499999999999999E-2</v>
      </c>
      <c r="L7154" s="3">
        <v>1.9800000000000002E-2</v>
      </c>
      <c r="M7154" s="3">
        <v>0.91930000000000001</v>
      </c>
    </row>
    <row r="7155" spans="1:13">
      <c r="A7155" t="s">
        <v>195</v>
      </c>
      <c r="B7155" t="s">
        <v>215</v>
      </c>
      <c r="C7155">
        <v>135</v>
      </c>
      <c r="D7155" t="s">
        <v>194</v>
      </c>
      <c r="E7155">
        <v>2677</v>
      </c>
      <c r="H7155" s="3">
        <v>2.46E-2</v>
      </c>
      <c r="I7155" s="3">
        <v>5.21E-2</v>
      </c>
      <c r="J7155" s="3">
        <v>2.3199999999999998E-2</v>
      </c>
      <c r="K7155" s="3">
        <v>5.7000000000000002E-3</v>
      </c>
      <c r="L7155" s="3">
        <v>7.5300000000000006E-2</v>
      </c>
      <c r="M7155" s="3">
        <v>0.81920000000000004</v>
      </c>
    </row>
    <row r="7156" spans="1:13">
      <c r="A7156" t="s">
        <v>199</v>
      </c>
      <c r="B7156" t="s">
        <v>212</v>
      </c>
      <c r="C7156">
        <v>1118</v>
      </c>
      <c r="D7156" t="s">
        <v>194</v>
      </c>
      <c r="E7156">
        <v>2677</v>
      </c>
      <c r="G7156" s="3">
        <v>1.1000000000000001E-3</v>
      </c>
      <c r="H7156" s="3">
        <v>7.3000000000000001E-3</v>
      </c>
      <c r="I7156" s="3">
        <v>1.5E-3</v>
      </c>
      <c r="J7156" s="3">
        <v>1.6799999999999999E-2</v>
      </c>
      <c r="K7156" s="3">
        <v>4.1000000000000003E-3</v>
      </c>
      <c r="L7156" s="3">
        <v>4.0099999999999997E-2</v>
      </c>
      <c r="M7156" s="3">
        <v>0.92910000000000004</v>
      </c>
    </row>
    <row r="7157" spans="1:13">
      <c r="A7157" t="s">
        <v>199</v>
      </c>
      <c r="B7157" t="s">
        <v>214</v>
      </c>
      <c r="C7157">
        <v>197</v>
      </c>
      <c r="D7157" t="s">
        <v>194</v>
      </c>
      <c r="E7157">
        <v>2677</v>
      </c>
      <c r="F7157" s="3">
        <v>8.9999999999999998E-4</v>
      </c>
      <c r="H7157" s="3">
        <v>2.3099999999999999E-2</v>
      </c>
      <c r="I7157" s="3">
        <v>4.0000000000000002E-4</v>
      </c>
      <c r="J7157" s="3">
        <v>7.7999999999999996E-3</v>
      </c>
      <c r="L7157" s="3">
        <v>9.1999999999999998E-3</v>
      </c>
      <c r="M7157" s="3">
        <v>0.9587</v>
      </c>
    </row>
    <row r="7158" spans="1:13">
      <c r="A7158" t="s">
        <v>199</v>
      </c>
      <c r="B7158" t="s">
        <v>215</v>
      </c>
      <c r="C7158">
        <v>173</v>
      </c>
      <c r="D7158" t="s">
        <v>194</v>
      </c>
      <c r="E7158">
        <v>2677</v>
      </c>
      <c r="H7158" s="3">
        <v>7.4000000000000003E-3</v>
      </c>
      <c r="I7158" s="3">
        <v>2.7000000000000001E-3</v>
      </c>
      <c r="J7158" s="3">
        <v>4.3799999999999999E-2</v>
      </c>
      <c r="K7158" s="3">
        <v>2.7000000000000001E-3</v>
      </c>
      <c r="L7158" s="3">
        <v>8.8400000000000006E-2</v>
      </c>
      <c r="M7158" s="3">
        <v>0.85509999999999997</v>
      </c>
    </row>
    <row r="7159" spans="1:13">
      <c r="A7159" t="s">
        <v>200</v>
      </c>
      <c r="B7159" t="s">
        <v>200</v>
      </c>
      <c r="C7159">
        <v>2677</v>
      </c>
      <c r="D7159" t="s">
        <v>200</v>
      </c>
      <c r="E7159">
        <v>2677</v>
      </c>
      <c r="F7159" s="3">
        <v>1.9E-3</v>
      </c>
      <c r="G7159" s="3">
        <v>5.0000000000000001E-4</v>
      </c>
      <c r="H7159" s="3">
        <v>1.8499999999999999E-2</v>
      </c>
      <c r="I7159" s="3">
        <v>4.4999999999999997E-3</v>
      </c>
      <c r="J7159" s="3">
        <v>2.1000000000000001E-2</v>
      </c>
      <c r="K7159" s="3">
        <v>4.4000000000000003E-3</v>
      </c>
      <c r="L7159" s="3">
        <v>4.5199999999999997E-2</v>
      </c>
      <c r="M7159" s="3">
        <v>0.90400000000000003</v>
      </c>
    </row>
    <row r="7161" spans="1:13" ht="45">
      <c r="A7161" s="22" t="s">
        <v>1569</v>
      </c>
    </row>
    <row r="7162" spans="1:13">
      <c r="A7162" t="s">
        <v>185</v>
      </c>
      <c r="B7162" t="s">
        <v>186</v>
      </c>
      <c r="C7162" t="s">
        <v>192</v>
      </c>
      <c r="D7162" t="s">
        <v>184</v>
      </c>
      <c r="E7162" t="s">
        <v>193</v>
      </c>
      <c r="F7162" t="s">
        <v>257</v>
      </c>
      <c r="G7162" t="s">
        <v>247</v>
      </c>
      <c r="H7162" t="s">
        <v>1559</v>
      </c>
      <c r="I7162" t="s">
        <v>1560</v>
      </c>
      <c r="J7162" t="s">
        <v>1561</v>
      </c>
      <c r="K7162" t="s">
        <v>1562</v>
      </c>
      <c r="L7162" t="s">
        <v>1563</v>
      </c>
      <c r="M7162" t="s">
        <v>1564</v>
      </c>
    </row>
    <row r="7163" spans="1:13">
      <c r="A7163" t="s">
        <v>195</v>
      </c>
      <c r="B7163" t="s">
        <v>217</v>
      </c>
      <c r="C7163">
        <v>499</v>
      </c>
      <c r="D7163" t="s">
        <v>194</v>
      </c>
      <c r="E7163">
        <v>2677</v>
      </c>
      <c r="F7163" s="3">
        <v>7.7999999999999996E-3</v>
      </c>
      <c r="H7163" s="3">
        <v>0.04</v>
      </c>
      <c r="I7163" s="3">
        <v>5.8999999999999999E-3</v>
      </c>
      <c r="J7163" s="3">
        <v>2.5399999999999999E-2</v>
      </c>
      <c r="K7163" s="3">
        <v>3.7000000000000002E-3</v>
      </c>
      <c r="L7163" s="3">
        <v>5.1499999999999997E-2</v>
      </c>
      <c r="M7163" s="3">
        <v>0.86580000000000001</v>
      </c>
    </row>
    <row r="7164" spans="1:13">
      <c r="A7164" t="s">
        <v>195</v>
      </c>
      <c r="B7164" t="s">
        <v>219</v>
      </c>
      <c r="C7164">
        <v>507</v>
      </c>
      <c r="D7164" t="s">
        <v>194</v>
      </c>
      <c r="E7164">
        <v>2677</v>
      </c>
      <c r="H7164" s="3">
        <v>1.7100000000000001E-2</v>
      </c>
      <c r="I7164" s="3">
        <v>1.49E-2</v>
      </c>
      <c r="J7164" s="3">
        <v>1.8200000000000001E-2</v>
      </c>
      <c r="K7164" s="3">
        <v>1.6000000000000001E-3</v>
      </c>
      <c r="L7164" s="3">
        <v>5.0900000000000001E-2</v>
      </c>
      <c r="M7164" s="3">
        <v>0.8972</v>
      </c>
    </row>
    <row r="7165" spans="1:13">
      <c r="A7165" t="s">
        <v>195</v>
      </c>
      <c r="B7165" t="s">
        <v>220</v>
      </c>
      <c r="C7165">
        <v>182</v>
      </c>
      <c r="D7165" t="s">
        <v>194</v>
      </c>
      <c r="E7165">
        <v>2677</v>
      </c>
      <c r="F7165" s="3">
        <v>5.0000000000000001E-3</v>
      </c>
      <c r="H7165" s="3">
        <v>3.2000000000000001E-2</v>
      </c>
      <c r="J7165" s="3">
        <v>3.8699999999999998E-2</v>
      </c>
      <c r="K7165" s="3">
        <v>1.9E-2</v>
      </c>
      <c r="L7165" s="3">
        <v>5.7200000000000001E-2</v>
      </c>
      <c r="M7165" s="3">
        <v>0.84809999999999997</v>
      </c>
    </row>
    <row r="7166" spans="1:13">
      <c r="A7166" t="s">
        <v>199</v>
      </c>
      <c r="B7166" t="s">
        <v>217</v>
      </c>
      <c r="C7166">
        <v>814</v>
      </c>
      <c r="D7166" t="s">
        <v>194</v>
      </c>
      <c r="E7166">
        <v>2677</v>
      </c>
      <c r="G7166" s="3">
        <v>6.9999999999999999E-4</v>
      </c>
      <c r="H7166" s="3">
        <v>7.1999999999999998E-3</v>
      </c>
      <c r="I7166" s="3">
        <v>1.6999999999999999E-3</v>
      </c>
      <c r="J7166" s="3">
        <v>1.9800000000000002E-2</v>
      </c>
      <c r="K7166" s="3">
        <v>4.7999999999999996E-3</v>
      </c>
      <c r="L7166" s="3">
        <v>4.3900000000000002E-2</v>
      </c>
      <c r="M7166" s="3">
        <v>0.92190000000000005</v>
      </c>
    </row>
    <row r="7167" spans="1:13">
      <c r="A7167" t="s">
        <v>199</v>
      </c>
      <c r="B7167" t="s">
        <v>219</v>
      </c>
      <c r="C7167">
        <v>451</v>
      </c>
      <c r="D7167" t="s">
        <v>194</v>
      </c>
      <c r="E7167">
        <v>2677</v>
      </c>
      <c r="F7167" s="3">
        <v>5.0000000000000001E-4</v>
      </c>
      <c r="H7167" s="3">
        <v>2.0899999999999998E-2</v>
      </c>
      <c r="I7167" s="3">
        <v>1.6999999999999999E-3</v>
      </c>
      <c r="J7167" s="3">
        <v>1.6400000000000001E-2</v>
      </c>
      <c r="K7167" s="3">
        <v>1.5E-3</v>
      </c>
      <c r="L7167" s="3">
        <v>2.1399999999999999E-2</v>
      </c>
      <c r="M7167" s="3">
        <v>0.93759999999999999</v>
      </c>
    </row>
    <row r="7168" spans="1:13">
      <c r="A7168" t="s">
        <v>199</v>
      </c>
      <c r="B7168" t="s">
        <v>220</v>
      </c>
      <c r="C7168">
        <v>223</v>
      </c>
      <c r="D7168" t="s">
        <v>194</v>
      </c>
      <c r="E7168">
        <v>2677</v>
      </c>
      <c r="G7168" s="3">
        <v>2.8E-3</v>
      </c>
      <c r="H7168" s="3">
        <v>1.9E-3</v>
      </c>
      <c r="J7168" s="3">
        <v>1.17E-2</v>
      </c>
      <c r="K7168" s="3">
        <v>8.0000000000000004E-4</v>
      </c>
      <c r="L7168" s="3">
        <v>5.11E-2</v>
      </c>
      <c r="M7168" s="3">
        <v>0.93179999999999996</v>
      </c>
    </row>
    <row r="7169" spans="1:14">
      <c r="A7169" t="s">
        <v>200</v>
      </c>
      <c r="B7169" t="s">
        <v>200</v>
      </c>
      <c r="C7169">
        <v>2677</v>
      </c>
      <c r="D7169" t="s">
        <v>200</v>
      </c>
      <c r="E7169">
        <v>2677</v>
      </c>
      <c r="F7169" s="3">
        <v>1.9E-3</v>
      </c>
      <c r="G7169" s="3">
        <v>5.0000000000000001E-4</v>
      </c>
      <c r="H7169" s="3">
        <v>1.8499999999999999E-2</v>
      </c>
      <c r="I7169" s="3">
        <v>4.4999999999999997E-3</v>
      </c>
      <c r="J7169" s="3">
        <v>2.1000000000000001E-2</v>
      </c>
      <c r="K7169" s="3">
        <v>4.4000000000000003E-3</v>
      </c>
      <c r="L7169" s="3">
        <v>4.5199999999999997E-2</v>
      </c>
      <c r="M7169" s="3">
        <v>0.90400000000000003</v>
      </c>
    </row>
    <row r="7171" spans="1:14" ht="30">
      <c r="A7171" s="22" t="s">
        <v>1570</v>
      </c>
    </row>
    <row r="7172" spans="1:14">
      <c r="A7172" t="s">
        <v>185</v>
      </c>
      <c r="B7172" t="s">
        <v>186</v>
      </c>
      <c r="C7172" t="s">
        <v>192</v>
      </c>
      <c r="D7172" t="s">
        <v>184</v>
      </c>
      <c r="E7172" t="s">
        <v>193</v>
      </c>
      <c r="F7172" t="s">
        <v>257</v>
      </c>
      <c r="G7172" t="s">
        <v>1571</v>
      </c>
      <c r="H7172" t="s">
        <v>1572</v>
      </c>
      <c r="I7172" t="s">
        <v>247</v>
      </c>
      <c r="J7172" t="s">
        <v>1573</v>
      </c>
      <c r="K7172" t="s">
        <v>1574</v>
      </c>
      <c r="L7172" t="s">
        <v>1575</v>
      </c>
      <c r="M7172" t="s">
        <v>1576</v>
      </c>
      <c r="N7172" t="s">
        <v>1577</v>
      </c>
    </row>
    <row r="7173" spans="1:14">
      <c r="A7173" t="s">
        <v>195</v>
      </c>
      <c r="B7173" t="s">
        <v>196</v>
      </c>
      <c r="C7173">
        <v>279</v>
      </c>
      <c r="D7173" t="s">
        <v>194</v>
      </c>
      <c r="E7173">
        <v>1101</v>
      </c>
      <c r="F7173" s="3">
        <v>4.6600000000000003E-2</v>
      </c>
      <c r="G7173" s="3">
        <v>0.29680000000000001</v>
      </c>
      <c r="H7173" s="3">
        <v>0.52829999999999999</v>
      </c>
      <c r="J7173" s="3">
        <v>2.0899999999999998E-2</v>
      </c>
      <c r="K7173" s="3">
        <v>2.3E-3</v>
      </c>
      <c r="L7173" s="3">
        <v>9.6600000000000005E-2</v>
      </c>
      <c r="M7173" s="3">
        <v>5.1999999999999998E-3</v>
      </c>
      <c r="N7173" s="3">
        <v>3.0999999999999999E-3</v>
      </c>
    </row>
    <row r="7174" spans="1:14">
      <c r="A7174" t="s">
        <v>195</v>
      </c>
      <c r="B7174" t="s">
        <v>198</v>
      </c>
      <c r="C7174">
        <v>170</v>
      </c>
      <c r="D7174" t="s">
        <v>194</v>
      </c>
      <c r="E7174">
        <v>1101</v>
      </c>
      <c r="F7174" s="3">
        <v>4.1399999999999999E-2</v>
      </c>
      <c r="G7174" s="3">
        <v>0.1603</v>
      </c>
      <c r="H7174" s="3">
        <v>0.66020000000000001</v>
      </c>
      <c r="J7174" s="3">
        <v>2.0999999999999999E-3</v>
      </c>
      <c r="K7174" s="3">
        <v>5.7999999999999996E-3</v>
      </c>
      <c r="L7174" s="3">
        <v>0.12939999999999999</v>
      </c>
      <c r="N7174" s="3">
        <v>8.0000000000000004E-4</v>
      </c>
    </row>
    <row r="7175" spans="1:14">
      <c r="A7175" t="s">
        <v>199</v>
      </c>
      <c r="B7175" t="s">
        <v>196</v>
      </c>
      <c r="C7175">
        <v>374</v>
      </c>
      <c r="D7175" t="s">
        <v>194</v>
      </c>
      <c r="E7175">
        <v>1101</v>
      </c>
      <c r="F7175" s="3">
        <v>6.4000000000000003E-3</v>
      </c>
      <c r="G7175" s="3">
        <v>0.22459999999999999</v>
      </c>
      <c r="H7175" s="3">
        <v>0.65900000000000003</v>
      </c>
      <c r="J7175" s="3">
        <v>2.1100000000000001E-2</v>
      </c>
      <c r="K7175" s="3">
        <v>4.0000000000000002E-4</v>
      </c>
      <c r="L7175" s="3">
        <v>5.2999999999999999E-2</v>
      </c>
      <c r="M7175" s="3">
        <v>7.4999999999999997E-3</v>
      </c>
      <c r="N7175" s="3">
        <v>2.8000000000000001E-2</v>
      </c>
    </row>
    <row r="7176" spans="1:14">
      <c r="A7176" t="s">
        <v>199</v>
      </c>
      <c r="B7176" t="s">
        <v>198</v>
      </c>
      <c r="C7176">
        <v>258</v>
      </c>
      <c r="D7176" t="s">
        <v>194</v>
      </c>
      <c r="E7176">
        <v>1101</v>
      </c>
      <c r="F7176" s="3">
        <v>4.8999999999999998E-3</v>
      </c>
      <c r="G7176" s="3">
        <v>9.5899999999999999E-2</v>
      </c>
      <c r="H7176" s="3">
        <v>0.71950000000000003</v>
      </c>
      <c r="I7176" s="3">
        <v>2.0000000000000001E-4</v>
      </c>
      <c r="J7176" s="3">
        <v>4.3999999999999997E-2</v>
      </c>
      <c r="K7176" s="3">
        <v>1.1999999999999999E-3</v>
      </c>
      <c r="L7176" s="3">
        <v>0.13339999999999999</v>
      </c>
      <c r="M7176" s="3">
        <v>1E-3</v>
      </c>
    </row>
    <row r="7177" spans="1:14">
      <c r="A7177" t="s">
        <v>200</v>
      </c>
      <c r="B7177" t="s">
        <v>200</v>
      </c>
      <c r="C7177">
        <v>1101</v>
      </c>
      <c r="D7177" t="s">
        <v>200</v>
      </c>
      <c r="E7177">
        <v>1101</v>
      </c>
      <c r="F7177" s="3">
        <v>2.3E-2</v>
      </c>
      <c r="G7177" s="3">
        <v>0.1996</v>
      </c>
      <c r="H7177" s="3">
        <v>0.63849999999999996</v>
      </c>
      <c r="I7177" s="3">
        <v>0</v>
      </c>
      <c r="J7177" s="3">
        <v>2.4400000000000002E-2</v>
      </c>
      <c r="K7177" s="3">
        <v>2E-3</v>
      </c>
      <c r="L7177" s="3">
        <v>0.1</v>
      </c>
      <c r="M7177" s="3">
        <v>3.8E-3</v>
      </c>
      <c r="N7177" s="3">
        <v>8.6999999999999994E-3</v>
      </c>
    </row>
    <row r="7179" spans="1:14" ht="45">
      <c r="A7179" s="22" t="s">
        <v>1578</v>
      </c>
    </row>
    <row r="7180" spans="1:14">
      <c r="A7180" t="s">
        <v>185</v>
      </c>
      <c r="B7180" t="s">
        <v>186</v>
      </c>
      <c r="C7180" t="s">
        <v>192</v>
      </c>
      <c r="D7180" t="s">
        <v>184</v>
      </c>
      <c r="E7180" t="s">
        <v>193</v>
      </c>
      <c r="F7180" t="s">
        <v>257</v>
      </c>
      <c r="G7180" t="s">
        <v>1571</v>
      </c>
      <c r="H7180" t="s">
        <v>1572</v>
      </c>
      <c r="I7180" t="s">
        <v>247</v>
      </c>
      <c r="J7180" t="s">
        <v>1573</v>
      </c>
      <c r="K7180" t="s">
        <v>1574</v>
      </c>
      <c r="L7180" t="s">
        <v>1575</v>
      </c>
      <c r="M7180" t="s">
        <v>1576</v>
      </c>
      <c r="N7180" t="s">
        <v>1577</v>
      </c>
    </row>
    <row r="7181" spans="1:14">
      <c r="A7181" t="s">
        <v>195</v>
      </c>
      <c r="B7181" t="s">
        <v>202</v>
      </c>
      <c r="C7181">
        <v>178</v>
      </c>
      <c r="D7181" t="s">
        <v>194</v>
      </c>
      <c r="E7181">
        <v>1101</v>
      </c>
      <c r="F7181" s="3">
        <v>5.2699999999999997E-2</v>
      </c>
      <c r="G7181" s="3">
        <v>0.19220000000000001</v>
      </c>
      <c r="H7181" s="3">
        <v>0.62590000000000001</v>
      </c>
      <c r="J7181" s="3">
        <v>1.9400000000000001E-2</v>
      </c>
      <c r="K7181" s="3">
        <v>5.4999999999999997E-3</v>
      </c>
      <c r="L7181" s="3">
        <v>0.1003</v>
      </c>
      <c r="M7181" s="3">
        <v>3.2000000000000002E-3</v>
      </c>
      <c r="N7181" s="3">
        <v>8.9999999999999998E-4</v>
      </c>
    </row>
    <row r="7182" spans="1:14">
      <c r="A7182" t="s">
        <v>195</v>
      </c>
      <c r="B7182" t="s">
        <v>204</v>
      </c>
      <c r="C7182">
        <v>137</v>
      </c>
      <c r="D7182" t="s">
        <v>194</v>
      </c>
      <c r="E7182">
        <v>1101</v>
      </c>
      <c r="F7182" s="3">
        <v>2.8799999999999999E-2</v>
      </c>
      <c r="G7182" s="3">
        <v>0.36620000000000003</v>
      </c>
      <c r="H7182" s="3">
        <v>0.46960000000000002</v>
      </c>
      <c r="J7182" s="3">
        <v>4.4000000000000003E-3</v>
      </c>
      <c r="L7182" s="3">
        <v>0.11849999999999999</v>
      </c>
      <c r="M7182" s="3">
        <v>6.0000000000000001E-3</v>
      </c>
      <c r="N7182" s="3">
        <v>6.4999999999999997E-3</v>
      </c>
    </row>
    <row r="7183" spans="1:14">
      <c r="A7183" t="s">
        <v>195</v>
      </c>
      <c r="B7183" t="s">
        <v>205</v>
      </c>
      <c r="C7183">
        <v>134</v>
      </c>
      <c r="D7183" t="s">
        <v>194</v>
      </c>
      <c r="E7183">
        <v>1101</v>
      </c>
      <c r="F7183" s="3">
        <v>3.2899999999999999E-2</v>
      </c>
      <c r="G7183" s="3">
        <v>0.32779999999999998</v>
      </c>
      <c r="H7183" s="3">
        <v>0.50139999999999996</v>
      </c>
      <c r="J7183" s="3">
        <v>5.8999999999999999E-3</v>
      </c>
      <c r="L7183" s="3">
        <v>0.12989999999999999</v>
      </c>
      <c r="N7183" s="3">
        <v>2.0999999999999999E-3</v>
      </c>
    </row>
    <row r="7184" spans="1:14">
      <c r="A7184" t="s">
        <v>199</v>
      </c>
      <c r="B7184" t="s">
        <v>202</v>
      </c>
      <c r="C7184">
        <v>220</v>
      </c>
      <c r="D7184" t="s">
        <v>194</v>
      </c>
      <c r="E7184">
        <v>1101</v>
      </c>
      <c r="F7184" s="3">
        <v>8.8000000000000005E-3</v>
      </c>
      <c r="G7184" s="3">
        <v>0.18390000000000001</v>
      </c>
      <c r="H7184" s="3">
        <v>0.6421</v>
      </c>
      <c r="J7184" s="3">
        <v>5.1299999999999998E-2</v>
      </c>
      <c r="K7184" s="3">
        <v>4.0000000000000002E-4</v>
      </c>
      <c r="L7184" s="3">
        <v>8.9700000000000002E-2</v>
      </c>
      <c r="M7184" s="3">
        <v>8.9999999999999998E-4</v>
      </c>
      <c r="N7184" s="3">
        <v>2.29E-2</v>
      </c>
    </row>
    <row r="7185" spans="1:14">
      <c r="A7185" t="s">
        <v>199</v>
      </c>
      <c r="B7185" t="s">
        <v>204</v>
      </c>
      <c r="C7185">
        <v>209</v>
      </c>
      <c r="D7185" t="s">
        <v>194</v>
      </c>
      <c r="E7185">
        <v>1101</v>
      </c>
      <c r="G7185" s="3">
        <v>8.5800000000000001E-2</v>
      </c>
      <c r="H7185" s="3">
        <v>0.79869999999999997</v>
      </c>
      <c r="J7185" s="3">
        <v>1.6000000000000001E-3</v>
      </c>
      <c r="L7185" s="3">
        <v>0.1047</v>
      </c>
      <c r="M7185" s="3">
        <v>9.1999999999999998E-3</v>
      </c>
    </row>
    <row r="7186" spans="1:14">
      <c r="A7186" t="s">
        <v>199</v>
      </c>
      <c r="B7186" t="s">
        <v>205</v>
      </c>
      <c r="C7186">
        <v>203</v>
      </c>
      <c r="D7186" t="s">
        <v>194</v>
      </c>
      <c r="E7186">
        <v>1101</v>
      </c>
      <c r="F7186" s="3">
        <v>4.4999999999999997E-3</v>
      </c>
      <c r="G7186" s="3">
        <v>0.24890000000000001</v>
      </c>
      <c r="H7186" s="3">
        <v>0.62990000000000002</v>
      </c>
      <c r="I7186" s="3">
        <v>8.9999999999999998E-4</v>
      </c>
      <c r="J7186" s="3">
        <v>1.7500000000000002E-2</v>
      </c>
      <c r="K7186" s="3">
        <v>6.1999999999999998E-3</v>
      </c>
      <c r="L7186" s="3">
        <v>8.1000000000000003E-2</v>
      </c>
      <c r="M7186" s="3">
        <v>8.8000000000000005E-3</v>
      </c>
      <c r="N7186" s="3">
        <v>2.3999999999999998E-3</v>
      </c>
    </row>
    <row r="7187" spans="1:14">
      <c r="A7187" t="s">
        <v>200</v>
      </c>
      <c r="B7187" t="s">
        <v>200</v>
      </c>
      <c r="C7187">
        <v>1101</v>
      </c>
      <c r="D7187" t="s">
        <v>200</v>
      </c>
      <c r="E7187">
        <v>1101</v>
      </c>
      <c r="F7187" s="3">
        <v>2.3E-2</v>
      </c>
      <c r="G7187" s="3">
        <v>0.1996</v>
      </c>
      <c r="H7187" s="3">
        <v>0.63849999999999996</v>
      </c>
      <c r="I7187" s="3">
        <v>0</v>
      </c>
      <c r="J7187" s="3">
        <v>2.4400000000000002E-2</v>
      </c>
      <c r="K7187" s="3">
        <v>2E-3</v>
      </c>
      <c r="L7187" s="3">
        <v>0.1</v>
      </c>
      <c r="M7187" s="3">
        <v>3.8E-3</v>
      </c>
      <c r="N7187" s="3">
        <v>8.6999999999999994E-3</v>
      </c>
    </row>
    <row r="7189" spans="1:14" ht="45">
      <c r="A7189" s="22" t="s">
        <v>1579</v>
      </c>
    </row>
    <row r="7190" spans="1:14">
      <c r="A7190" t="s">
        <v>185</v>
      </c>
      <c r="B7190" t="s">
        <v>186</v>
      </c>
      <c r="C7190" t="s">
        <v>192</v>
      </c>
      <c r="D7190" t="s">
        <v>184</v>
      </c>
      <c r="E7190" t="s">
        <v>193</v>
      </c>
      <c r="F7190" t="s">
        <v>257</v>
      </c>
      <c r="G7190" t="s">
        <v>1571</v>
      </c>
      <c r="H7190" t="s">
        <v>1572</v>
      </c>
      <c r="I7190" t="s">
        <v>247</v>
      </c>
      <c r="J7190" t="s">
        <v>1573</v>
      </c>
      <c r="K7190" t="s">
        <v>1574</v>
      </c>
      <c r="L7190" t="s">
        <v>1575</v>
      </c>
      <c r="M7190" t="s">
        <v>1576</v>
      </c>
      <c r="N7190" t="s">
        <v>1577</v>
      </c>
    </row>
    <row r="7191" spans="1:14">
      <c r="A7191" t="s">
        <v>195</v>
      </c>
      <c r="B7191" t="s">
        <v>207</v>
      </c>
      <c r="C7191">
        <v>143</v>
      </c>
      <c r="D7191" t="s">
        <v>194</v>
      </c>
      <c r="E7191">
        <v>1101</v>
      </c>
      <c r="F7191" s="3">
        <v>3.8899999999999997E-2</v>
      </c>
      <c r="G7191" s="3">
        <v>0.2712</v>
      </c>
      <c r="H7191" s="3">
        <v>0.53410000000000002</v>
      </c>
      <c r="J7191" s="3">
        <v>1.66E-2</v>
      </c>
      <c r="K7191" s="3">
        <v>5.1999999999999998E-3</v>
      </c>
      <c r="L7191" s="3">
        <v>0.1217</v>
      </c>
      <c r="M7191" s="3">
        <v>7.0000000000000001E-3</v>
      </c>
      <c r="N7191" s="3">
        <v>5.3E-3</v>
      </c>
    </row>
    <row r="7192" spans="1:14">
      <c r="A7192" t="s">
        <v>195</v>
      </c>
      <c r="B7192" t="s">
        <v>209</v>
      </c>
      <c r="C7192">
        <v>317</v>
      </c>
      <c r="D7192" t="s">
        <v>194</v>
      </c>
      <c r="E7192">
        <v>1101</v>
      </c>
      <c r="F7192" s="3">
        <v>4.6800000000000001E-2</v>
      </c>
      <c r="G7192" s="3">
        <v>0.23769999999999999</v>
      </c>
      <c r="H7192" s="3">
        <v>0.59389999999999998</v>
      </c>
      <c r="J7192" s="3">
        <v>1.32E-2</v>
      </c>
      <c r="K7192" s="3">
        <v>2.8999999999999998E-3</v>
      </c>
      <c r="L7192" s="3">
        <v>0.1026</v>
      </c>
      <c r="M7192" s="3">
        <v>1.9E-3</v>
      </c>
      <c r="N7192" s="3">
        <v>1E-3</v>
      </c>
    </row>
    <row r="7193" spans="1:14">
      <c r="A7193" t="s">
        <v>199</v>
      </c>
      <c r="B7193" t="s">
        <v>207</v>
      </c>
      <c r="C7193">
        <v>141</v>
      </c>
      <c r="D7193" t="s">
        <v>194</v>
      </c>
      <c r="E7193">
        <v>1101</v>
      </c>
      <c r="G7193" s="3">
        <v>0.42209999999999998</v>
      </c>
      <c r="H7193" s="3">
        <v>0.36620000000000003</v>
      </c>
      <c r="J7193" s="3">
        <v>1.1900000000000001E-2</v>
      </c>
      <c r="K7193" s="3">
        <v>3.8E-3</v>
      </c>
      <c r="L7193" s="3">
        <v>0.18809999999999999</v>
      </c>
      <c r="M7193" s="3">
        <v>5.9999999999999995E-4</v>
      </c>
      <c r="N7193" s="3">
        <v>7.3000000000000001E-3</v>
      </c>
    </row>
    <row r="7194" spans="1:14">
      <c r="A7194" t="s">
        <v>199</v>
      </c>
      <c r="B7194" t="s">
        <v>209</v>
      </c>
      <c r="C7194">
        <v>500</v>
      </c>
      <c r="D7194" t="s">
        <v>194</v>
      </c>
      <c r="E7194">
        <v>1101</v>
      </c>
      <c r="F7194" s="3">
        <v>6.4000000000000003E-3</v>
      </c>
      <c r="G7194" s="3">
        <v>0.12520000000000001</v>
      </c>
      <c r="H7194" s="3">
        <v>0.73270000000000002</v>
      </c>
      <c r="I7194" s="3">
        <v>1E-4</v>
      </c>
      <c r="J7194" s="3">
        <v>3.5400000000000001E-2</v>
      </c>
      <c r="K7194" s="3">
        <v>4.0000000000000002E-4</v>
      </c>
      <c r="L7194" s="3">
        <v>8.0399999999999999E-2</v>
      </c>
      <c r="M7194" s="3">
        <v>4.7000000000000002E-3</v>
      </c>
      <c r="N7194" s="3">
        <v>1.47E-2</v>
      </c>
    </row>
    <row r="7195" spans="1:14">
      <c r="A7195" t="s">
        <v>200</v>
      </c>
      <c r="B7195" t="s">
        <v>200</v>
      </c>
      <c r="C7195">
        <v>1101</v>
      </c>
      <c r="D7195" t="s">
        <v>200</v>
      </c>
      <c r="E7195">
        <v>1101</v>
      </c>
      <c r="F7195" s="3">
        <v>2.3E-2</v>
      </c>
      <c r="G7195" s="3">
        <v>0.1996</v>
      </c>
      <c r="H7195" s="3">
        <v>0.63849999999999996</v>
      </c>
      <c r="I7195" s="3">
        <v>0</v>
      </c>
      <c r="J7195" s="3">
        <v>2.4400000000000002E-2</v>
      </c>
      <c r="K7195" s="3">
        <v>2E-3</v>
      </c>
      <c r="L7195" s="3">
        <v>0.1</v>
      </c>
      <c r="M7195" s="3">
        <v>3.8E-3</v>
      </c>
      <c r="N7195" s="3">
        <v>8.6999999999999994E-3</v>
      </c>
    </row>
    <row r="7197" spans="1:14" ht="45">
      <c r="A7197" s="22" t="s">
        <v>1580</v>
      </c>
    </row>
    <row r="7198" spans="1:14">
      <c r="A7198" t="s">
        <v>185</v>
      </c>
      <c r="B7198" t="s">
        <v>192</v>
      </c>
      <c r="C7198" t="s">
        <v>184</v>
      </c>
      <c r="D7198" t="s">
        <v>193</v>
      </c>
      <c r="E7198" t="s">
        <v>257</v>
      </c>
      <c r="F7198" t="s">
        <v>1571</v>
      </c>
      <c r="G7198" t="s">
        <v>1572</v>
      </c>
      <c r="H7198" t="s">
        <v>247</v>
      </c>
      <c r="I7198" t="s">
        <v>1573</v>
      </c>
      <c r="J7198" t="s">
        <v>1574</v>
      </c>
      <c r="K7198" t="s">
        <v>1575</v>
      </c>
      <c r="L7198" t="s">
        <v>1576</v>
      </c>
      <c r="M7198" t="s">
        <v>1577</v>
      </c>
    </row>
    <row r="7199" spans="1:14">
      <c r="A7199" t="s">
        <v>195</v>
      </c>
      <c r="B7199">
        <v>460</v>
      </c>
      <c r="C7199" t="s">
        <v>194</v>
      </c>
      <c r="D7199">
        <v>1101</v>
      </c>
      <c r="E7199" s="3">
        <v>4.4499999999999998E-2</v>
      </c>
      <c r="F7199" s="3">
        <v>0.24740000000000001</v>
      </c>
      <c r="G7199" s="3">
        <v>0.57640000000000002</v>
      </c>
      <c r="I7199" s="3">
        <v>1.4200000000000001E-2</v>
      </c>
      <c r="J7199" s="3">
        <v>3.5000000000000001E-3</v>
      </c>
      <c r="K7199" s="3">
        <v>0.1082</v>
      </c>
      <c r="L7199" s="3">
        <v>3.3999999999999998E-3</v>
      </c>
      <c r="M7199" s="3">
        <v>2.3E-3</v>
      </c>
    </row>
    <row r="7200" spans="1:14">
      <c r="A7200" t="s">
        <v>199</v>
      </c>
      <c r="B7200">
        <v>641</v>
      </c>
      <c r="C7200" t="s">
        <v>194</v>
      </c>
      <c r="D7200">
        <v>1101</v>
      </c>
      <c r="E7200" s="3">
        <v>5.5999999999999999E-3</v>
      </c>
      <c r="F7200" s="3">
        <v>0.1608</v>
      </c>
      <c r="G7200" s="3">
        <v>0.68879999999999997</v>
      </c>
      <c r="H7200" s="3">
        <v>1E-4</v>
      </c>
      <c r="I7200" s="3">
        <v>3.2599999999999997E-2</v>
      </c>
      <c r="J7200" s="3">
        <v>8.0000000000000004E-4</v>
      </c>
      <c r="K7200" s="3">
        <v>9.3299999999999994E-2</v>
      </c>
      <c r="L7200" s="3">
        <v>4.1999999999999997E-3</v>
      </c>
      <c r="M7200" s="3">
        <v>1.3899999999999999E-2</v>
      </c>
    </row>
    <row r="7201" spans="1:14">
      <c r="A7201" t="s">
        <v>200</v>
      </c>
      <c r="B7201">
        <v>1101</v>
      </c>
      <c r="C7201" t="s">
        <v>200</v>
      </c>
      <c r="D7201">
        <v>1101</v>
      </c>
      <c r="E7201" s="3">
        <v>2.3E-2</v>
      </c>
      <c r="F7201" s="3">
        <v>0.1996</v>
      </c>
      <c r="G7201" s="3">
        <v>0.63849999999999996</v>
      </c>
      <c r="H7201" s="3">
        <v>0</v>
      </c>
      <c r="I7201" s="3">
        <v>2.4400000000000002E-2</v>
      </c>
      <c r="J7201" s="3">
        <v>2E-3</v>
      </c>
      <c r="K7201" s="3">
        <v>0.1</v>
      </c>
      <c r="L7201" s="3">
        <v>3.8E-3</v>
      </c>
      <c r="M7201" s="3">
        <v>8.6999999999999994E-3</v>
      </c>
    </row>
    <row r="7203" spans="1:14" ht="30">
      <c r="A7203" s="22" t="s">
        <v>1581</v>
      </c>
    </row>
    <row r="7204" spans="1:14">
      <c r="A7204" t="s">
        <v>185</v>
      </c>
      <c r="B7204" t="s">
        <v>186</v>
      </c>
      <c r="C7204" t="s">
        <v>192</v>
      </c>
      <c r="D7204" t="s">
        <v>184</v>
      </c>
      <c r="E7204" t="s">
        <v>193</v>
      </c>
      <c r="F7204" t="s">
        <v>257</v>
      </c>
      <c r="G7204" t="s">
        <v>1571</v>
      </c>
      <c r="H7204" t="s">
        <v>1572</v>
      </c>
      <c r="I7204" t="s">
        <v>247</v>
      </c>
      <c r="J7204" t="s">
        <v>1573</v>
      </c>
      <c r="K7204" t="s">
        <v>1574</v>
      </c>
      <c r="L7204" t="s">
        <v>1575</v>
      </c>
      <c r="M7204" t="s">
        <v>1576</v>
      </c>
      <c r="N7204" t="s">
        <v>1577</v>
      </c>
    </row>
    <row r="7205" spans="1:14">
      <c r="A7205" t="s">
        <v>195</v>
      </c>
      <c r="B7205" t="s">
        <v>212</v>
      </c>
      <c r="C7205">
        <v>323</v>
      </c>
      <c r="D7205" t="s">
        <v>194</v>
      </c>
      <c r="E7205">
        <v>1101</v>
      </c>
      <c r="F7205" s="3">
        <v>5.2900000000000003E-2</v>
      </c>
      <c r="G7205" s="3">
        <v>0.2555</v>
      </c>
      <c r="H7205" s="3">
        <v>0.57920000000000005</v>
      </c>
      <c r="J7205" s="3">
        <v>2.0400000000000001E-2</v>
      </c>
      <c r="K7205" s="3">
        <v>2.8999999999999998E-3</v>
      </c>
      <c r="L7205" s="3">
        <v>8.43E-2</v>
      </c>
      <c r="M7205" s="3">
        <v>4.7999999999999996E-3</v>
      </c>
    </row>
    <row r="7206" spans="1:14">
      <c r="A7206" t="s">
        <v>195</v>
      </c>
      <c r="B7206" t="s">
        <v>214</v>
      </c>
      <c r="C7206">
        <v>66</v>
      </c>
      <c r="D7206" t="s">
        <v>194</v>
      </c>
      <c r="E7206">
        <v>1101</v>
      </c>
      <c r="F7206" s="3">
        <v>3.6799999999999999E-2</v>
      </c>
      <c r="G7206" s="3">
        <v>0.2298</v>
      </c>
      <c r="H7206" s="3">
        <v>0.54490000000000005</v>
      </c>
      <c r="L7206" s="3">
        <v>0.1885</v>
      </c>
    </row>
    <row r="7207" spans="1:14">
      <c r="A7207" t="s">
        <v>195</v>
      </c>
      <c r="B7207" t="s">
        <v>215</v>
      </c>
      <c r="C7207">
        <v>71</v>
      </c>
      <c r="D7207" t="s">
        <v>194</v>
      </c>
      <c r="E7207">
        <v>1101</v>
      </c>
      <c r="F7207" s="3">
        <v>1.0200000000000001E-2</v>
      </c>
      <c r="G7207" s="3">
        <v>0.2278</v>
      </c>
      <c r="H7207" s="3">
        <v>0.60219999999999996</v>
      </c>
      <c r="K7207" s="3">
        <v>1.15E-2</v>
      </c>
      <c r="L7207" s="3">
        <v>0.13089999999999999</v>
      </c>
      <c r="N7207" s="3">
        <v>1.7399999999999999E-2</v>
      </c>
    </row>
    <row r="7208" spans="1:14">
      <c r="A7208" t="s">
        <v>199</v>
      </c>
      <c r="B7208" t="s">
        <v>212</v>
      </c>
      <c r="C7208">
        <v>456</v>
      </c>
      <c r="D7208" t="s">
        <v>194</v>
      </c>
      <c r="E7208">
        <v>1101</v>
      </c>
      <c r="F7208" s="3">
        <v>3.3999999999999998E-3</v>
      </c>
      <c r="G7208" s="3">
        <v>0.12620000000000001</v>
      </c>
      <c r="H7208" s="3">
        <v>0.73380000000000001</v>
      </c>
      <c r="I7208" s="3">
        <v>1E-4</v>
      </c>
      <c r="J7208" s="3">
        <v>4.2599999999999999E-2</v>
      </c>
      <c r="K7208" s="3">
        <v>5.0000000000000001E-4</v>
      </c>
      <c r="L7208" s="3">
        <v>8.2699999999999996E-2</v>
      </c>
      <c r="M7208" s="3">
        <v>2.2000000000000001E-3</v>
      </c>
      <c r="N7208" s="3">
        <v>8.6E-3</v>
      </c>
    </row>
    <row r="7209" spans="1:14">
      <c r="A7209" t="s">
        <v>199</v>
      </c>
      <c r="B7209" t="s">
        <v>214</v>
      </c>
      <c r="C7209">
        <v>73</v>
      </c>
      <c r="D7209" t="s">
        <v>194</v>
      </c>
      <c r="E7209">
        <v>1101</v>
      </c>
      <c r="F7209" s="3">
        <v>3.7199999999999997E-2</v>
      </c>
      <c r="G7209" s="3">
        <v>0.24890000000000001</v>
      </c>
      <c r="H7209" s="3">
        <v>0.61750000000000005</v>
      </c>
      <c r="J7209" s="3">
        <v>5.7000000000000002E-3</v>
      </c>
      <c r="L7209" s="3">
        <v>8.5000000000000006E-2</v>
      </c>
      <c r="M7209" s="3">
        <v>5.7000000000000002E-3</v>
      </c>
    </row>
    <row r="7210" spans="1:14">
      <c r="A7210" t="s">
        <v>199</v>
      </c>
      <c r="B7210" t="s">
        <v>215</v>
      </c>
      <c r="C7210">
        <v>112</v>
      </c>
      <c r="D7210" t="s">
        <v>194</v>
      </c>
      <c r="E7210">
        <v>1101</v>
      </c>
      <c r="G7210" s="3">
        <v>0.25900000000000001</v>
      </c>
      <c r="H7210" s="3">
        <v>0.54059999999999997</v>
      </c>
      <c r="J7210" s="3">
        <v>4.7999999999999996E-3</v>
      </c>
      <c r="K7210" s="3">
        <v>2.5000000000000001E-3</v>
      </c>
      <c r="L7210" s="3">
        <v>0.14019999999999999</v>
      </c>
      <c r="M7210" s="3">
        <v>1.14E-2</v>
      </c>
      <c r="N7210" s="3">
        <v>4.1500000000000002E-2</v>
      </c>
    </row>
    <row r="7211" spans="1:14">
      <c r="A7211" t="s">
        <v>200</v>
      </c>
      <c r="B7211" t="s">
        <v>200</v>
      </c>
      <c r="C7211">
        <v>1101</v>
      </c>
      <c r="D7211" t="s">
        <v>200</v>
      </c>
      <c r="E7211">
        <v>1101</v>
      </c>
      <c r="F7211" s="3">
        <v>2.3E-2</v>
      </c>
      <c r="G7211" s="3">
        <v>0.1996</v>
      </c>
      <c r="H7211" s="3">
        <v>0.63849999999999996</v>
      </c>
      <c r="I7211" s="3">
        <v>0</v>
      </c>
      <c r="J7211" s="3">
        <v>2.4400000000000002E-2</v>
      </c>
      <c r="K7211" s="3">
        <v>2E-3</v>
      </c>
      <c r="L7211" s="3">
        <v>0.1</v>
      </c>
      <c r="M7211" s="3">
        <v>3.8E-3</v>
      </c>
      <c r="N7211" s="3">
        <v>8.6999999999999994E-3</v>
      </c>
    </row>
    <row r="7213" spans="1:14" ht="45">
      <c r="A7213" s="22" t="s">
        <v>1582</v>
      </c>
    </row>
    <row r="7214" spans="1:14">
      <c r="A7214" t="s">
        <v>185</v>
      </c>
      <c r="B7214" t="s">
        <v>186</v>
      </c>
      <c r="C7214" t="s">
        <v>192</v>
      </c>
      <c r="D7214" t="s">
        <v>184</v>
      </c>
      <c r="E7214" t="s">
        <v>193</v>
      </c>
      <c r="F7214" t="s">
        <v>257</v>
      </c>
      <c r="G7214" t="s">
        <v>1571</v>
      </c>
      <c r="H7214" t="s">
        <v>1572</v>
      </c>
      <c r="I7214" t="s">
        <v>247</v>
      </c>
      <c r="J7214" t="s">
        <v>1573</v>
      </c>
      <c r="K7214" t="s">
        <v>1574</v>
      </c>
      <c r="L7214" t="s">
        <v>1575</v>
      </c>
      <c r="M7214" t="s">
        <v>1576</v>
      </c>
      <c r="N7214" t="s">
        <v>1577</v>
      </c>
    </row>
    <row r="7215" spans="1:14">
      <c r="A7215" t="s">
        <v>195</v>
      </c>
      <c r="B7215" t="s">
        <v>217</v>
      </c>
      <c r="C7215">
        <v>207</v>
      </c>
      <c r="D7215" t="s">
        <v>194</v>
      </c>
      <c r="E7215">
        <v>1101</v>
      </c>
      <c r="F7215" s="3">
        <v>8.0000000000000002E-3</v>
      </c>
      <c r="G7215" s="3">
        <v>0.25569999999999998</v>
      </c>
      <c r="H7215" s="3">
        <v>0.58440000000000003</v>
      </c>
      <c r="J7215" s="3">
        <v>1.5299999999999999E-2</v>
      </c>
      <c r="K7215" s="3">
        <v>3.5999999999999999E-3</v>
      </c>
      <c r="L7215" s="3">
        <v>0.12609999999999999</v>
      </c>
      <c r="M7215" s="3">
        <v>3.3E-3</v>
      </c>
      <c r="N7215" s="3">
        <v>3.5000000000000001E-3</v>
      </c>
    </row>
    <row r="7216" spans="1:14">
      <c r="A7216" t="s">
        <v>195</v>
      </c>
      <c r="B7216" t="s">
        <v>219</v>
      </c>
      <c r="C7216">
        <v>190</v>
      </c>
      <c r="D7216" t="s">
        <v>194</v>
      </c>
      <c r="E7216">
        <v>1101</v>
      </c>
      <c r="F7216" s="3">
        <v>9.0200000000000002E-2</v>
      </c>
      <c r="G7216" s="3">
        <v>0.1888</v>
      </c>
      <c r="H7216" s="3">
        <v>0.5766</v>
      </c>
      <c r="J7216" s="3">
        <v>4.4000000000000003E-3</v>
      </c>
      <c r="K7216" s="3">
        <v>5.0000000000000001E-3</v>
      </c>
      <c r="L7216" s="3">
        <v>0.13</v>
      </c>
      <c r="M7216" s="3">
        <v>5.0000000000000001E-3</v>
      </c>
    </row>
    <row r="7217" spans="1:14">
      <c r="A7217" t="s">
        <v>195</v>
      </c>
      <c r="B7217" t="s">
        <v>220</v>
      </c>
      <c r="C7217">
        <v>62</v>
      </c>
      <c r="D7217" t="s">
        <v>194</v>
      </c>
      <c r="E7217">
        <v>1101</v>
      </c>
      <c r="F7217" s="3">
        <v>2.41E-2</v>
      </c>
      <c r="G7217" s="3">
        <v>0.36549999999999999</v>
      </c>
      <c r="H7217" s="3">
        <v>0.55669999999999997</v>
      </c>
      <c r="J7217" s="3">
        <v>3.4700000000000002E-2</v>
      </c>
      <c r="L7217" s="3">
        <v>1.44E-2</v>
      </c>
      <c r="N7217" s="3">
        <v>4.7000000000000002E-3</v>
      </c>
    </row>
    <row r="7218" spans="1:14">
      <c r="A7218" t="s">
        <v>199</v>
      </c>
      <c r="B7218" t="s">
        <v>217</v>
      </c>
      <c r="C7218">
        <v>359</v>
      </c>
      <c r="D7218" t="s">
        <v>194</v>
      </c>
      <c r="E7218">
        <v>1101</v>
      </c>
      <c r="F7218" s="3">
        <v>3.8E-3</v>
      </c>
      <c r="G7218" s="3">
        <v>0.15290000000000001</v>
      </c>
      <c r="H7218" s="3">
        <v>0.7026</v>
      </c>
      <c r="J7218" s="3">
        <v>4.2599999999999999E-2</v>
      </c>
      <c r="K7218" s="3">
        <v>1.1999999999999999E-3</v>
      </c>
      <c r="L7218" s="3">
        <v>8.14E-2</v>
      </c>
      <c r="M7218" s="3">
        <v>3.5999999999999999E-3</v>
      </c>
      <c r="N7218" s="3">
        <v>1.1900000000000001E-2</v>
      </c>
    </row>
    <row r="7219" spans="1:14">
      <c r="A7219" t="s">
        <v>199</v>
      </c>
      <c r="B7219" t="s">
        <v>219</v>
      </c>
      <c r="C7219">
        <v>180</v>
      </c>
      <c r="D7219" t="s">
        <v>194</v>
      </c>
      <c r="E7219">
        <v>1101</v>
      </c>
      <c r="F7219" s="3">
        <v>1.6899999999999998E-2</v>
      </c>
      <c r="G7219" s="3">
        <v>0.2046</v>
      </c>
      <c r="H7219" s="3">
        <v>0.59040000000000004</v>
      </c>
      <c r="I7219" s="3">
        <v>4.0000000000000002E-4</v>
      </c>
      <c r="J7219" s="3">
        <v>2.6499999999999999E-2</v>
      </c>
      <c r="L7219" s="3">
        <v>0.12790000000000001</v>
      </c>
      <c r="M7219" s="3">
        <v>4.0000000000000002E-4</v>
      </c>
      <c r="N7219" s="3">
        <v>3.2800000000000003E-2</v>
      </c>
    </row>
    <row r="7220" spans="1:14">
      <c r="A7220" t="s">
        <v>199</v>
      </c>
      <c r="B7220" t="s">
        <v>220</v>
      </c>
      <c r="C7220">
        <v>102</v>
      </c>
      <c r="D7220" t="s">
        <v>194</v>
      </c>
      <c r="E7220">
        <v>1101</v>
      </c>
      <c r="G7220" s="3">
        <v>0.14149999999999999</v>
      </c>
      <c r="H7220" s="3">
        <v>0.74709999999999999</v>
      </c>
      <c r="L7220" s="3">
        <v>0.1007</v>
      </c>
      <c r="M7220" s="3">
        <v>1.0699999999999999E-2</v>
      </c>
    </row>
    <row r="7221" spans="1:14">
      <c r="A7221" t="s">
        <v>200</v>
      </c>
      <c r="B7221" t="s">
        <v>200</v>
      </c>
      <c r="C7221">
        <v>1101</v>
      </c>
      <c r="D7221" t="s">
        <v>200</v>
      </c>
      <c r="E7221">
        <v>1101</v>
      </c>
      <c r="F7221" s="3">
        <v>2.3E-2</v>
      </c>
      <c r="G7221" s="3">
        <v>0.1996</v>
      </c>
      <c r="H7221" s="3">
        <v>0.63849999999999996</v>
      </c>
      <c r="I7221" s="3">
        <v>0</v>
      </c>
      <c r="J7221" s="3">
        <v>2.4400000000000002E-2</v>
      </c>
      <c r="K7221" s="3">
        <v>2E-3</v>
      </c>
      <c r="L7221" s="3">
        <v>0.1</v>
      </c>
      <c r="M7221" s="3">
        <v>3.8E-3</v>
      </c>
      <c r="N7221" s="3">
        <v>8.6999999999999994E-3</v>
      </c>
    </row>
    <row r="7223" spans="1:14" ht="45">
      <c r="A7223" s="22" t="s">
        <v>1583</v>
      </c>
    </row>
    <row r="7224" spans="1:14">
      <c r="A7224" t="s">
        <v>185</v>
      </c>
      <c r="B7224" t="s">
        <v>186</v>
      </c>
      <c r="C7224" t="s">
        <v>192</v>
      </c>
      <c r="D7224" t="s">
        <v>184</v>
      </c>
      <c r="E7224" t="s">
        <v>193</v>
      </c>
      <c r="F7224" t="s">
        <v>257</v>
      </c>
      <c r="G7224" t="s">
        <v>226</v>
      </c>
      <c r="H7224" t="s">
        <v>247</v>
      </c>
      <c r="I7224" t="s">
        <v>227</v>
      </c>
    </row>
    <row r="7225" spans="1:14">
      <c r="A7225" t="s">
        <v>195</v>
      </c>
      <c r="B7225" t="s">
        <v>196</v>
      </c>
      <c r="C7225">
        <v>413</v>
      </c>
      <c r="D7225" t="s">
        <v>194</v>
      </c>
      <c r="E7225">
        <v>2677</v>
      </c>
      <c r="F7225" s="3">
        <v>2.63E-2</v>
      </c>
      <c r="G7225" s="3">
        <v>0.38080000000000003</v>
      </c>
      <c r="H7225" s="3">
        <v>7.4000000000000003E-3</v>
      </c>
      <c r="I7225" s="3">
        <v>0.58550000000000002</v>
      </c>
    </row>
    <row r="7226" spans="1:14">
      <c r="A7226" t="s">
        <v>195</v>
      </c>
      <c r="B7226" t="s">
        <v>198</v>
      </c>
      <c r="C7226">
        <v>755</v>
      </c>
      <c r="D7226" t="s">
        <v>194</v>
      </c>
      <c r="E7226">
        <v>2677</v>
      </c>
      <c r="F7226" s="3">
        <v>1.35E-2</v>
      </c>
      <c r="G7226" s="3">
        <v>0.47970000000000002</v>
      </c>
      <c r="H7226" s="3">
        <v>3.5000000000000001E-3</v>
      </c>
      <c r="I7226" s="3">
        <v>0.50329999999999997</v>
      </c>
    </row>
    <row r="7227" spans="1:14">
      <c r="A7227" t="s">
        <v>199</v>
      </c>
      <c r="B7227" t="s">
        <v>196</v>
      </c>
      <c r="C7227">
        <v>525</v>
      </c>
      <c r="D7227" t="s">
        <v>194</v>
      </c>
      <c r="E7227">
        <v>2677</v>
      </c>
      <c r="F7227" s="3">
        <v>2.3999999999999998E-3</v>
      </c>
      <c r="G7227" s="3">
        <v>0.69</v>
      </c>
      <c r="H7227" s="3">
        <v>1E-3</v>
      </c>
      <c r="I7227" s="3">
        <v>0.30659999999999998</v>
      </c>
    </row>
    <row r="7228" spans="1:14">
      <c r="A7228" t="s">
        <v>199</v>
      </c>
      <c r="B7228" t="s">
        <v>198</v>
      </c>
      <c r="C7228">
        <v>945</v>
      </c>
      <c r="D7228" t="s">
        <v>194</v>
      </c>
      <c r="E7228">
        <v>2677</v>
      </c>
      <c r="F7228" s="3">
        <v>4.1000000000000003E-3</v>
      </c>
      <c r="G7228" s="3">
        <v>0.72870000000000001</v>
      </c>
      <c r="H7228" s="3">
        <v>4.1999999999999997E-3</v>
      </c>
      <c r="I7228" s="3">
        <v>0.26300000000000001</v>
      </c>
    </row>
    <row r="7229" spans="1:14">
      <c r="A7229" t="s">
        <v>200</v>
      </c>
      <c r="B7229" t="s">
        <v>200</v>
      </c>
      <c r="C7229">
        <v>2677</v>
      </c>
      <c r="D7229" t="s">
        <v>200</v>
      </c>
      <c r="E7229">
        <v>2677</v>
      </c>
      <c r="F7229" s="3">
        <v>9.5999999999999992E-3</v>
      </c>
      <c r="G7229" s="3">
        <v>0.60229999999999995</v>
      </c>
      <c r="H7229" s="3">
        <v>4.0000000000000001E-3</v>
      </c>
      <c r="I7229" s="3">
        <v>0.3841</v>
      </c>
    </row>
    <row r="7231" spans="1:14" ht="45">
      <c r="A7231" s="22" t="s">
        <v>1584</v>
      </c>
    </row>
    <row r="7232" spans="1:14">
      <c r="A7232" t="s">
        <v>185</v>
      </c>
      <c r="B7232" t="s">
        <v>186</v>
      </c>
      <c r="C7232" t="s">
        <v>192</v>
      </c>
      <c r="D7232" t="s">
        <v>184</v>
      </c>
      <c r="E7232" t="s">
        <v>193</v>
      </c>
      <c r="F7232" t="s">
        <v>257</v>
      </c>
      <c r="G7232" t="s">
        <v>226</v>
      </c>
      <c r="H7232" t="s">
        <v>247</v>
      </c>
      <c r="I7232" t="s">
        <v>227</v>
      </c>
    </row>
    <row r="7233" spans="1:9">
      <c r="A7233" t="s">
        <v>195</v>
      </c>
      <c r="B7233" t="s">
        <v>202</v>
      </c>
      <c r="C7233">
        <v>533</v>
      </c>
      <c r="D7233" t="s">
        <v>194</v>
      </c>
      <c r="E7233">
        <v>2677</v>
      </c>
      <c r="F7233" s="3">
        <v>1.21E-2</v>
      </c>
      <c r="G7233" s="3">
        <v>0.46949999999999997</v>
      </c>
      <c r="H7233" s="3">
        <v>2.5999999999999999E-3</v>
      </c>
      <c r="I7233" s="3">
        <v>0.51580000000000004</v>
      </c>
    </row>
    <row r="7234" spans="1:9">
      <c r="A7234" t="s">
        <v>195</v>
      </c>
      <c r="B7234" t="s">
        <v>204</v>
      </c>
      <c r="C7234">
        <v>301</v>
      </c>
      <c r="D7234" t="s">
        <v>194</v>
      </c>
      <c r="E7234">
        <v>2677</v>
      </c>
      <c r="F7234" s="3">
        <v>3.4500000000000003E-2</v>
      </c>
      <c r="G7234" s="3">
        <v>0.41099999999999998</v>
      </c>
      <c r="H7234" s="3">
        <v>9.1999999999999998E-3</v>
      </c>
      <c r="I7234" s="3">
        <v>0.54530000000000001</v>
      </c>
    </row>
    <row r="7235" spans="1:9">
      <c r="A7235" t="s">
        <v>195</v>
      </c>
      <c r="B7235" t="s">
        <v>205</v>
      </c>
      <c r="C7235">
        <v>334</v>
      </c>
      <c r="D7235" t="s">
        <v>194</v>
      </c>
      <c r="E7235">
        <v>2677</v>
      </c>
      <c r="F7235" s="3">
        <v>1.18E-2</v>
      </c>
      <c r="G7235" s="3">
        <v>0.44240000000000002</v>
      </c>
      <c r="H7235" s="3">
        <v>6.6E-3</v>
      </c>
      <c r="I7235" s="3">
        <v>0.53920000000000001</v>
      </c>
    </row>
    <row r="7236" spans="1:9">
      <c r="A7236" t="s">
        <v>199</v>
      </c>
      <c r="B7236" t="s">
        <v>202</v>
      </c>
      <c r="C7236">
        <v>538</v>
      </c>
      <c r="D7236" t="s">
        <v>194</v>
      </c>
      <c r="E7236">
        <v>2677</v>
      </c>
      <c r="F7236" s="3">
        <v>1E-4</v>
      </c>
      <c r="G7236" s="3">
        <v>0.76329999999999998</v>
      </c>
      <c r="H7236" s="3">
        <v>1.9E-3</v>
      </c>
      <c r="I7236" s="3">
        <v>0.2346</v>
      </c>
    </row>
    <row r="7237" spans="1:9">
      <c r="A7237" t="s">
        <v>199</v>
      </c>
      <c r="B7237" t="s">
        <v>204</v>
      </c>
      <c r="C7237">
        <v>426</v>
      </c>
      <c r="D7237" t="s">
        <v>194</v>
      </c>
      <c r="E7237">
        <v>2677</v>
      </c>
      <c r="F7237" s="3">
        <v>5.3E-3</v>
      </c>
      <c r="G7237" s="3">
        <v>0.73680000000000001</v>
      </c>
      <c r="H7237" s="3">
        <v>1.6000000000000001E-3</v>
      </c>
      <c r="I7237" s="3">
        <v>0.25619999999999998</v>
      </c>
    </row>
    <row r="7238" spans="1:9">
      <c r="A7238" t="s">
        <v>199</v>
      </c>
      <c r="B7238" t="s">
        <v>205</v>
      </c>
      <c r="C7238">
        <v>506</v>
      </c>
      <c r="D7238" t="s">
        <v>194</v>
      </c>
      <c r="E7238">
        <v>2677</v>
      </c>
      <c r="F7238" s="3">
        <v>1.5900000000000001E-2</v>
      </c>
      <c r="G7238" s="3">
        <v>0.54620000000000002</v>
      </c>
      <c r="H7238" s="3">
        <v>1.2200000000000001E-2</v>
      </c>
      <c r="I7238" s="3">
        <v>0.42570000000000002</v>
      </c>
    </row>
    <row r="7239" spans="1:9">
      <c r="A7239" t="s">
        <v>200</v>
      </c>
      <c r="B7239" t="s">
        <v>200</v>
      </c>
      <c r="C7239">
        <v>2677</v>
      </c>
      <c r="D7239" t="s">
        <v>200</v>
      </c>
      <c r="E7239">
        <v>2677</v>
      </c>
      <c r="F7239" s="3">
        <v>9.5999999999999992E-3</v>
      </c>
      <c r="G7239" s="3">
        <v>0.60229999999999995</v>
      </c>
      <c r="H7239" s="3">
        <v>4.0000000000000001E-3</v>
      </c>
      <c r="I7239" s="3">
        <v>0.3841</v>
      </c>
    </row>
    <row r="7241" spans="1:9" ht="45">
      <c r="A7241" s="22" t="s">
        <v>1585</v>
      </c>
    </row>
    <row r="7242" spans="1:9">
      <c r="A7242" t="s">
        <v>185</v>
      </c>
      <c r="B7242" t="s">
        <v>186</v>
      </c>
      <c r="C7242" t="s">
        <v>192</v>
      </c>
      <c r="D7242" t="s">
        <v>184</v>
      </c>
      <c r="E7242" t="s">
        <v>193</v>
      </c>
      <c r="F7242" t="s">
        <v>257</v>
      </c>
      <c r="G7242" t="s">
        <v>226</v>
      </c>
      <c r="H7242" t="s">
        <v>247</v>
      </c>
      <c r="I7242" t="s">
        <v>227</v>
      </c>
    </row>
    <row r="7243" spans="1:9">
      <c r="A7243" t="s">
        <v>195</v>
      </c>
      <c r="B7243" t="s">
        <v>207</v>
      </c>
      <c r="C7243">
        <v>322</v>
      </c>
      <c r="D7243" t="s">
        <v>194</v>
      </c>
      <c r="E7243">
        <v>2677</v>
      </c>
      <c r="F7243" s="3">
        <v>1.3899999999999999E-2</v>
      </c>
      <c r="G7243" s="3">
        <v>0.33</v>
      </c>
      <c r="I7243" s="3">
        <v>0.65610000000000002</v>
      </c>
    </row>
    <row r="7244" spans="1:9">
      <c r="A7244" t="s">
        <v>195</v>
      </c>
      <c r="B7244" t="s">
        <v>209</v>
      </c>
      <c r="C7244">
        <v>867</v>
      </c>
      <c r="D7244" t="s">
        <v>194</v>
      </c>
      <c r="E7244">
        <v>2677</v>
      </c>
      <c r="F7244" s="3">
        <v>1.78E-2</v>
      </c>
      <c r="G7244" s="3">
        <v>0.49580000000000002</v>
      </c>
      <c r="H7244" s="3">
        <v>6.1000000000000004E-3</v>
      </c>
      <c r="I7244" s="3">
        <v>0.4803</v>
      </c>
    </row>
    <row r="7245" spans="1:9">
      <c r="A7245" t="s">
        <v>199</v>
      </c>
      <c r="B7245" t="s">
        <v>207</v>
      </c>
      <c r="C7245">
        <v>283</v>
      </c>
      <c r="D7245" t="s">
        <v>194</v>
      </c>
      <c r="E7245">
        <v>2677</v>
      </c>
      <c r="F7245" s="3">
        <v>2.5000000000000001E-3</v>
      </c>
      <c r="G7245" s="3">
        <v>0.44419999999999998</v>
      </c>
      <c r="H7245" s="3">
        <v>2.0000000000000001E-4</v>
      </c>
      <c r="I7245" s="3">
        <v>0.55310000000000004</v>
      </c>
    </row>
    <row r="7246" spans="1:9">
      <c r="A7246" t="s">
        <v>199</v>
      </c>
      <c r="B7246" t="s">
        <v>209</v>
      </c>
      <c r="C7246">
        <v>1205</v>
      </c>
      <c r="D7246" t="s">
        <v>194</v>
      </c>
      <c r="E7246">
        <v>2677</v>
      </c>
      <c r="F7246" s="3">
        <v>4.0000000000000001E-3</v>
      </c>
      <c r="G7246" s="3">
        <v>0.75990000000000002</v>
      </c>
      <c r="H7246" s="3">
        <v>4.1000000000000003E-3</v>
      </c>
      <c r="I7246" s="3">
        <v>0.2321</v>
      </c>
    </row>
    <row r="7247" spans="1:9">
      <c r="A7247" t="s">
        <v>200</v>
      </c>
      <c r="B7247" t="s">
        <v>200</v>
      </c>
      <c r="C7247">
        <v>2677</v>
      </c>
      <c r="D7247" t="s">
        <v>200</v>
      </c>
      <c r="E7247">
        <v>2677</v>
      </c>
      <c r="F7247" s="3">
        <v>9.5999999999999992E-3</v>
      </c>
      <c r="G7247" s="3">
        <v>0.60229999999999995</v>
      </c>
      <c r="H7247" s="3">
        <v>4.0000000000000001E-3</v>
      </c>
      <c r="I7247" s="3">
        <v>0.3841</v>
      </c>
    </row>
    <row r="7249" spans="1:9" ht="45">
      <c r="A7249" s="22" t="s">
        <v>1586</v>
      </c>
    </row>
    <row r="7250" spans="1:9">
      <c r="A7250" t="s">
        <v>185</v>
      </c>
      <c r="B7250" t="s">
        <v>192</v>
      </c>
      <c r="C7250" t="s">
        <v>184</v>
      </c>
      <c r="D7250" t="s">
        <v>193</v>
      </c>
      <c r="E7250" t="s">
        <v>257</v>
      </c>
      <c r="F7250" t="s">
        <v>226</v>
      </c>
      <c r="G7250" t="s">
        <v>247</v>
      </c>
      <c r="H7250" t="s">
        <v>227</v>
      </c>
    </row>
    <row r="7251" spans="1:9">
      <c r="A7251" t="s">
        <v>195</v>
      </c>
      <c r="B7251">
        <v>1189</v>
      </c>
      <c r="C7251" t="s">
        <v>194</v>
      </c>
      <c r="D7251">
        <v>2677</v>
      </c>
      <c r="E7251" s="3">
        <v>1.6799999999999999E-2</v>
      </c>
      <c r="F7251" s="3">
        <v>0.45319999999999999</v>
      </c>
      <c r="G7251" s="3">
        <v>4.4999999999999997E-3</v>
      </c>
      <c r="H7251" s="3">
        <v>0.52549999999999997</v>
      </c>
    </row>
    <row r="7252" spans="1:9">
      <c r="A7252" t="s">
        <v>199</v>
      </c>
      <c r="B7252">
        <v>1488</v>
      </c>
      <c r="C7252" t="s">
        <v>194</v>
      </c>
      <c r="D7252">
        <v>2677</v>
      </c>
      <c r="E7252" s="3">
        <v>3.8E-3</v>
      </c>
      <c r="F7252" s="3">
        <v>0.72140000000000004</v>
      </c>
      <c r="G7252" s="3">
        <v>3.5999999999999999E-3</v>
      </c>
      <c r="H7252" s="3">
        <v>0.27110000000000001</v>
      </c>
    </row>
    <row r="7253" spans="1:9">
      <c r="A7253" t="s">
        <v>200</v>
      </c>
      <c r="B7253">
        <v>2677</v>
      </c>
      <c r="C7253" t="s">
        <v>200</v>
      </c>
      <c r="D7253">
        <v>2677</v>
      </c>
      <c r="E7253" s="3">
        <v>9.5999999999999992E-3</v>
      </c>
      <c r="F7253" s="3">
        <v>0.60229999999999995</v>
      </c>
      <c r="G7253" s="3">
        <v>4.0000000000000001E-3</v>
      </c>
      <c r="H7253" s="3">
        <v>0.3841</v>
      </c>
    </row>
    <row r="7255" spans="1:9" ht="45">
      <c r="A7255" s="22" t="s">
        <v>1587</v>
      </c>
    </row>
    <row r="7256" spans="1:9">
      <c r="A7256" t="s">
        <v>185</v>
      </c>
      <c r="B7256" t="s">
        <v>186</v>
      </c>
      <c r="C7256" t="s">
        <v>192</v>
      </c>
      <c r="D7256" t="s">
        <v>184</v>
      </c>
      <c r="E7256" t="s">
        <v>193</v>
      </c>
      <c r="F7256" t="s">
        <v>257</v>
      </c>
      <c r="G7256" t="s">
        <v>226</v>
      </c>
      <c r="H7256" t="s">
        <v>247</v>
      </c>
      <c r="I7256" t="s">
        <v>227</v>
      </c>
    </row>
    <row r="7257" spans="1:9">
      <c r="A7257" t="s">
        <v>195</v>
      </c>
      <c r="B7257" t="s">
        <v>212</v>
      </c>
      <c r="C7257">
        <v>873</v>
      </c>
      <c r="D7257" t="s">
        <v>194</v>
      </c>
      <c r="E7257">
        <v>2677</v>
      </c>
      <c r="F7257" s="3">
        <v>1.8700000000000001E-2</v>
      </c>
      <c r="G7257" s="3">
        <v>0.45900000000000002</v>
      </c>
      <c r="H7257" s="3">
        <v>4.1999999999999997E-3</v>
      </c>
      <c r="I7257" s="3">
        <v>0.5181</v>
      </c>
    </row>
    <row r="7258" spans="1:9">
      <c r="A7258" t="s">
        <v>195</v>
      </c>
      <c r="B7258" t="s">
        <v>214</v>
      </c>
      <c r="C7258">
        <v>181</v>
      </c>
      <c r="D7258" t="s">
        <v>194</v>
      </c>
      <c r="E7258">
        <v>2677</v>
      </c>
      <c r="F7258" s="3">
        <v>3.3E-3</v>
      </c>
      <c r="G7258" s="3">
        <v>0.46039999999999998</v>
      </c>
      <c r="H7258" s="3">
        <v>2.0999999999999999E-3</v>
      </c>
      <c r="I7258" s="3">
        <v>0.53410000000000002</v>
      </c>
    </row>
    <row r="7259" spans="1:9">
      <c r="A7259" t="s">
        <v>195</v>
      </c>
      <c r="B7259" t="s">
        <v>215</v>
      </c>
      <c r="C7259">
        <v>135</v>
      </c>
      <c r="D7259" t="s">
        <v>194</v>
      </c>
      <c r="E7259">
        <v>2677</v>
      </c>
      <c r="F7259" s="3">
        <v>2.64E-2</v>
      </c>
      <c r="G7259" s="3">
        <v>0.38629999999999998</v>
      </c>
      <c r="H7259" s="3">
        <v>1.2699999999999999E-2</v>
      </c>
      <c r="I7259" s="3">
        <v>0.5746</v>
      </c>
    </row>
    <row r="7260" spans="1:9">
      <c r="A7260" t="s">
        <v>199</v>
      </c>
      <c r="B7260" t="s">
        <v>212</v>
      </c>
      <c r="C7260">
        <v>1118</v>
      </c>
      <c r="D7260" t="s">
        <v>194</v>
      </c>
      <c r="E7260">
        <v>2677</v>
      </c>
      <c r="F7260" s="3">
        <v>4.7000000000000002E-3</v>
      </c>
      <c r="G7260" s="3">
        <v>0.72560000000000002</v>
      </c>
      <c r="H7260" s="3">
        <v>4.5999999999999999E-3</v>
      </c>
      <c r="I7260" s="3">
        <v>0.26519999999999999</v>
      </c>
    </row>
    <row r="7261" spans="1:9">
      <c r="A7261" t="s">
        <v>199</v>
      </c>
      <c r="B7261" t="s">
        <v>214</v>
      </c>
      <c r="C7261">
        <v>197</v>
      </c>
      <c r="D7261" t="s">
        <v>194</v>
      </c>
      <c r="E7261">
        <v>2677</v>
      </c>
      <c r="G7261" s="3">
        <v>0.71409999999999996</v>
      </c>
      <c r="I7261" s="3">
        <v>0.28589999999999999</v>
      </c>
    </row>
    <row r="7262" spans="1:9">
      <c r="A7262" t="s">
        <v>199</v>
      </c>
      <c r="B7262" t="s">
        <v>215</v>
      </c>
      <c r="C7262">
        <v>173</v>
      </c>
      <c r="D7262" t="s">
        <v>194</v>
      </c>
      <c r="E7262">
        <v>2677</v>
      </c>
      <c r="F7262" s="3">
        <v>3.0000000000000001E-3</v>
      </c>
      <c r="G7262" s="3">
        <v>0.69650000000000001</v>
      </c>
      <c r="H7262" s="3">
        <v>1.4E-3</v>
      </c>
      <c r="I7262" s="3">
        <v>0.29909999999999998</v>
      </c>
    </row>
    <row r="7263" spans="1:9">
      <c r="A7263" t="s">
        <v>200</v>
      </c>
      <c r="B7263" t="s">
        <v>200</v>
      </c>
      <c r="C7263">
        <v>2677</v>
      </c>
      <c r="D7263" t="s">
        <v>200</v>
      </c>
      <c r="E7263">
        <v>2677</v>
      </c>
      <c r="F7263" s="3">
        <v>9.5999999999999992E-3</v>
      </c>
      <c r="G7263" s="3">
        <v>0.60229999999999995</v>
      </c>
      <c r="H7263" s="3">
        <v>4.0000000000000001E-3</v>
      </c>
      <c r="I7263" s="3">
        <v>0.3841</v>
      </c>
    </row>
    <row r="7265" spans="1:16" ht="45">
      <c r="A7265" s="22" t="s">
        <v>1588</v>
      </c>
    </row>
    <row r="7266" spans="1:16">
      <c r="A7266" t="s">
        <v>185</v>
      </c>
      <c r="B7266" t="s">
        <v>186</v>
      </c>
      <c r="C7266" t="s">
        <v>192</v>
      </c>
      <c r="D7266" t="s">
        <v>184</v>
      </c>
      <c r="E7266" t="s">
        <v>193</v>
      </c>
      <c r="F7266" t="s">
        <v>257</v>
      </c>
      <c r="G7266" t="s">
        <v>226</v>
      </c>
      <c r="H7266" t="s">
        <v>247</v>
      </c>
      <c r="I7266" t="s">
        <v>227</v>
      </c>
    </row>
    <row r="7267" spans="1:16">
      <c r="A7267" t="s">
        <v>195</v>
      </c>
      <c r="B7267" t="s">
        <v>217</v>
      </c>
      <c r="C7267">
        <v>499</v>
      </c>
      <c r="D7267" t="s">
        <v>194</v>
      </c>
      <c r="E7267">
        <v>2677</v>
      </c>
      <c r="F7267" s="3">
        <v>2.47E-2</v>
      </c>
      <c r="G7267" s="3">
        <v>0.47310000000000002</v>
      </c>
      <c r="H7267" s="3">
        <v>5.8999999999999999E-3</v>
      </c>
      <c r="I7267" s="3">
        <v>0.49630000000000002</v>
      </c>
    </row>
    <row r="7268" spans="1:16">
      <c r="A7268" t="s">
        <v>195</v>
      </c>
      <c r="B7268" t="s">
        <v>219</v>
      </c>
      <c r="C7268">
        <v>507</v>
      </c>
      <c r="D7268" t="s">
        <v>194</v>
      </c>
      <c r="E7268">
        <v>2677</v>
      </c>
      <c r="F7268" s="3">
        <v>1.23E-2</v>
      </c>
      <c r="G7268" s="3">
        <v>0.34429999999999999</v>
      </c>
      <c r="H7268" s="3">
        <v>3.8999999999999998E-3</v>
      </c>
      <c r="I7268" s="3">
        <v>0.63949999999999996</v>
      </c>
    </row>
    <row r="7269" spans="1:16">
      <c r="A7269" t="s">
        <v>195</v>
      </c>
      <c r="B7269" t="s">
        <v>220</v>
      </c>
      <c r="C7269">
        <v>182</v>
      </c>
      <c r="D7269" t="s">
        <v>194</v>
      </c>
      <c r="E7269">
        <v>2677</v>
      </c>
      <c r="F7269" s="3">
        <v>8.6E-3</v>
      </c>
      <c r="G7269" s="3">
        <v>0.63449999999999995</v>
      </c>
      <c r="H7269" s="3">
        <v>2.8999999999999998E-3</v>
      </c>
      <c r="I7269" s="3">
        <v>0.35399999999999998</v>
      </c>
    </row>
    <row r="7270" spans="1:16">
      <c r="A7270" t="s">
        <v>199</v>
      </c>
      <c r="B7270" t="s">
        <v>217</v>
      </c>
      <c r="C7270">
        <v>814</v>
      </c>
      <c r="D7270" t="s">
        <v>194</v>
      </c>
      <c r="E7270">
        <v>2677</v>
      </c>
      <c r="F7270" s="3">
        <v>2.2000000000000001E-3</v>
      </c>
      <c r="G7270" s="3">
        <v>0.74619999999999997</v>
      </c>
      <c r="H7270" s="3">
        <v>5.7999999999999996E-3</v>
      </c>
      <c r="I7270" s="3">
        <v>0.24579999999999999</v>
      </c>
    </row>
    <row r="7271" spans="1:16">
      <c r="A7271" t="s">
        <v>199</v>
      </c>
      <c r="B7271" t="s">
        <v>219</v>
      </c>
      <c r="C7271">
        <v>451</v>
      </c>
      <c r="D7271" t="s">
        <v>194</v>
      </c>
      <c r="E7271">
        <v>2677</v>
      </c>
      <c r="F7271" s="3">
        <v>2.3E-3</v>
      </c>
      <c r="G7271" s="3">
        <v>0.63419999999999999</v>
      </c>
      <c r="H7271" s="3">
        <v>5.9999999999999995E-4</v>
      </c>
      <c r="I7271" s="3">
        <v>0.36280000000000001</v>
      </c>
    </row>
    <row r="7272" spans="1:16">
      <c r="A7272" t="s">
        <v>199</v>
      </c>
      <c r="B7272" t="s">
        <v>220</v>
      </c>
      <c r="C7272">
        <v>223</v>
      </c>
      <c r="D7272" t="s">
        <v>194</v>
      </c>
      <c r="E7272">
        <v>2677</v>
      </c>
      <c r="F7272" s="3">
        <v>1.23E-2</v>
      </c>
      <c r="G7272" s="3">
        <v>0.7641</v>
      </c>
      <c r="H7272" s="3">
        <v>1E-4</v>
      </c>
      <c r="I7272" s="3">
        <v>0.22339999999999999</v>
      </c>
    </row>
    <row r="7273" spans="1:16">
      <c r="A7273" t="s">
        <v>200</v>
      </c>
      <c r="B7273" t="s">
        <v>200</v>
      </c>
      <c r="C7273">
        <v>2677</v>
      </c>
      <c r="D7273" t="s">
        <v>200</v>
      </c>
      <c r="E7273">
        <v>2677</v>
      </c>
      <c r="F7273" s="3">
        <v>9.5999999999999992E-3</v>
      </c>
      <c r="G7273" s="3">
        <v>0.60229999999999995</v>
      </c>
      <c r="H7273" s="3">
        <v>4.0000000000000001E-3</v>
      </c>
      <c r="I7273" s="3">
        <v>0.3841</v>
      </c>
    </row>
    <row r="7275" spans="1:16" ht="45">
      <c r="A7275" s="22" t="s">
        <v>1589</v>
      </c>
    </row>
    <row r="7276" spans="1:16">
      <c r="A7276" t="s">
        <v>185</v>
      </c>
      <c r="B7276" t="s">
        <v>186</v>
      </c>
      <c r="C7276" t="s">
        <v>192</v>
      </c>
      <c r="D7276" t="s">
        <v>184</v>
      </c>
      <c r="E7276" t="s">
        <v>193</v>
      </c>
      <c r="F7276" t="s">
        <v>1590</v>
      </c>
      <c r="G7276" t="s">
        <v>1591</v>
      </c>
      <c r="H7276" t="s">
        <v>257</v>
      </c>
      <c r="I7276" t="s">
        <v>1592</v>
      </c>
      <c r="J7276" t="s">
        <v>274</v>
      </c>
      <c r="K7276" t="s">
        <v>1593</v>
      </c>
      <c r="L7276" t="s">
        <v>247</v>
      </c>
      <c r="M7276" t="s">
        <v>1594</v>
      </c>
      <c r="N7276" t="s">
        <v>1595</v>
      </c>
      <c r="O7276" t="s">
        <v>1596</v>
      </c>
      <c r="P7276" t="s">
        <v>1597</v>
      </c>
    </row>
    <row r="7277" spans="1:16">
      <c r="A7277" t="s">
        <v>195</v>
      </c>
      <c r="B7277" t="s">
        <v>196</v>
      </c>
      <c r="C7277">
        <v>234</v>
      </c>
      <c r="D7277" t="s">
        <v>194</v>
      </c>
      <c r="E7277">
        <v>1159</v>
      </c>
      <c r="F7277" s="3">
        <v>0.1348</v>
      </c>
      <c r="G7277" s="3">
        <v>6.4699999999999994E-2</v>
      </c>
      <c r="H7277" s="3">
        <v>6.9999999999999999E-4</v>
      </c>
      <c r="I7277" s="3">
        <v>0.31759999999999999</v>
      </c>
      <c r="J7277" s="3">
        <v>1.6000000000000001E-3</v>
      </c>
      <c r="K7277" s="3">
        <v>0.40679999999999999</v>
      </c>
      <c r="M7277" s="3">
        <v>0.63129999999999997</v>
      </c>
      <c r="N7277" s="3">
        <v>0.27900000000000003</v>
      </c>
      <c r="P7277" s="3">
        <v>7.4999999999999997E-3</v>
      </c>
    </row>
    <row r="7278" spans="1:16">
      <c r="A7278" t="s">
        <v>195</v>
      </c>
      <c r="B7278" t="s">
        <v>198</v>
      </c>
      <c r="C7278">
        <v>382</v>
      </c>
      <c r="D7278" t="s">
        <v>194</v>
      </c>
      <c r="E7278">
        <v>1159</v>
      </c>
      <c r="F7278" s="3">
        <v>0.1527</v>
      </c>
      <c r="G7278" s="3">
        <v>3.56E-2</v>
      </c>
      <c r="H7278" s="3">
        <v>8.8000000000000005E-3</v>
      </c>
      <c r="I7278" s="3">
        <v>0.16209999999999999</v>
      </c>
      <c r="J7278" s="3">
        <v>1.6E-2</v>
      </c>
      <c r="K7278" s="3">
        <v>0.31590000000000001</v>
      </c>
      <c r="M7278" s="3">
        <v>0.72440000000000004</v>
      </c>
      <c r="N7278" s="3">
        <v>0.41799999999999998</v>
      </c>
      <c r="O7278" s="3">
        <v>1.5E-3</v>
      </c>
    </row>
    <row r="7279" spans="1:16">
      <c r="A7279" t="s">
        <v>199</v>
      </c>
      <c r="B7279" t="s">
        <v>196</v>
      </c>
      <c r="C7279">
        <v>219</v>
      </c>
      <c r="D7279" t="s">
        <v>194</v>
      </c>
      <c r="E7279">
        <v>1159</v>
      </c>
      <c r="F7279" s="3">
        <v>1.9099999999999999E-2</v>
      </c>
      <c r="G7279" s="3">
        <v>7.7799999999999994E-2</v>
      </c>
      <c r="H7279" s="3">
        <v>2.8E-3</v>
      </c>
      <c r="I7279" s="3">
        <v>0.22889999999999999</v>
      </c>
      <c r="J7279" s="3">
        <v>4.0000000000000002E-4</v>
      </c>
      <c r="K7279" s="3">
        <v>0.31009999999999999</v>
      </c>
      <c r="M7279" s="3">
        <v>0.79549999999999998</v>
      </c>
      <c r="N7279" s="3">
        <v>0.48280000000000001</v>
      </c>
      <c r="O7279" s="3">
        <v>3.0999999999999999E-3</v>
      </c>
    </row>
    <row r="7280" spans="1:16">
      <c r="A7280" t="s">
        <v>199</v>
      </c>
      <c r="B7280" t="s">
        <v>198</v>
      </c>
      <c r="C7280">
        <v>307</v>
      </c>
      <c r="D7280" t="s">
        <v>194</v>
      </c>
      <c r="E7280">
        <v>1159</v>
      </c>
      <c r="F7280" s="3">
        <v>1.2699999999999999E-2</v>
      </c>
      <c r="G7280" s="3">
        <v>4.65E-2</v>
      </c>
      <c r="H7280" s="3">
        <v>5.0000000000000001E-4</v>
      </c>
      <c r="I7280" s="3">
        <v>0.1231</v>
      </c>
      <c r="J7280" s="3">
        <v>9.9000000000000008E-3</v>
      </c>
      <c r="K7280" s="3">
        <v>0.34260000000000002</v>
      </c>
      <c r="L7280" s="3">
        <v>2.5999999999999999E-3</v>
      </c>
      <c r="M7280" s="3">
        <v>0.879</v>
      </c>
      <c r="N7280" s="3">
        <v>0.436</v>
      </c>
      <c r="P7280" s="3">
        <v>1.1000000000000001E-3</v>
      </c>
    </row>
    <row r="7281" spans="1:16">
      <c r="A7281" t="s">
        <v>200</v>
      </c>
      <c r="B7281" t="s">
        <v>200</v>
      </c>
      <c r="C7281">
        <v>1159</v>
      </c>
      <c r="D7281" t="s">
        <v>200</v>
      </c>
      <c r="E7281">
        <v>1159</v>
      </c>
      <c r="F7281" s="3">
        <v>9.5000000000000001E-2</v>
      </c>
      <c r="G7281" s="3">
        <v>4.7600000000000003E-2</v>
      </c>
      <c r="H7281" s="3">
        <v>4.1999999999999997E-3</v>
      </c>
      <c r="I7281" s="3">
        <v>0.1832</v>
      </c>
      <c r="J7281" s="3">
        <v>1.01E-2</v>
      </c>
      <c r="K7281" s="3">
        <v>0.33979999999999999</v>
      </c>
      <c r="L7281" s="3">
        <v>8.0000000000000004E-4</v>
      </c>
      <c r="M7281" s="3">
        <v>0.76139999999999997</v>
      </c>
      <c r="N7281" s="3">
        <v>0.40489999999999998</v>
      </c>
      <c r="O7281" s="3">
        <v>8.9999999999999998E-4</v>
      </c>
      <c r="P7281" s="3">
        <v>1.6999999999999999E-3</v>
      </c>
    </row>
    <row r="7283" spans="1:16" ht="45">
      <c r="A7283" s="22" t="s">
        <v>1598</v>
      </c>
    </row>
    <row r="7284" spans="1:16">
      <c r="A7284" t="s">
        <v>185</v>
      </c>
      <c r="B7284" t="s">
        <v>186</v>
      </c>
      <c r="C7284" t="s">
        <v>192</v>
      </c>
      <c r="D7284" t="s">
        <v>184</v>
      </c>
      <c r="E7284" t="s">
        <v>193</v>
      </c>
      <c r="F7284" t="s">
        <v>1590</v>
      </c>
      <c r="G7284" t="s">
        <v>1591</v>
      </c>
      <c r="H7284" t="s">
        <v>257</v>
      </c>
      <c r="I7284" t="s">
        <v>1592</v>
      </c>
      <c r="J7284" t="s">
        <v>274</v>
      </c>
      <c r="K7284" t="s">
        <v>1593</v>
      </c>
      <c r="L7284" t="s">
        <v>247</v>
      </c>
      <c r="M7284" t="s">
        <v>1594</v>
      </c>
      <c r="N7284" t="s">
        <v>1595</v>
      </c>
      <c r="O7284" t="s">
        <v>1596</v>
      </c>
      <c r="P7284" t="s">
        <v>1597</v>
      </c>
    </row>
    <row r="7285" spans="1:16">
      <c r="A7285" t="s">
        <v>195</v>
      </c>
      <c r="B7285" t="s">
        <v>202</v>
      </c>
      <c r="C7285">
        <v>261</v>
      </c>
      <c r="D7285" t="s">
        <v>194</v>
      </c>
      <c r="E7285">
        <v>1159</v>
      </c>
      <c r="F7285" s="3">
        <v>0.15210000000000001</v>
      </c>
      <c r="G7285" s="3">
        <v>4.3999999999999997E-2</v>
      </c>
      <c r="H7285" s="3">
        <v>3.2000000000000002E-3</v>
      </c>
      <c r="I7285" s="3">
        <v>0.19639999999999999</v>
      </c>
      <c r="J7285" s="3">
        <v>9.5999999999999992E-3</v>
      </c>
      <c r="K7285" s="3">
        <v>0.37659999999999999</v>
      </c>
      <c r="M7285" s="3">
        <v>0.6996</v>
      </c>
      <c r="N7285" s="3">
        <v>0.40029999999999999</v>
      </c>
    </row>
    <row r="7286" spans="1:16">
      <c r="A7286" t="s">
        <v>195</v>
      </c>
      <c r="B7286" t="s">
        <v>204</v>
      </c>
      <c r="C7286">
        <v>167</v>
      </c>
      <c r="D7286" t="s">
        <v>194</v>
      </c>
      <c r="E7286">
        <v>1159</v>
      </c>
      <c r="F7286" s="3">
        <v>0.14829999999999999</v>
      </c>
      <c r="G7286" s="3">
        <v>4.5400000000000003E-2</v>
      </c>
      <c r="H7286" s="3">
        <v>1.34E-2</v>
      </c>
      <c r="I7286" s="3">
        <v>0.19020000000000001</v>
      </c>
      <c r="J7286" s="3">
        <v>2.01E-2</v>
      </c>
      <c r="K7286" s="3">
        <v>0.21099999999999999</v>
      </c>
      <c r="M7286" s="3">
        <v>0.64659999999999995</v>
      </c>
      <c r="N7286" s="3">
        <v>0.38119999999999998</v>
      </c>
      <c r="P7286" s="3">
        <v>0.01</v>
      </c>
    </row>
    <row r="7287" spans="1:16">
      <c r="A7287" t="s">
        <v>195</v>
      </c>
      <c r="B7287" t="s">
        <v>205</v>
      </c>
      <c r="C7287">
        <v>188</v>
      </c>
      <c r="D7287" t="s">
        <v>194</v>
      </c>
      <c r="E7287">
        <v>1159</v>
      </c>
      <c r="F7287" s="3">
        <v>0.124</v>
      </c>
      <c r="G7287" s="3">
        <v>4.4200000000000003E-2</v>
      </c>
      <c r="H7287" s="3">
        <v>9.1999999999999998E-3</v>
      </c>
      <c r="I7287" s="3">
        <v>0.29530000000000001</v>
      </c>
      <c r="J7287" s="3">
        <v>7.6E-3</v>
      </c>
      <c r="K7287" s="3">
        <v>0.4037</v>
      </c>
      <c r="M7287" s="3">
        <v>0.76349999999999996</v>
      </c>
      <c r="N7287" s="3">
        <v>0.25819999999999999</v>
      </c>
      <c r="O7287" s="3">
        <v>7.6E-3</v>
      </c>
    </row>
    <row r="7288" spans="1:16">
      <c r="A7288" t="s">
        <v>199</v>
      </c>
      <c r="B7288" t="s">
        <v>202</v>
      </c>
      <c r="C7288">
        <v>143</v>
      </c>
      <c r="D7288" t="s">
        <v>194</v>
      </c>
      <c r="E7288">
        <v>1159</v>
      </c>
      <c r="F7288" s="3">
        <v>3.5000000000000001E-3</v>
      </c>
      <c r="G7288" s="3">
        <v>4.9099999999999998E-2</v>
      </c>
      <c r="I7288" s="3">
        <v>0.14480000000000001</v>
      </c>
      <c r="K7288" s="3">
        <v>0.38690000000000002</v>
      </c>
      <c r="L7288" s="3">
        <v>2.8999999999999998E-3</v>
      </c>
      <c r="M7288" s="3">
        <v>0.89810000000000001</v>
      </c>
      <c r="N7288" s="3">
        <v>0.44990000000000002</v>
      </c>
      <c r="O7288" s="3">
        <v>1.1999999999999999E-3</v>
      </c>
    </row>
    <row r="7289" spans="1:16">
      <c r="A7289" t="s">
        <v>199</v>
      </c>
      <c r="B7289" t="s">
        <v>204</v>
      </c>
      <c r="C7289">
        <v>154</v>
      </c>
      <c r="D7289" t="s">
        <v>194</v>
      </c>
      <c r="E7289">
        <v>1159</v>
      </c>
      <c r="F7289" s="3">
        <v>1.18E-2</v>
      </c>
      <c r="G7289" s="3">
        <v>8.5699999999999998E-2</v>
      </c>
      <c r="H7289" s="3">
        <v>2.7000000000000001E-3</v>
      </c>
      <c r="I7289" s="3">
        <v>0.1273</v>
      </c>
      <c r="J7289" s="3">
        <v>1.1999999999999999E-3</v>
      </c>
      <c r="K7289" s="3">
        <v>0.2898</v>
      </c>
      <c r="M7289" s="3">
        <v>0.79190000000000005</v>
      </c>
      <c r="N7289" s="3">
        <v>0.41139999999999999</v>
      </c>
    </row>
    <row r="7290" spans="1:16">
      <c r="A7290" t="s">
        <v>199</v>
      </c>
      <c r="B7290" t="s">
        <v>205</v>
      </c>
      <c r="C7290">
        <v>229</v>
      </c>
      <c r="D7290" t="s">
        <v>194</v>
      </c>
      <c r="E7290">
        <v>1159</v>
      </c>
      <c r="F7290" s="3">
        <v>3.7600000000000001E-2</v>
      </c>
      <c r="G7290" s="3">
        <v>3.85E-2</v>
      </c>
      <c r="H7290" s="3">
        <v>1.8E-3</v>
      </c>
      <c r="I7290" s="3">
        <v>0.15870000000000001</v>
      </c>
      <c r="J7290" s="3">
        <v>2.9000000000000001E-2</v>
      </c>
      <c r="K7290" s="3">
        <v>0.2606</v>
      </c>
      <c r="L7290" s="3">
        <v>1.6000000000000001E-3</v>
      </c>
      <c r="M7290" s="3">
        <v>0.83340000000000003</v>
      </c>
      <c r="N7290" s="3">
        <v>0.4612</v>
      </c>
      <c r="P7290" s="3">
        <v>3.3E-3</v>
      </c>
    </row>
    <row r="7291" spans="1:16">
      <c r="A7291" t="s">
        <v>200</v>
      </c>
      <c r="B7291" t="s">
        <v>200</v>
      </c>
      <c r="C7291">
        <v>1159</v>
      </c>
      <c r="D7291" t="s">
        <v>200</v>
      </c>
      <c r="E7291">
        <v>1159</v>
      </c>
      <c r="F7291" s="3">
        <v>9.5000000000000001E-2</v>
      </c>
      <c r="G7291" s="3">
        <v>4.7600000000000003E-2</v>
      </c>
      <c r="H7291" s="3">
        <v>4.1999999999999997E-3</v>
      </c>
      <c r="I7291" s="3">
        <v>0.1832</v>
      </c>
      <c r="J7291" s="3">
        <v>1.01E-2</v>
      </c>
      <c r="K7291" s="3">
        <v>0.33979999999999999</v>
      </c>
      <c r="L7291" s="3">
        <v>8.0000000000000004E-4</v>
      </c>
      <c r="M7291" s="3">
        <v>0.76139999999999997</v>
      </c>
      <c r="N7291" s="3">
        <v>0.40489999999999998</v>
      </c>
      <c r="O7291" s="3">
        <v>8.9999999999999998E-4</v>
      </c>
      <c r="P7291" s="3">
        <v>1.6999999999999999E-3</v>
      </c>
    </row>
    <row r="7293" spans="1:16" ht="45">
      <c r="A7293" s="22" t="s">
        <v>1599</v>
      </c>
    </row>
    <row r="7294" spans="1:16">
      <c r="A7294" t="s">
        <v>185</v>
      </c>
      <c r="B7294" t="s">
        <v>186</v>
      </c>
      <c r="C7294" t="s">
        <v>192</v>
      </c>
      <c r="D7294" t="s">
        <v>184</v>
      </c>
      <c r="E7294" t="s">
        <v>193</v>
      </c>
      <c r="F7294" t="s">
        <v>1590</v>
      </c>
      <c r="G7294" t="s">
        <v>1591</v>
      </c>
      <c r="H7294" t="s">
        <v>257</v>
      </c>
      <c r="I7294" t="s">
        <v>1592</v>
      </c>
      <c r="J7294" t="s">
        <v>274</v>
      </c>
      <c r="K7294" t="s">
        <v>1593</v>
      </c>
      <c r="L7294" t="s">
        <v>247</v>
      </c>
      <c r="M7294" t="s">
        <v>1594</v>
      </c>
      <c r="N7294" t="s">
        <v>1595</v>
      </c>
      <c r="O7294" t="s">
        <v>1596</v>
      </c>
      <c r="P7294" t="s">
        <v>1597</v>
      </c>
    </row>
    <row r="7295" spans="1:16">
      <c r="A7295" t="s">
        <v>195</v>
      </c>
      <c r="B7295" t="s">
        <v>207</v>
      </c>
      <c r="C7295">
        <v>204</v>
      </c>
      <c r="D7295" t="s">
        <v>194</v>
      </c>
      <c r="E7295">
        <v>1159</v>
      </c>
      <c r="F7295" s="3">
        <v>0.1502</v>
      </c>
      <c r="G7295" s="3">
        <v>5.7500000000000002E-2</v>
      </c>
      <c r="H7295" s="3">
        <v>1.09E-2</v>
      </c>
      <c r="I7295" s="3">
        <v>0.14649999999999999</v>
      </c>
      <c r="J7295" s="3">
        <v>3.3999999999999998E-3</v>
      </c>
      <c r="K7295" s="3">
        <v>0.48270000000000002</v>
      </c>
      <c r="M7295" s="3">
        <v>0.67600000000000005</v>
      </c>
      <c r="N7295" s="3">
        <v>0.29349999999999998</v>
      </c>
      <c r="P7295" s="3">
        <v>6.8999999999999999E-3</v>
      </c>
    </row>
    <row r="7296" spans="1:16">
      <c r="A7296" t="s">
        <v>195</v>
      </c>
      <c r="B7296" t="s">
        <v>209</v>
      </c>
      <c r="C7296">
        <v>422</v>
      </c>
      <c r="D7296" t="s">
        <v>194</v>
      </c>
      <c r="E7296">
        <v>1159</v>
      </c>
      <c r="F7296" s="3">
        <v>0.14649999999999999</v>
      </c>
      <c r="G7296" s="3">
        <v>3.7699999999999997E-2</v>
      </c>
      <c r="H7296" s="3">
        <v>4.1000000000000003E-3</v>
      </c>
      <c r="I7296" s="3">
        <v>0.23749999999999999</v>
      </c>
      <c r="J7296" s="3">
        <v>1.5599999999999999E-2</v>
      </c>
      <c r="K7296" s="3">
        <v>0.2757</v>
      </c>
      <c r="M7296" s="3">
        <v>0.70630000000000004</v>
      </c>
      <c r="N7296" s="3">
        <v>0.41799999999999998</v>
      </c>
      <c r="O7296" s="3">
        <v>1.6000000000000001E-3</v>
      </c>
    </row>
    <row r="7297" spans="1:16">
      <c r="A7297" t="s">
        <v>199</v>
      </c>
      <c r="B7297" t="s">
        <v>207</v>
      </c>
      <c r="C7297">
        <v>158</v>
      </c>
      <c r="D7297" t="s">
        <v>194</v>
      </c>
      <c r="E7297">
        <v>1159</v>
      </c>
      <c r="F7297" s="3">
        <v>0.04</v>
      </c>
      <c r="G7297" s="3">
        <v>3.4200000000000001E-2</v>
      </c>
      <c r="I7297" s="3">
        <v>0.14979999999999999</v>
      </c>
      <c r="K7297" s="3">
        <v>0.44109999999999999</v>
      </c>
      <c r="M7297" s="3">
        <v>0.88749999999999996</v>
      </c>
      <c r="N7297" s="3">
        <v>0.54310000000000003</v>
      </c>
      <c r="P7297" s="3">
        <v>3.5000000000000001E-3</v>
      </c>
    </row>
    <row r="7298" spans="1:16">
      <c r="A7298" t="s">
        <v>199</v>
      </c>
      <c r="B7298" t="s">
        <v>209</v>
      </c>
      <c r="C7298">
        <v>375</v>
      </c>
      <c r="D7298" t="s">
        <v>194</v>
      </c>
      <c r="E7298">
        <v>1159</v>
      </c>
      <c r="F7298" s="3">
        <v>5.4000000000000003E-3</v>
      </c>
      <c r="G7298" s="3">
        <v>5.9200000000000003E-2</v>
      </c>
      <c r="H7298" s="3">
        <v>1.2999999999999999E-3</v>
      </c>
      <c r="I7298" s="3">
        <v>0.14360000000000001</v>
      </c>
      <c r="J7298" s="3">
        <v>1.0500000000000001E-2</v>
      </c>
      <c r="K7298" s="3">
        <v>0.30049999999999999</v>
      </c>
      <c r="L7298" s="3">
        <v>2.7000000000000001E-3</v>
      </c>
      <c r="M7298" s="3">
        <v>0.85229999999999995</v>
      </c>
      <c r="N7298" s="3">
        <v>0.41460000000000002</v>
      </c>
      <c r="O7298" s="3">
        <v>8.9999999999999998E-4</v>
      </c>
    </row>
    <row r="7299" spans="1:16">
      <c r="A7299" t="s">
        <v>200</v>
      </c>
      <c r="B7299" t="s">
        <v>200</v>
      </c>
      <c r="C7299">
        <v>1159</v>
      </c>
      <c r="D7299" t="s">
        <v>200</v>
      </c>
      <c r="E7299">
        <v>1159</v>
      </c>
      <c r="F7299" s="3">
        <v>9.5000000000000001E-2</v>
      </c>
      <c r="G7299" s="3">
        <v>4.7600000000000003E-2</v>
      </c>
      <c r="H7299" s="3">
        <v>4.1999999999999997E-3</v>
      </c>
      <c r="I7299" s="3">
        <v>0.1832</v>
      </c>
      <c r="J7299" s="3">
        <v>1.01E-2</v>
      </c>
      <c r="K7299" s="3">
        <v>0.33979999999999999</v>
      </c>
      <c r="L7299" s="3">
        <v>8.0000000000000004E-4</v>
      </c>
      <c r="M7299" s="3">
        <v>0.76139999999999997</v>
      </c>
      <c r="N7299" s="3">
        <v>0.40489999999999998</v>
      </c>
      <c r="O7299" s="3">
        <v>8.9999999999999998E-4</v>
      </c>
      <c r="P7299" s="3">
        <v>1.6999999999999999E-3</v>
      </c>
    </row>
    <row r="7301" spans="1:16" ht="45">
      <c r="A7301" s="22" t="s">
        <v>1600</v>
      </c>
    </row>
    <row r="7302" spans="1:16">
      <c r="A7302" t="s">
        <v>185</v>
      </c>
      <c r="B7302" t="s">
        <v>192</v>
      </c>
      <c r="C7302" t="s">
        <v>184</v>
      </c>
      <c r="D7302" t="s">
        <v>193</v>
      </c>
      <c r="E7302" t="s">
        <v>1590</v>
      </c>
      <c r="F7302" t="s">
        <v>1591</v>
      </c>
      <c r="G7302" t="s">
        <v>257</v>
      </c>
      <c r="H7302" t="s">
        <v>1592</v>
      </c>
      <c r="I7302" t="s">
        <v>274</v>
      </c>
      <c r="J7302" t="s">
        <v>1593</v>
      </c>
      <c r="K7302" t="s">
        <v>247</v>
      </c>
      <c r="L7302" t="s">
        <v>1594</v>
      </c>
      <c r="M7302" t="s">
        <v>1595</v>
      </c>
      <c r="N7302" t="s">
        <v>1596</v>
      </c>
      <c r="O7302" t="s">
        <v>1597</v>
      </c>
    </row>
    <row r="7303" spans="1:16">
      <c r="A7303" t="s">
        <v>195</v>
      </c>
      <c r="B7303">
        <v>626</v>
      </c>
      <c r="C7303" t="s">
        <v>194</v>
      </c>
      <c r="D7303">
        <v>1159</v>
      </c>
      <c r="E7303" s="3">
        <v>0.1477</v>
      </c>
      <c r="F7303" s="3">
        <v>4.41E-2</v>
      </c>
      <c r="G7303" s="3">
        <v>6.3E-3</v>
      </c>
      <c r="H7303" s="3">
        <v>0.20810000000000001</v>
      </c>
      <c r="I7303" s="3">
        <v>1.1599999999999999E-2</v>
      </c>
      <c r="J7303" s="3">
        <v>0.34260000000000002</v>
      </c>
      <c r="L7303" s="3">
        <v>0.69650000000000001</v>
      </c>
      <c r="M7303" s="3">
        <v>0.37769999999999998</v>
      </c>
      <c r="N7303" s="3">
        <v>1.1000000000000001E-3</v>
      </c>
      <c r="O7303" s="3">
        <v>2.2000000000000001E-3</v>
      </c>
    </row>
    <row r="7304" spans="1:16">
      <c r="A7304" t="s">
        <v>199</v>
      </c>
      <c r="B7304">
        <v>533</v>
      </c>
      <c r="C7304" t="s">
        <v>194</v>
      </c>
      <c r="D7304">
        <v>1159</v>
      </c>
      <c r="E7304" s="3">
        <v>1.4E-2</v>
      </c>
      <c r="F7304" s="3">
        <v>5.2999999999999999E-2</v>
      </c>
      <c r="G7304" s="3">
        <v>1E-3</v>
      </c>
      <c r="H7304" s="3">
        <v>0.14510000000000001</v>
      </c>
      <c r="I7304" s="3">
        <v>7.9000000000000008E-3</v>
      </c>
      <c r="J7304" s="3">
        <v>0.33539999999999998</v>
      </c>
      <c r="K7304" s="3">
        <v>2E-3</v>
      </c>
      <c r="L7304" s="3">
        <v>0.86099999999999999</v>
      </c>
      <c r="M7304" s="3">
        <v>0.4466</v>
      </c>
      <c r="N7304" s="3">
        <v>6.9999999999999999E-4</v>
      </c>
      <c r="O7304" s="3">
        <v>8.9999999999999998E-4</v>
      </c>
    </row>
    <row r="7305" spans="1:16">
      <c r="A7305" t="s">
        <v>200</v>
      </c>
      <c r="B7305">
        <v>1159</v>
      </c>
      <c r="C7305" t="s">
        <v>200</v>
      </c>
      <c r="D7305">
        <v>1159</v>
      </c>
      <c r="E7305" s="3">
        <v>9.5000000000000001E-2</v>
      </c>
      <c r="F7305" s="3">
        <v>4.7600000000000003E-2</v>
      </c>
      <c r="G7305" s="3">
        <v>4.1999999999999997E-3</v>
      </c>
      <c r="H7305" s="3">
        <v>0.1832</v>
      </c>
      <c r="I7305" s="3">
        <v>1.01E-2</v>
      </c>
      <c r="J7305" s="3">
        <v>0.33979999999999999</v>
      </c>
      <c r="K7305" s="3">
        <v>8.0000000000000004E-4</v>
      </c>
      <c r="L7305" s="3">
        <v>0.76139999999999997</v>
      </c>
      <c r="M7305" s="3">
        <v>0.40489999999999998</v>
      </c>
      <c r="N7305" s="3">
        <v>8.9999999999999998E-4</v>
      </c>
      <c r="O7305" s="3">
        <v>1.6999999999999999E-3</v>
      </c>
    </row>
    <row r="7307" spans="1:16" ht="45">
      <c r="A7307" s="22" t="s">
        <v>1601</v>
      </c>
    </row>
    <row r="7308" spans="1:16">
      <c r="A7308" t="s">
        <v>185</v>
      </c>
      <c r="B7308" t="s">
        <v>186</v>
      </c>
      <c r="C7308" t="s">
        <v>192</v>
      </c>
      <c r="D7308" t="s">
        <v>184</v>
      </c>
      <c r="E7308" t="s">
        <v>193</v>
      </c>
      <c r="F7308" t="s">
        <v>1590</v>
      </c>
      <c r="G7308" t="s">
        <v>1591</v>
      </c>
      <c r="H7308" t="s">
        <v>257</v>
      </c>
      <c r="I7308" t="s">
        <v>1592</v>
      </c>
      <c r="J7308" t="s">
        <v>274</v>
      </c>
      <c r="K7308" t="s">
        <v>1593</v>
      </c>
      <c r="L7308" t="s">
        <v>247</v>
      </c>
      <c r="M7308" t="s">
        <v>1594</v>
      </c>
      <c r="N7308" t="s">
        <v>1595</v>
      </c>
      <c r="O7308" t="s">
        <v>1596</v>
      </c>
      <c r="P7308" t="s">
        <v>1597</v>
      </c>
    </row>
    <row r="7309" spans="1:16">
      <c r="A7309" t="s">
        <v>195</v>
      </c>
      <c r="B7309" t="s">
        <v>212</v>
      </c>
      <c r="C7309">
        <v>450</v>
      </c>
      <c r="D7309" t="s">
        <v>194</v>
      </c>
      <c r="E7309">
        <v>1159</v>
      </c>
      <c r="F7309" s="3">
        <v>0.1736</v>
      </c>
      <c r="G7309" s="3">
        <v>4.2299999999999997E-2</v>
      </c>
      <c r="H7309" s="3">
        <v>7.9000000000000008E-3</v>
      </c>
      <c r="I7309" s="3">
        <v>0.189</v>
      </c>
      <c r="J7309" s="3">
        <v>1.5599999999999999E-2</v>
      </c>
      <c r="K7309" s="3">
        <v>0.29170000000000001</v>
      </c>
      <c r="M7309" s="3">
        <v>0.70860000000000001</v>
      </c>
      <c r="N7309" s="3">
        <v>0.40720000000000001</v>
      </c>
      <c r="O7309" s="3">
        <v>1.4E-3</v>
      </c>
      <c r="P7309" s="3">
        <v>3.0000000000000001E-3</v>
      </c>
    </row>
    <row r="7310" spans="1:16">
      <c r="A7310" t="s">
        <v>195</v>
      </c>
      <c r="B7310" t="s">
        <v>214</v>
      </c>
      <c r="C7310">
        <v>98</v>
      </c>
      <c r="D7310" t="s">
        <v>194</v>
      </c>
      <c r="E7310">
        <v>1159</v>
      </c>
      <c r="F7310" s="3">
        <v>4.6399999999999997E-2</v>
      </c>
      <c r="G7310" s="3">
        <v>3.2500000000000001E-2</v>
      </c>
      <c r="I7310" s="3">
        <v>0.26979999999999998</v>
      </c>
      <c r="K7310" s="3">
        <v>0.5212</v>
      </c>
      <c r="M7310" s="3">
        <v>0.62819999999999998</v>
      </c>
      <c r="N7310" s="3">
        <v>0.1973</v>
      </c>
    </row>
    <row r="7311" spans="1:16">
      <c r="A7311" t="s">
        <v>195</v>
      </c>
      <c r="B7311" t="s">
        <v>215</v>
      </c>
      <c r="C7311">
        <v>78</v>
      </c>
      <c r="D7311" t="s">
        <v>194</v>
      </c>
      <c r="E7311">
        <v>1159</v>
      </c>
      <c r="F7311" s="3">
        <v>0.1173</v>
      </c>
      <c r="G7311" s="3">
        <v>7.9699999999999993E-2</v>
      </c>
      <c r="H7311" s="3">
        <v>5.1000000000000004E-3</v>
      </c>
      <c r="I7311" s="3">
        <v>0.253</v>
      </c>
      <c r="K7311" s="3">
        <v>0.43809999999999999</v>
      </c>
      <c r="M7311" s="3">
        <v>0.71930000000000005</v>
      </c>
      <c r="N7311" s="3">
        <v>0.45989999999999998</v>
      </c>
    </row>
    <row r="7312" spans="1:16">
      <c r="A7312" t="s">
        <v>199</v>
      </c>
      <c r="B7312" t="s">
        <v>212</v>
      </c>
      <c r="C7312">
        <v>391</v>
      </c>
      <c r="D7312" t="s">
        <v>194</v>
      </c>
      <c r="E7312">
        <v>1159</v>
      </c>
      <c r="F7312" s="3">
        <v>1.3299999999999999E-2</v>
      </c>
      <c r="G7312" s="3">
        <v>5.1499999999999997E-2</v>
      </c>
      <c r="H7312" s="3">
        <v>1.1999999999999999E-3</v>
      </c>
      <c r="I7312" s="3">
        <v>0.15409999999999999</v>
      </c>
      <c r="J7312" s="3">
        <v>1E-3</v>
      </c>
      <c r="K7312" s="3">
        <v>0.31290000000000001</v>
      </c>
      <c r="L7312" s="3">
        <v>5.9999999999999995E-4</v>
      </c>
      <c r="M7312" s="3">
        <v>0.85499999999999998</v>
      </c>
      <c r="N7312" s="3">
        <v>0.4415</v>
      </c>
      <c r="O7312" s="3">
        <v>8.9999999999999998E-4</v>
      </c>
      <c r="P7312" s="3">
        <v>1.1999999999999999E-3</v>
      </c>
    </row>
    <row r="7313" spans="1:16">
      <c r="A7313" t="s">
        <v>199</v>
      </c>
      <c r="B7313" t="s">
        <v>214</v>
      </c>
      <c r="C7313">
        <v>75</v>
      </c>
      <c r="D7313" t="s">
        <v>194</v>
      </c>
      <c r="E7313">
        <v>1159</v>
      </c>
      <c r="F7313" s="3">
        <v>4.7000000000000002E-3</v>
      </c>
      <c r="G7313" s="3">
        <v>4.5199999999999997E-2</v>
      </c>
      <c r="H7313" s="3">
        <v>4.0000000000000002E-4</v>
      </c>
      <c r="I7313" s="3">
        <v>0.06</v>
      </c>
      <c r="J7313" s="3">
        <v>4.48E-2</v>
      </c>
      <c r="K7313" s="3">
        <v>0.4269</v>
      </c>
      <c r="M7313" s="3">
        <v>0.88719999999999999</v>
      </c>
      <c r="N7313" s="3">
        <v>0.30159999999999998</v>
      </c>
    </row>
    <row r="7314" spans="1:16">
      <c r="A7314" t="s">
        <v>199</v>
      </c>
      <c r="B7314" t="s">
        <v>215</v>
      </c>
      <c r="C7314">
        <v>67</v>
      </c>
      <c r="D7314" t="s">
        <v>194</v>
      </c>
      <c r="E7314">
        <v>1159</v>
      </c>
      <c r="F7314" s="3">
        <v>3.5400000000000001E-2</v>
      </c>
      <c r="G7314" s="3">
        <v>7.8299999999999995E-2</v>
      </c>
      <c r="I7314" s="3">
        <v>0.21890000000000001</v>
      </c>
      <c r="K7314" s="3">
        <v>0.35970000000000002</v>
      </c>
      <c r="L7314" s="3">
        <v>1.7299999999999999E-2</v>
      </c>
      <c r="M7314" s="3">
        <v>0.8649</v>
      </c>
      <c r="N7314" s="3">
        <v>0.73660000000000003</v>
      </c>
    </row>
    <row r="7315" spans="1:16">
      <c r="A7315" t="s">
        <v>200</v>
      </c>
      <c r="B7315" t="s">
        <v>200</v>
      </c>
      <c r="C7315">
        <v>1159</v>
      </c>
      <c r="D7315" t="s">
        <v>200</v>
      </c>
      <c r="E7315">
        <v>1159</v>
      </c>
      <c r="F7315" s="3">
        <v>9.5000000000000001E-2</v>
      </c>
      <c r="G7315" s="3">
        <v>4.7600000000000003E-2</v>
      </c>
      <c r="H7315" s="3">
        <v>4.1999999999999997E-3</v>
      </c>
      <c r="I7315" s="3">
        <v>0.1832</v>
      </c>
      <c r="J7315" s="3">
        <v>1.01E-2</v>
      </c>
      <c r="K7315" s="3">
        <v>0.33979999999999999</v>
      </c>
      <c r="L7315" s="3">
        <v>8.0000000000000004E-4</v>
      </c>
      <c r="M7315" s="3">
        <v>0.76139999999999997</v>
      </c>
      <c r="N7315" s="3">
        <v>0.40489999999999998</v>
      </c>
      <c r="O7315" s="3">
        <v>8.9999999999999998E-4</v>
      </c>
      <c r="P7315" s="3">
        <v>1.6999999999999999E-3</v>
      </c>
    </row>
    <row r="7317" spans="1:16" ht="45">
      <c r="A7317" s="22" t="s">
        <v>1602</v>
      </c>
    </row>
    <row r="7318" spans="1:16">
      <c r="A7318" t="s">
        <v>185</v>
      </c>
      <c r="B7318" t="s">
        <v>186</v>
      </c>
      <c r="C7318" t="s">
        <v>192</v>
      </c>
      <c r="D7318" t="s">
        <v>184</v>
      </c>
      <c r="E7318" t="s">
        <v>193</v>
      </c>
      <c r="F7318" t="s">
        <v>1590</v>
      </c>
      <c r="G7318" t="s">
        <v>1591</v>
      </c>
      <c r="H7318" t="s">
        <v>257</v>
      </c>
      <c r="I7318" t="s">
        <v>1592</v>
      </c>
      <c r="J7318" t="s">
        <v>274</v>
      </c>
      <c r="K7318" t="s">
        <v>1593</v>
      </c>
      <c r="L7318" t="s">
        <v>247</v>
      </c>
      <c r="M7318" t="s">
        <v>1594</v>
      </c>
      <c r="N7318" t="s">
        <v>1595</v>
      </c>
      <c r="O7318" t="s">
        <v>1596</v>
      </c>
      <c r="P7318" t="s">
        <v>1597</v>
      </c>
    </row>
    <row r="7319" spans="1:16">
      <c r="A7319" t="s">
        <v>195</v>
      </c>
      <c r="B7319" t="s">
        <v>217</v>
      </c>
      <c r="C7319">
        <v>256</v>
      </c>
      <c r="D7319" t="s">
        <v>194</v>
      </c>
      <c r="E7319">
        <v>1159</v>
      </c>
      <c r="F7319" s="3">
        <v>0.1535</v>
      </c>
      <c r="G7319" s="3">
        <v>3.2300000000000002E-2</v>
      </c>
      <c r="H7319" s="3">
        <v>1.06E-2</v>
      </c>
      <c r="I7319" s="3">
        <v>0.1734</v>
      </c>
      <c r="J7319" s="3">
        <v>5.4000000000000003E-3</v>
      </c>
      <c r="K7319" s="3">
        <v>0.29199999999999998</v>
      </c>
      <c r="M7319" s="3">
        <v>0.69130000000000003</v>
      </c>
      <c r="N7319" s="3">
        <v>0.47639999999999999</v>
      </c>
      <c r="O7319" s="3">
        <v>2.5999999999999999E-3</v>
      </c>
      <c r="P7319" s="3">
        <v>5.5999999999999999E-3</v>
      </c>
    </row>
    <row r="7320" spans="1:16">
      <c r="A7320" t="s">
        <v>195</v>
      </c>
      <c r="B7320" t="s">
        <v>219</v>
      </c>
      <c r="C7320">
        <v>300</v>
      </c>
      <c r="D7320" t="s">
        <v>194</v>
      </c>
      <c r="E7320">
        <v>1159</v>
      </c>
      <c r="F7320" s="3">
        <v>0.1419</v>
      </c>
      <c r="G7320" s="3">
        <v>4.9700000000000001E-2</v>
      </c>
      <c r="H7320" s="3">
        <v>3.8999999999999998E-3</v>
      </c>
      <c r="I7320" s="3">
        <v>0.17860000000000001</v>
      </c>
      <c r="J7320" s="3">
        <v>1.6299999999999999E-2</v>
      </c>
      <c r="K7320" s="3">
        <v>0.42659999999999998</v>
      </c>
      <c r="M7320" s="3">
        <v>0.68169999999999997</v>
      </c>
      <c r="N7320" s="3">
        <v>0.27029999999999998</v>
      </c>
    </row>
    <row r="7321" spans="1:16">
      <c r="A7321" t="s">
        <v>195</v>
      </c>
      <c r="B7321" t="s">
        <v>220</v>
      </c>
      <c r="C7321">
        <v>69</v>
      </c>
      <c r="D7321" t="s">
        <v>194</v>
      </c>
      <c r="E7321">
        <v>1159</v>
      </c>
      <c r="F7321" s="3">
        <v>0.1507</v>
      </c>
      <c r="G7321" s="3">
        <v>6.0499999999999998E-2</v>
      </c>
      <c r="H7321" s="3">
        <v>1.6999999999999999E-3</v>
      </c>
      <c r="I7321" s="3">
        <v>0.4249</v>
      </c>
      <c r="J7321" s="3">
        <v>1.4200000000000001E-2</v>
      </c>
      <c r="K7321" s="3">
        <v>0.19289999999999999</v>
      </c>
      <c r="M7321" s="3">
        <v>0.76739999999999997</v>
      </c>
      <c r="N7321" s="3">
        <v>0.46310000000000001</v>
      </c>
    </row>
    <row r="7322" spans="1:16">
      <c r="A7322" t="s">
        <v>199</v>
      </c>
      <c r="B7322" t="s">
        <v>217</v>
      </c>
      <c r="C7322">
        <v>255</v>
      </c>
      <c r="D7322" t="s">
        <v>194</v>
      </c>
      <c r="E7322">
        <v>1159</v>
      </c>
      <c r="F7322" s="3">
        <v>2.2100000000000002E-2</v>
      </c>
      <c r="G7322" s="3">
        <v>2.4E-2</v>
      </c>
      <c r="H7322" s="3">
        <v>8.9999999999999998E-4</v>
      </c>
      <c r="I7322" s="3">
        <v>0.14899999999999999</v>
      </c>
      <c r="K7322" s="3">
        <v>0.3271</v>
      </c>
      <c r="L7322" s="3">
        <v>3.0000000000000001E-3</v>
      </c>
      <c r="M7322" s="3">
        <v>0.88600000000000001</v>
      </c>
      <c r="N7322" s="3">
        <v>0.51170000000000004</v>
      </c>
      <c r="O7322" s="3">
        <v>1.1999999999999999E-3</v>
      </c>
      <c r="P7322" s="3">
        <v>8.0000000000000004E-4</v>
      </c>
    </row>
    <row r="7323" spans="1:16">
      <c r="A7323" t="s">
        <v>199</v>
      </c>
      <c r="B7323" t="s">
        <v>219</v>
      </c>
      <c r="C7323">
        <v>205</v>
      </c>
      <c r="D7323" t="s">
        <v>194</v>
      </c>
      <c r="E7323">
        <v>1159</v>
      </c>
      <c r="F7323" s="3">
        <v>3.8E-3</v>
      </c>
      <c r="G7323" s="3">
        <v>0.1022</v>
      </c>
      <c r="H7323" s="3">
        <v>1.4E-3</v>
      </c>
      <c r="I7323" s="3">
        <v>0.1464</v>
      </c>
      <c r="J7323" s="3">
        <v>1.9E-3</v>
      </c>
      <c r="K7323" s="3">
        <v>0.42299999999999999</v>
      </c>
      <c r="L7323" s="3">
        <v>1.2999999999999999E-3</v>
      </c>
      <c r="M7323" s="3">
        <v>0.82709999999999995</v>
      </c>
      <c r="N7323" s="3">
        <v>0.33679999999999999</v>
      </c>
    </row>
    <row r="7324" spans="1:16">
      <c r="A7324" t="s">
        <v>199</v>
      </c>
      <c r="B7324" t="s">
        <v>220</v>
      </c>
      <c r="C7324">
        <v>73</v>
      </c>
      <c r="D7324" t="s">
        <v>194</v>
      </c>
      <c r="E7324">
        <v>1159</v>
      </c>
      <c r="F7324" s="3">
        <v>5.7999999999999996E-3</v>
      </c>
      <c r="G7324" s="3">
        <v>4.8899999999999999E-2</v>
      </c>
      <c r="I7324" s="3">
        <v>0.1255</v>
      </c>
      <c r="J7324" s="3">
        <v>5.5899999999999998E-2</v>
      </c>
      <c r="K7324" s="3">
        <v>0.14779999999999999</v>
      </c>
      <c r="M7324" s="3">
        <v>0.84289999999999998</v>
      </c>
      <c r="N7324" s="3">
        <v>0.45279999999999998</v>
      </c>
      <c r="P7324" s="3">
        <v>3.0999999999999999E-3</v>
      </c>
    </row>
    <row r="7325" spans="1:16">
      <c r="A7325" t="s">
        <v>200</v>
      </c>
      <c r="B7325" t="s">
        <v>200</v>
      </c>
      <c r="C7325">
        <v>1159</v>
      </c>
      <c r="D7325" t="s">
        <v>200</v>
      </c>
      <c r="E7325">
        <v>1159</v>
      </c>
      <c r="F7325" s="3">
        <v>9.5000000000000001E-2</v>
      </c>
      <c r="G7325" s="3">
        <v>4.7600000000000003E-2</v>
      </c>
      <c r="H7325" s="3">
        <v>4.1999999999999997E-3</v>
      </c>
      <c r="I7325" s="3">
        <v>0.1832</v>
      </c>
      <c r="J7325" s="3">
        <v>1.01E-2</v>
      </c>
      <c r="K7325" s="3">
        <v>0.33979999999999999</v>
      </c>
      <c r="L7325" s="3">
        <v>8.0000000000000004E-4</v>
      </c>
      <c r="M7325" s="3">
        <v>0.76139999999999997</v>
      </c>
      <c r="N7325" s="3">
        <v>0.40489999999999998</v>
      </c>
      <c r="O7325" s="3">
        <v>8.9999999999999998E-4</v>
      </c>
      <c r="P7325" s="3">
        <v>1.6999999999999999E-3</v>
      </c>
    </row>
    <row r="7327" spans="1:16" ht="30">
      <c r="A7327" s="22" t="s">
        <v>1603</v>
      </c>
    </row>
    <row r="7328" spans="1:16">
      <c r="A7328" t="s">
        <v>185</v>
      </c>
      <c r="B7328" t="s">
        <v>186</v>
      </c>
      <c r="C7328" t="s">
        <v>192</v>
      </c>
      <c r="D7328" t="s">
        <v>184</v>
      </c>
      <c r="E7328" t="s">
        <v>193</v>
      </c>
      <c r="F7328" t="s">
        <v>1604</v>
      </c>
      <c r="G7328" t="s">
        <v>1605</v>
      </c>
      <c r="H7328" t="s">
        <v>1606</v>
      </c>
    </row>
    <row r="7329" spans="1:8">
      <c r="A7329" t="s">
        <v>195</v>
      </c>
      <c r="B7329" t="s">
        <v>196</v>
      </c>
      <c r="C7329">
        <v>348</v>
      </c>
      <c r="D7329" t="s">
        <v>194</v>
      </c>
      <c r="E7329">
        <v>2257</v>
      </c>
      <c r="F7329" s="3">
        <v>0.1153</v>
      </c>
      <c r="G7329" s="3">
        <v>0.54859999999999998</v>
      </c>
      <c r="H7329" s="3">
        <v>0.3362</v>
      </c>
    </row>
    <row r="7330" spans="1:8">
      <c r="A7330" t="s">
        <v>195</v>
      </c>
      <c r="B7330" t="s">
        <v>198</v>
      </c>
      <c r="C7330">
        <v>621</v>
      </c>
      <c r="D7330" t="s">
        <v>194</v>
      </c>
      <c r="E7330">
        <v>2257</v>
      </c>
      <c r="F7330" s="3">
        <v>8.3400000000000002E-2</v>
      </c>
      <c r="G7330" s="3">
        <v>0.58550000000000002</v>
      </c>
      <c r="H7330" s="3">
        <v>0.33110000000000001</v>
      </c>
    </row>
    <row r="7331" spans="1:8">
      <c r="A7331" t="s">
        <v>199</v>
      </c>
      <c r="B7331" t="s">
        <v>196</v>
      </c>
      <c r="C7331">
        <v>442</v>
      </c>
      <c r="D7331" t="s">
        <v>194</v>
      </c>
      <c r="E7331">
        <v>2257</v>
      </c>
      <c r="F7331" s="3">
        <v>4.0500000000000001E-2</v>
      </c>
      <c r="G7331" s="3">
        <v>0.82499999999999996</v>
      </c>
      <c r="H7331" s="3">
        <v>0.13450000000000001</v>
      </c>
    </row>
    <row r="7332" spans="1:8">
      <c r="A7332" t="s">
        <v>199</v>
      </c>
      <c r="B7332" t="s">
        <v>198</v>
      </c>
      <c r="C7332">
        <v>814</v>
      </c>
      <c r="D7332" t="s">
        <v>194</v>
      </c>
      <c r="E7332">
        <v>2257</v>
      </c>
      <c r="F7332" s="3">
        <v>2.01E-2</v>
      </c>
      <c r="G7332" s="3">
        <v>0.81889999999999996</v>
      </c>
      <c r="H7332" s="3">
        <v>0.161</v>
      </c>
    </row>
    <row r="7333" spans="1:8">
      <c r="A7333" t="s">
        <v>200</v>
      </c>
      <c r="B7333" t="s">
        <v>200</v>
      </c>
      <c r="C7333">
        <v>2257</v>
      </c>
      <c r="D7333" t="s">
        <v>200</v>
      </c>
      <c r="E7333">
        <v>2257</v>
      </c>
      <c r="F7333" s="3">
        <v>5.3199999999999997E-2</v>
      </c>
      <c r="G7333" s="3">
        <v>0.71340000000000003</v>
      </c>
      <c r="H7333" s="3">
        <v>0.2334</v>
      </c>
    </row>
    <row r="7335" spans="1:8" ht="45">
      <c r="A7335" s="22" t="s">
        <v>1607</v>
      </c>
    </row>
    <row r="7336" spans="1:8">
      <c r="A7336" t="s">
        <v>185</v>
      </c>
      <c r="B7336" t="s">
        <v>186</v>
      </c>
      <c r="C7336" t="s">
        <v>192</v>
      </c>
      <c r="D7336" t="s">
        <v>184</v>
      </c>
      <c r="E7336" t="s">
        <v>193</v>
      </c>
      <c r="F7336" t="s">
        <v>1604</v>
      </c>
      <c r="G7336" t="s">
        <v>1605</v>
      </c>
      <c r="H7336" t="s">
        <v>1606</v>
      </c>
    </row>
    <row r="7337" spans="1:8">
      <c r="A7337" t="s">
        <v>195</v>
      </c>
      <c r="B7337" t="s">
        <v>202</v>
      </c>
      <c r="C7337">
        <v>459</v>
      </c>
      <c r="D7337" t="s">
        <v>194</v>
      </c>
      <c r="E7337">
        <v>2257</v>
      </c>
      <c r="F7337" s="3">
        <v>8.3799999999999999E-2</v>
      </c>
      <c r="G7337" s="3">
        <v>0.58289999999999997</v>
      </c>
      <c r="H7337" s="3">
        <v>0.33329999999999999</v>
      </c>
    </row>
    <row r="7338" spans="1:8">
      <c r="A7338" t="s">
        <v>195</v>
      </c>
      <c r="B7338" t="s">
        <v>204</v>
      </c>
      <c r="C7338">
        <v>264</v>
      </c>
      <c r="D7338" t="s">
        <v>194</v>
      </c>
      <c r="E7338">
        <v>2257</v>
      </c>
      <c r="F7338" s="3">
        <v>0.1013</v>
      </c>
      <c r="G7338" s="3">
        <v>0.56540000000000001</v>
      </c>
      <c r="H7338" s="3">
        <v>0.33329999999999999</v>
      </c>
    </row>
    <row r="7339" spans="1:8">
      <c r="A7339" t="s">
        <v>195</v>
      </c>
      <c r="B7339" t="s">
        <v>205</v>
      </c>
      <c r="C7339">
        <v>246</v>
      </c>
      <c r="D7339" t="s">
        <v>194</v>
      </c>
      <c r="E7339">
        <v>2257</v>
      </c>
      <c r="F7339" s="3">
        <v>0.1168</v>
      </c>
      <c r="G7339" s="3">
        <v>0.55620000000000003</v>
      </c>
      <c r="H7339" s="3">
        <v>0.3271</v>
      </c>
    </row>
    <row r="7340" spans="1:8">
      <c r="A7340" t="s">
        <v>199</v>
      </c>
      <c r="B7340" t="s">
        <v>202</v>
      </c>
      <c r="C7340">
        <v>466</v>
      </c>
      <c r="D7340" t="s">
        <v>194</v>
      </c>
      <c r="E7340">
        <v>2257</v>
      </c>
      <c r="F7340" s="3">
        <v>2.3E-2</v>
      </c>
      <c r="G7340" s="3">
        <v>0.84040000000000004</v>
      </c>
      <c r="H7340" s="3">
        <v>0.1366</v>
      </c>
    </row>
    <row r="7341" spans="1:8">
      <c r="A7341" t="s">
        <v>199</v>
      </c>
      <c r="B7341" t="s">
        <v>204</v>
      </c>
      <c r="C7341">
        <v>374</v>
      </c>
      <c r="D7341" t="s">
        <v>194</v>
      </c>
      <c r="E7341">
        <v>2257</v>
      </c>
      <c r="F7341" s="3">
        <v>2.2700000000000001E-2</v>
      </c>
      <c r="G7341" s="3">
        <v>0.82389999999999997</v>
      </c>
      <c r="H7341" s="3">
        <v>0.15340000000000001</v>
      </c>
    </row>
    <row r="7342" spans="1:8">
      <c r="A7342" t="s">
        <v>199</v>
      </c>
      <c r="B7342" t="s">
        <v>205</v>
      </c>
      <c r="C7342">
        <v>416</v>
      </c>
      <c r="D7342" t="s">
        <v>194</v>
      </c>
      <c r="E7342">
        <v>2257</v>
      </c>
      <c r="F7342" s="3">
        <v>2.7099999999999999E-2</v>
      </c>
      <c r="G7342" s="3">
        <v>0.7429</v>
      </c>
      <c r="H7342" s="3">
        <v>0.23</v>
      </c>
    </row>
    <row r="7343" spans="1:8">
      <c r="A7343" t="s">
        <v>200</v>
      </c>
      <c r="B7343" t="s">
        <v>200</v>
      </c>
      <c r="C7343">
        <v>2257</v>
      </c>
      <c r="D7343" t="s">
        <v>200</v>
      </c>
      <c r="E7343">
        <v>2257</v>
      </c>
      <c r="F7343" s="3">
        <v>5.3199999999999997E-2</v>
      </c>
      <c r="G7343" s="3">
        <v>0.71340000000000003</v>
      </c>
      <c r="H7343" s="3">
        <v>0.2334</v>
      </c>
    </row>
    <row r="7345" spans="1:8" ht="30">
      <c r="A7345" s="22" t="s">
        <v>1608</v>
      </c>
    </row>
    <row r="7346" spans="1:8">
      <c r="A7346" t="s">
        <v>185</v>
      </c>
      <c r="B7346" t="s">
        <v>186</v>
      </c>
      <c r="C7346" t="s">
        <v>192</v>
      </c>
      <c r="D7346" t="s">
        <v>184</v>
      </c>
      <c r="E7346" t="s">
        <v>193</v>
      </c>
      <c r="F7346" t="s">
        <v>1604</v>
      </c>
      <c r="G7346" t="s">
        <v>1605</v>
      </c>
      <c r="H7346" t="s">
        <v>1606</v>
      </c>
    </row>
    <row r="7347" spans="1:8">
      <c r="A7347" t="s">
        <v>195</v>
      </c>
      <c r="B7347" t="s">
        <v>207</v>
      </c>
      <c r="C7347">
        <v>258</v>
      </c>
      <c r="D7347" t="s">
        <v>194</v>
      </c>
      <c r="E7347">
        <v>2257</v>
      </c>
      <c r="F7347" s="3">
        <v>0.113</v>
      </c>
      <c r="G7347" s="3">
        <v>0.44109999999999999</v>
      </c>
      <c r="H7347" s="3">
        <v>0.44579999999999997</v>
      </c>
    </row>
    <row r="7348" spans="1:8">
      <c r="A7348" t="s">
        <v>195</v>
      </c>
      <c r="B7348" t="s">
        <v>209</v>
      </c>
      <c r="C7348">
        <v>728</v>
      </c>
      <c r="D7348" t="s">
        <v>194</v>
      </c>
      <c r="E7348">
        <v>2257</v>
      </c>
      <c r="F7348" s="3">
        <v>8.4900000000000003E-2</v>
      </c>
      <c r="G7348" s="3">
        <v>0.61819999999999997</v>
      </c>
      <c r="H7348" s="3">
        <v>0.2969</v>
      </c>
    </row>
    <row r="7349" spans="1:8">
      <c r="A7349" t="s">
        <v>199</v>
      </c>
      <c r="B7349" t="s">
        <v>207</v>
      </c>
      <c r="C7349">
        <v>217</v>
      </c>
      <c r="D7349" t="s">
        <v>194</v>
      </c>
      <c r="E7349">
        <v>2257</v>
      </c>
      <c r="F7349" s="3">
        <v>0.10489999999999999</v>
      </c>
      <c r="G7349" s="3">
        <v>0.58599999999999997</v>
      </c>
      <c r="H7349" s="3">
        <v>0.30909999999999999</v>
      </c>
    </row>
    <row r="7350" spans="1:8">
      <c r="A7350" t="s">
        <v>199</v>
      </c>
      <c r="B7350" t="s">
        <v>209</v>
      </c>
      <c r="C7350">
        <v>1054</v>
      </c>
      <c r="D7350" t="s">
        <v>194</v>
      </c>
      <c r="E7350">
        <v>2257</v>
      </c>
      <c r="F7350" s="3">
        <v>1.49E-2</v>
      </c>
      <c r="G7350" s="3">
        <v>0.84509999999999996</v>
      </c>
      <c r="H7350" s="3">
        <v>0.1401</v>
      </c>
    </row>
    <row r="7351" spans="1:8">
      <c r="A7351" t="s">
        <v>200</v>
      </c>
      <c r="B7351" t="s">
        <v>200</v>
      </c>
      <c r="C7351">
        <v>2257</v>
      </c>
      <c r="D7351" t="s">
        <v>200</v>
      </c>
      <c r="E7351">
        <v>2257</v>
      </c>
      <c r="F7351" s="3">
        <v>5.3199999999999997E-2</v>
      </c>
      <c r="G7351" s="3">
        <v>0.71340000000000003</v>
      </c>
      <c r="H7351" s="3">
        <v>0.2334</v>
      </c>
    </row>
    <row r="7353" spans="1:8" ht="30">
      <c r="A7353" s="22" t="s">
        <v>1609</v>
      </c>
    </row>
    <row r="7354" spans="1:8">
      <c r="A7354" t="s">
        <v>185</v>
      </c>
      <c r="B7354" t="s">
        <v>192</v>
      </c>
      <c r="C7354" t="s">
        <v>184</v>
      </c>
      <c r="D7354" t="s">
        <v>193</v>
      </c>
      <c r="E7354" t="s">
        <v>1604</v>
      </c>
      <c r="F7354" t="s">
        <v>1605</v>
      </c>
      <c r="G7354" t="s">
        <v>1606</v>
      </c>
    </row>
    <row r="7355" spans="1:8">
      <c r="A7355" t="s">
        <v>195</v>
      </c>
      <c r="B7355">
        <v>986</v>
      </c>
      <c r="C7355" t="s">
        <v>194</v>
      </c>
      <c r="D7355">
        <v>2257</v>
      </c>
      <c r="E7355" s="3">
        <v>9.1899999999999996E-2</v>
      </c>
      <c r="F7355" s="3">
        <v>0.57399999999999995</v>
      </c>
      <c r="G7355" s="3">
        <v>0.33410000000000001</v>
      </c>
    </row>
    <row r="7356" spans="1:8">
      <c r="A7356" t="s">
        <v>199</v>
      </c>
      <c r="B7356">
        <v>1271</v>
      </c>
      <c r="C7356" t="s">
        <v>194</v>
      </c>
      <c r="D7356">
        <v>2257</v>
      </c>
      <c r="E7356" s="3">
        <v>2.3599999999999999E-2</v>
      </c>
      <c r="F7356" s="3">
        <v>0.81979999999999997</v>
      </c>
      <c r="G7356" s="3">
        <v>0.1565</v>
      </c>
    </row>
    <row r="7357" spans="1:8">
      <c r="A7357" t="s">
        <v>200</v>
      </c>
      <c r="B7357">
        <v>2257</v>
      </c>
      <c r="C7357" t="s">
        <v>200</v>
      </c>
      <c r="D7357">
        <v>2257</v>
      </c>
      <c r="E7357" s="3">
        <v>5.3199999999999997E-2</v>
      </c>
      <c r="F7357" s="3">
        <v>0.71340000000000003</v>
      </c>
      <c r="G7357" s="3">
        <v>0.2334</v>
      </c>
    </row>
    <row r="7359" spans="1:8" ht="30">
      <c r="A7359" s="22" t="s">
        <v>1610</v>
      </c>
    </row>
    <row r="7360" spans="1:8">
      <c r="A7360" t="s">
        <v>185</v>
      </c>
      <c r="B7360" t="s">
        <v>186</v>
      </c>
      <c r="C7360" t="s">
        <v>192</v>
      </c>
      <c r="D7360" t="s">
        <v>184</v>
      </c>
      <c r="E7360" t="s">
        <v>193</v>
      </c>
      <c r="F7360" t="s">
        <v>1604</v>
      </c>
      <c r="G7360" t="s">
        <v>1605</v>
      </c>
      <c r="H7360" t="s">
        <v>1606</v>
      </c>
    </row>
    <row r="7361" spans="1:8">
      <c r="A7361" t="s">
        <v>195</v>
      </c>
      <c r="B7361" t="s">
        <v>212</v>
      </c>
      <c r="C7361">
        <v>726</v>
      </c>
      <c r="D7361" t="s">
        <v>194</v>
      </c>
      <c r="E7361">
        <v>2257</v>
      </c>
      <c r="F7361" s="3">
        <v>9.0499999999999997E-2</v>
      </c>
      <c r="G7361" s="3">
        <v>0.57120000000000004</v>
      </c>
      <c r="H7361" s="3">
        <v>0.33829999999999999</v>
      </c>
    </row>
    <row r="7362" spans="1:8">
      <c r="A7362" t="s">
        <v>195</v>
      </c>
      <c r="B7362" t="s">
        <v>214</v>
      </c>
      <c r="C7362">
        <v>151</v>
      </c>
      <c r="D7362" t="s">
        <v>194</v>
      </c>
      <c r="E7362">
        <v>2257</v>
      </c>
      <c r="F7362" s="3">
        <v>8.0399999999999999E-2</v>
      </c>
      <c r="G7362" s="3">
        <v>0.5615</v>
      </c>
      <c r="H7362" s="3">
        <v>0.35809999999999997</v>
      </c>
    </row>
    <row r="7363" spans="1:8">
      <c r="A7363" t="s">
        <v>195</v>
      </c>
      <c r="B7363" t="s">
        <v>215</v>
      </c>
      <c r="C7363">
        <v>109</v>
      </c>
      <c r="D7363" t="s">
        <v>194</v>
      </c>
      <c r="E7363">
        <v>2257</v>
      </c>
      <c r="F7363" s="3">
        <v>0.1278</v>
      </c>
      <c r="G7363" s="3">
        <v>0.62590000000000001</v>
      </c>
      <c r="H7363" s="3">
        <v>0.24629999999999999</v>
      </c>
    </row>
    <row r="7364" spans="1:8">
      <c r="A7364" t="s">
        <v>199</v>
      </c>
      <c r="B7364" t="s">
        <v>212</v>
      </c>
      <c r="C7364">
        <v>962</v>
      </c>
      <c r="D7364" t="s">
        <v>194</v>
      </c>
      <c r="E7364">
        <v>2257</v>
      </c>
      <c r="F7364" s="3">
        <v>1.7500000000000002E-2</v>
      </c>
      <c r="G7364" s="3">
        <v>0.84399999999999997</v>
      </c>
      <c r="H7364" s="3">
        <v>0.13850000000000001</v>
      </c>
    </row>
    <row r="7365" spans="1:8">
      <c r="A7365" t="s">
        <v>199</v>
      </c>
      <c r="B7365" t="s">
        <v>214</v>
      </c>
      <c r="C7365">
        <v>168</v>
      </c>
      <c r="D7365" t="s">
        <v>194</v>
      </c>
      <c r="E7365">
        <v>2257</v>
      </c>
      <c r="F7365" s="3">
        <v>3.27E-2</v>
      </c>
      <c r="G7365" s="3">
        <v>0.70089999999999997</v>
      </c>
      <c r="H7365" s="3">
        <v>0.26629999999999998</v>
      </c>
    </row>
    <row r="7366" spans="1:8">
      <c r="A7366" t="s">
        <v>199</v>
      </c>
      <c r="B7366" t="s">
        <v>215</v>
      </c>
      <c r="C7366">
        <v>141</v>
      </c>
      <c r="D7366" t="s">
        <v>194</v>
      </c>
      <c r="E7366">
        <v>2257</v>
      </c>
      <c r="F7366" s="3">
        <v>7.1800000000000003E-2</v>
      </c>
      <c r="G7366" s="3">
        <v>0.81189999999999996</v>
      </c>
      <c r="H7366" s="3">
        <v>0.1163</v>
      </c>
    </row>
    <row r="7367" spans="1:8">
      <c r="A7367" t="s">
        <v>200</v>
      </c>
      <c r="B7367" t="s">
        <v>200</v>
      </c>
      <c r="C7367">
        <v>2257</v>
      </c>
      <c r="D7367" t="s">
        <v>200</v>
      </c>
      <c r="E7367">
        <v>2257</v>
      </c>
      <c r="F7367" s="3">
        <v>5.3199999999999997E-2</v>
      </c>
      <c r="G7367" s="3">
        <v>0.71340000000000003</v>
      </c>
      <c r="H7367" s="3">
        <v>0.2334</v>
      </c>
    </row>
    <row r="7369" spans="1:8" ht="30">
      <c r="A7369" s="22" t="s">
        <v>1611</v>
      </c>
    </row>
    <row r="7370" spans="1:8">
      <c r="A7370" t="s">
        <v>185</v>
      </c>
      <c r="B7370" t="s">
        <v>186</v>
      </c>
      <c r="C7370" t="s">
        <v>192</v>
      </c>
      <c r="D7370" t="s">
        <v>184</v>
      </c>
      <c r="E7370" t="s">
        <v>193</v>
      </c>
      <c r="F7370" t="s">
        <v>1604</v>
      </c>
      <c r="G7370" t="s">
        <v>1605</v>
      </c>
      <c r="H7370" t="s">
        <v>1606</v>
      </c>
    </row>
    <row r="7371" spans="1:8">
      <c r="A7371" t="s">
        <v>195</v>
      </c>
      <c r="B7371" t="s">
        <v>217</v>
      </c>
      <c r="C7371">
        <v>428</v>
      </c>
      <c r="D7371" t="s">
        <v>194</v>
      </c>
      <c r="E7371">
        <v>2257</v>
      </c>
      <c r="F7371" s="3">
        <v>0.1041</v>
      </c>
      <c r="G7371" s="3">
        <v>0.61750000000000005</v>
      </c>
      <c r="H7371" s="3">
        <v>0.27839999999999998</v>
      </c>
    </row>
    <row r="7372" spans="1:8">
      <c r="A7372" t="s">
        <v>195</v>
      </c>
      <c r="B7372" t="s">
        <v>219</v>
      </c>
      <c r="C7372">
        <v>403</v>
      </c>
      <c r="D7372" t="s">
        <v>194</v>
      </c>
      <c r="E7372">
        <v>2257</v>
      </c>
      <c r="F7372" s="3">
        <v>0.1033</v>
      </c>
      <c r="G7372" s="3">
        <v>0.46650000000000003</v>
      </c>
      <c r="H7372" s="3">
        <v>0.43020000000000003</v>
      </c>
    </row>
    <row r="7373" spans="1:8">
      <c r="A7373" t="s">
        <v>195</v>
      </c>
      <c r="B7373" t="s">
        <v>220</v>
      </c>
      <c r="C7373">
        <v>154</v>
      </c>
      <c r="D7373" t="s">
        <v>194</v>
      </c>
      <c r="E7373">
        <v>2257</v>
      </c>
      <c r="F7373" s="3">
        <v>4.1300000000000003E-2</v>
      </c>
      <c r="G7373" s="3">
        <v>0.68489999999999995</v>
      </c>
      <c r="H7373" s="3">
        <v>0.27379999999999999</v>
      </c>
    </row>
    <row r="7374" spans="1:8">
      <c r="A7374" t="s">
        <v>199</v>
      </c>
      <c r="B7374" t="s">
        <v>217</v>
      </c>
      <c r="C7374">
        <v>712</v>
      </c>
      <c r="D7374" t="s">
        <v>194</v>
      </c>
      <c r="E7374">
        <v>2257</v>
      </c>
      <c r="F7374" s="3">
        <v>2.1700000000000001E-2</v>
      </c>
      <c r="G7374" s="3">
        <v>0.86880000000000002</v>
      </c>
      <c r="H7374" s="3">
        <v>0.1095</v>
      </c>
    </row>
    <row r="7375" spans="1:8">
      <c r="A7375" t="s">
        <v>199</v>
      </c>
      <c r="B7375" t="s">
        <v>219</v>
      </c>
      <c r="C7375">
        <v>365</v>
      </c>
      <c r="D7375" t="s">
        <v>194</v>
      </c>
      <c r="E7375">
        <v>2257</v>
      </c>
      <c r="F7375" s="3">
        <v>3.9399999999999998E-2</v>
      </c>
      <c r="G7375" s="3">
        <v>0.68810000000000004</v>
      </c>
      <c r="H7375" s="3">
        <v>0.27250000000000002</v>
      </c>
    </row>
    <row r="7376" spans="1:8">
      <c r="A7376" t="s">
        <v>199</v>
      </c>
      <c r="B7376" t="s">
        <v>220</v>
      </c>
      <c r="C7376">
        <v>194</v>
      </c>
      <c r="D7376" t="s">
        <v>194</v>
      </c>
      <c r="E7376">
        <v>2257</v>
      </c>
      <c r="F7376" s="3">
        <v>6.7000000000000002E-3</v>
      </c>
      <c r="G7376" s="3">
        <v>0.82809999999999995</v>
      </c>
      <c r="H7376" s="3">
        <v>0.16520000000000001</v>
      </c>
    </row>
    <row r="7377" spans="1:8">
      <c r="A7377" t="s">
        <v>200</v>
      </c>
      <c r="B7377" t="s">
        <v>200</v>
      </c>
      <c r="C7377">
        <v>2257</v>
      </c>
      <c r="D7377" t="s">
        <v>200</v>
      </c>
      <c r="E7377">
        <v>2257</v>
      </c>
      <c r="F7377" s="3">
        <v>5.3199999999999997E-2</v>
      </c>
      <c r="G7377" s="3">
        <v>0.71340000000000003</v>
      </c>
      <c r="H7377" s="3">
        <v>0.2334</v>
      </c>
    </row>
    <row r="7379" spans="1:8" ht="30">
      <c r="A7379" s="22" t="s">
        <v>1612</v>
      </c>
    </row>
    <row r="7380" spans="1:8">
      <c r="A7380" t="s">
        <v>185</v>
      </c>
      <c r="B7380" t="s">
        <v>186</v>
      </c>
      <c r="C7380" t="s">
        <v>192</v>
      </c>
      <c r="D7380" t="s">
        <v>184</v>
      </c>
      <c r="E7380" t="s">
        <v>193</v>
      </c>
      <c r="F7380" t="s">
        <v>1300</v>
      </c>
      <c r="G7380" t="s">
        <v>1613</v>
      </c>
      <c r="H7380" t="s">
        <v>1614</v>
      </c>
    </row>
    <row r="7381" spans="1:8">
      <c r="A7381" t="s">
        <v>195</v>
      </c>
      <c r="B7381" t="s">
        <v>196</v>
      </c>
      <c r="C7381">
        <v>413</v>
      </c>
      <c r="D7381" t="s">
        <v>194</v>
      </c>
      <c r="E7381">
        <v>2677</v>
      </c>
      <c r="F7381" s="3">
        <v>8.0999999999999996E-3</v>
      </c>
      <c r="G7381" s="3">
        <v>0.99180000000000001</v>
      </c>
      <c r="H7381" s="3">
        <v>1E-4</v>
      </c>
    </row>
    <row r="7382" spans="1:8">
      <c r="A7382" t="s">
        <v>195</v>
      </c>
      <c r="B7382" t="s">
        <v>198</v>
      </c>
      <c r="C7382">
        <v>755</v>
      </c>
      <c r="D7382" t="s">
        <v>194</v>
      </c>
      <c r="E7382">
        <v>2677</v>
      </c>
      <c r="F7382" s="3">
        <v>1.5900000000000001E-2</v>
      </c>
      <c r="G7382" s="3">
        <v>0.97650000000000003</v>
      </c>
      <c r="H7382" s="3">
        <v>7.6E-3</v>
      </c>
    </row>
    <row r="7383" spans="1:8">
      <c r="A7383" t="s">
        <v>199</v>
      </c>
      <c r="B7383" t="s">
        <v>196</v>
      </c>
      <c r="C7383">
        <v>525</v>
      </c>
      <c r="D7383" t="s">
        <v>194</v>
      </c>
      <c r="E7383">
        <v>2677</v>
      </c>
      <c r="F7383" s="3">
        <v>1.55E-2</v>
      </c>
      <c r="G7383" s="3">
        <v>0.98280000000000001</v>
      </c>
      <c r="H7383" s="3">
        <v>1.8E-3</v>
      </c>
    </row>
    <row r="7384" spans="1:8">
      <c r="A7384" t="s">
        <v>199</v>
      </c>
      <c r="B7384" t="s">
        <v>198</v>
      </c>
      <c r="C7384">
        <v>945</v>
      </c>
      <c r="D7384" t="s">
        <v>194</v>
      </c>
      <c r="E7384">
        <v>2677</v>
      </c>
      <c r="F7384" s="3">
        <v>9.2999999999999992E-3</v>
      </c>
      <c r="G7384" s="3">
        <v>0.98839999999999995</v>
      </c>
      <c r="H7384" s="3">
        <v>2.3E-3</v>
      </c>
    </row>
    <row r="7385" spans="1:8">
      <c r="A7385" t="s">
        <v>200</v>
      </c>
      <c r="B7385" t="s">
        <v>200</v>
      </c>
      <c r="C7385">
        <v>2677</v>
      </c>
      <c r="D7385" t="s">
        <v>200</v>
      </c>
      <c r="E7385">
        <v>2677</v>
      </c>
      <c r="F7385" s="3">
        <v>1.1900000000000001E-2</v>
      </c>
      <c r="G7385" s="3">
        <v>0.98440000000000005</v>
      </c>
      <c r="H7385" s="3">
        <v>3.7000000000000002E-3</v>
      </c>
    </row>
    <row r="7387" spans="1:8" ht="30">
      <c r="A7387" s="22" t="s">
        <v>1615</v>
      </c>
    </row>
    <row r="7388" spans="1:8">
      <c r="A7388" t="s">
        <v>185</v>
      </c>
      <c r="B7388" t="s">
        <v>186</v>
      </c>
      <c r="C7388" t="s">
        <v>192</v>
      </c>
      <c r="D7388" t="s">
        <v>184</v>
      </c>
      <c r="E7388" t="s">
        <v>193</v>
      </c>
      <c r="F7388" t="s">
        <v>1300</v>
      </c>
      <c r="G7388" t="s">
        <v>1613</v>
      </c>
      <c r="H7388" t="s">
        <v>1614</v>
      </c>
    </row>
    <row r="7389" spans="1:8">
      <c r="A7389" t="s">
        <v>195</v>
      </c>
      <c r="B7389" t="s">
        <v>202</v>
      </c>
      <c r="C7389">
        <v>533</v>
      </c>
      <c r="D7389" t="s">
        <v>194</v>
      </c>
      <c r="E7389">
        <v>2677</v>
      </c>
      <c r="F7389" s="3">
        <v>1.2699999999999999E-2</v>
      </c>
      <c r="G7389" s="3">
        <v>0.98309999999999997</v>
      </c>
      <c r="H7389" s="3">
        <v>4.1999999999999997E-3</v>
      </c>
    </row>
    <row r="7390" spans="1:8">
      <c r="A7390" t="s">
        <v>195</v>
      </c>
      <c r="B7390" t="s">
        <v>204</v>
      </c>
      <c r="C7390">
        <v>301</v>
      </c>
      <c r="D7390" t="s">
        <v>194</v>
      </c>
      <c r="E7390">
        <v>2677</v>
      </c>
      <c r="F7390" s="3">
        <v>0.01</v>
      </c>
      <c r="G7390" s="3">
        <v>0.97929999999999995</v>
      </c>
      <c r="H7390" s="3">
        <v>1.0699999999999999E-2</v>
      </c>
    </row>
    <row r="7391" spans="1:8">
      <c r="A7391" t="s">
        <v>195</v>
      </c>
      <c r="B7391" t="s">
        <v>205</v>
      </c>
      <c r="C7391">
        <v>334</v>
      </c>
      <c r="D7391" t="s">
        <v>194</v>
      </c>
      <c r="E7391">
        <v>2677</v>
      </c>
      <c r="F7391" s="3">
        <v>2.52E-2</v>
      </c>
      <c r="G7391" s="3">
        <v>0.9708</v>
      </c>
      <c r="H7391" s="3">
        <v>4.1000000000000003E-3</v>
      </c>
    </row>
    <row r="7392" spans="1:8">
      <c r="A7392" t="s">
        <v>199</v>
      </c>
      <c r="B7392" t="s">
        <v>202</v>
      </c>
      <c r="C7392">
        <v>538</v>
      </c>
      <c r="D7392" t="s">
        <v>194</v>
      </c>
      <c r="E7392">
        <v>2677</v>
      </c>
      <c r="F7392" s="3">
        <v>6.8999999999999999E-3</v>
      </c>
      <c r="G7392" s="3">
        <v>0.9909</v>
      </c>
      <c r="H7392" s="3">
        <v>2.2000000000000001E-3</v>
      </c>
    </row>
    <row r="7393" spans="1:8">
      <c r="A7393" t="s">
        <v>199</v>
      </c>
      <c r="B7393" t="s">
        <v>204</v>
      </c>
      <c r="C7393">
        <v>426</v>
      </c>
      <c r="D7393" t="s">
        <v>194</v>
      </c>
      <c r="E7393">
        <v>2677</v>
      </c>
      <c r="F7393" s="3">
        <v>5.1999999999999998E-3</v>
      </c>
      <c r="G7393" s="3">
        <v>0.99039999999999995</v>
      </c>
      <c r="H7393" s="3">
        <v>4.4000000000000003E-3</v>
      </c>
    </row>
    <row r="7394" spans="1:8">
      <c r="A7394" t="s">
        <v>199</v>
      </c>
      <c r="B7394" t="s">
        <v>205</v>
      </c>
      <c r="C7394">
        <v>506</v>
      </c>
      <c r="D7394" t="s">
        <v>194</v>
      </c>
      <c r="E7394">
        <v>2677</v>
      </c>
      <c r="F7394" s="3">
        <v>2.9499999999999998E-2</v>
      </c>
      <c r="G7394" s="3">
        <v>0.97050000000000003</v>
      </c>
    </row>
    <row r="7395" spans="1:8">
      <c r="A7395" t="s">
        <v>200</v>
      </c>
      <c r="B7395" t="s">
        <v>200</v>
      </c>
      <c r="C7395">
        <v>2677</v>
      </c>
      <c r="D7395" t="s">
        <v>200</v>
      </c>
      <c r="E7395">
        <v>2677</v>
      </c>
      <c r="F7395" s="3">
        <v>1.1900000000000001E-2</v>
      </c>
      <c r="G7395" s="3">
        <v>0.98440000000000005</v>
      </c>
      <c r="H7395" s="3">
        <v>3.7000000000000002E-3</v>
      </c>
    </row>
    <row r="7397" spans="1:8" ht="30">
      <c r="A7397" s="22" t="s">
        <v>1616</v>
      </c>
    </row>
    <row r="7398" spans="1:8">
      <c r="A7398" t="s">
        <v>185</v>
      </c>
      <c r="B7398" t="s">
        <v>186</v>
      </c>
      <c r="C7398" t="s">
        <v>192</v>
      </c>
      <c r="D7398" t="s">
        <v>184</v>
      </c>
      <c r="E7398" t="s">
        <v>193</v>
      </c>
      <c r="F7398" t="s">
        <v>1300</v>
      </c>
      <c r="G7398" t="s">
        <v>1613</v>
      </c>
      <c r="H7398" t="s">
        <v>1614</v>
      </c>
    </row>
    <row r="7399" spans="1:8">
      <c r="A7399" t="s">
        <v>195</v>
      </c>
      <c r="B7399" t="s">
        <v>207</v>
      </c>
      <c r="C7399">
        <v>322</v>
      </c>
      <c r="D7399" t="s">
        <v>194</v>
      </c>
      <c r="E7399">
        <v>2677</v>
      </c>
      <c r="F7399" s="3">
        <v>1.84E-2</v>
      </c>
      <c r="G7399" s="3">
        <v>0.97650000000000003</v>
      </c>
      <c r="H7399" s="3">
        <v>5.1000000000000004E-3</v>
      </c>
    </row>
    <row r="7400" spans="1:8">
      <c r="A7400" t="s">
        <v>195</v>
      </c>
      <c r="B7400" t="s">
        <v>209</v>
      </c>
      <c r="C7400">
        <v>867</v>
      </c>
      <c r="D7400" t="s">
        <v>194</v>
      </c>
      <c r="E7400">
        <v>2677</v>
      </c>
      <c r="F7400" s="3">
        <v>1.21E-2</v>
      </c>
      <c r="G7400" s="3">
        <v>0.98209999999999997</v>
      </c>
      <c r="H7400" s="3">
        <v>5.7000000000000002E-3</v>
      </c>
    </row>
    <row r="7401" spans="1:8">
      <c r="A7401" t="s">
        <v>199</v>
      </c>
      <c r="B7401" t="s">
        <v>207</v>
      </c>
      <c r="C7401">
        <v>283</v>
      </c>
      <c r="D7401" t="s">
        <v>194</v>
      </c>
      <c r="E7401">
        <v>2677</v>
      </c>
      <c r="F7401" s="3">
        <v>2.5899999999999999E-2</v>
      </c>
      <c r="G7401" s="3">
        <v>0.9627</v>
      </c>
      <c r="H7401" s="3">
        <v>1.1299999999999999E-2</v>
      </c>
    </row>
    <row r="7402" spans="1:8">
      <c r="A7402" t="s">
        <v>199</v>
      </c>
      <c r="B7402" t="s">
        <v>209</v>
      </c>
      <c r="C7402">
        <v>1205</v>
      </c>
      <c r="D7402" t="s">
        <v>194</v>
      </c>
      <c r="E7402">
        <v>2677</v>
      </c>
      <c r="F7402" s="3">
        <v>8.3000000000000001E-3</v>
      </c>
      <c r="G7402" s="3">
        <v>0.99080000000000001</v>
      </c>
      <c r="H7402" s="3">
        <v>1E-3</v>
      </c>
    </row>
    <row r="7403" spans="1:8">
      <c r="A7403" t="s">
        <v>200</v>
      </c>
      <c r="B7403" t="s">
        <v>200</v>
      </c>
      <c r="C7403">
        <v>2677</v>
      </c>
      <c r="D7403" t="s">
        <v>200</v>
      </c>
      <c r="E7403">
        <v>2677</v>
      </c>
      <c r="F7403" s="3">
        <v>1.1900000000000001E-2</v>
      </c>
      <c r="G7403" s="3">
        <v>0.98440000000000005</v>
      </c>
      <c r="H7403" s="3">
        <v>3.7000000000000002E-3</v>
      </c>
    </row>
    <row r="7405" spans="1:8" ht="30">
      <c r="A7405" s="22" t="s">
        <v>1617</v>
      </c>
    </row>
    <row r="7406" spans="1:8">
      <c r="A7406" t="s">
        <v>185</v>
      </c>
      <c r="B7406" t="s">
        <v>192</v>
      </c>
      <c r="C7406" t="s">
        <v>184</v>
      </c>
      <c r="D7406" t="s">
        <v>193</v>
      </c>
      <c r="E7406" t="s">
        <v>1300</v>
      </c>
      <c r="F7406" t="s">
        <v>1613</v>
      </c>
      <c r="G7406" t="s">
        <v>1614</v>
      </c>
    </row>
    <row r="7407" spans="1:8">
      <c r="A7407" t="s">
        <v>195</v>
      </c>
      <c r="B7407">
        <v>1189</v>
      </c>
      <c r="C7407" t="s">
        <v>194</v>
      </c>
      <c r="D7407">
        <v>2677</v>
      </c>
      <c r="E7407" s="3">
        <v>1.38E-2</v>
      </c>
      <c r="F7407" s="3">
        <v>0.98070000000000002</v>
      </c>
      <c r="G7407" s="3">
        <v>5.4999999999999997E-3</v>
      </c>
    </row>
    <row r="7408" spans="1:8">
      <c r="A7408" t="s">
        <v>199</v>
      </c>
      <c r="B7408">
        <v>1488</v>
      </c>
      <c r="C7408" t="s">
        <v>194</v>
      </c>
      <c r="D7408">
        <v>2677</v>
      </c>
      <c r="E7408" s="3">
        <v>1.04E-2</v>
      </c>
      <c r="F7408" s="3">
        <v>0.98740000000000006</v>
      </c>
      <c r="G7408" s="3">
        <v>2.2000000000000001E-3</v>
      </c>
    </row>
    <row r="7409" spans="1:8">
      <c r="A7409" t="s">
        <v>200</v>
      </c>
      <c r="B7409">
        <v>2677</v>
      </c>
      <c r="C7409" t="s">
        <v>200</v>
      </c>
      <c r="D7409">
        <v>2677</v>
      </c>
      <c r="E7409" s="3">
        <v>1.1900000000000001E-2</v>
      </c>
      <c r="F7409" s="3">
        <v>0.98440000000000005</v>
      </c>
      <c r="G7409" s="3">
        <v>3.7000000000000002E-3</v>
      </c>
    </row>
    <row r="7411" spans="1:8" ht="30">
      <c r="A7411" s="22" t="s">
        <v>1618</v>
      </c>
    </row>
    <row r="7412" spans="1:8">
      <c r="A7412" t="s">
        <v>185</v>
      </c>
      <c r="B7412" t="s">
        <v>186</v>
      </c>
      <c r="C7412" t="s">
        <v>192</v>
      </c>
      <c r="D7412" t="s">
        <v>184</v>
      </c>
      <c r="E7412" t="s">
        <v>193</v>
      </c>
      <c r="F7412" t="s">
        <v>1300</v>
      </c>
      <c r="G7412" t="s">
        <v>1613</v>
      </c>
      <c r="H7412" t="s">
        <v>1614</v>
      </c>
    </row>
    <row r="7413" spans="1:8">
      <c r="A7413" t="s">
        <v>195</v>
      </c>
      <c r="B7413" t="s">
        <v>212</v>
      </c>
      <c r="C7413">
        <v>873</v>
      </c>
      <c r="D7413" t="s">
        <v>194</v>
      </c>
      <c r="E7413">
        <v>2677</v>
      </c>
      <c r="F7413" s="3">
        <v>1.23E-2</v>
      </c>
      <c r="G7413" s="3">
        <v>0.98570000000000002</v>
      </c>
      <c r="H7413" s="3">
        <v>2E-3</v>
      </c>
    </row>
    <row r="7414" spans="1:8">
      <c r="A7414" t="s">
        <v>195</v>
      </c>
      <c r="B7414" t="s">
        <v>214</v>
      </c>
      <c r="C7414">
        <v>181</v>
      </c>
      <c r="D7414" t="s">
        <v>194</v>
      </c>
      <c r="E7414">
        <v>2677</v>
      </c>
      <c r="F7414" s="3">
        <v>1.9400000000000001E-2</v>
      </c>
      <c r="G7414" s="3">
        <v>0.95620000000000005</v>
      </c>
      <c r="H7414" s="3">
        <v>2.4299999999999999E-2</v>
      </c>
    </row>
    <row r="7415" spans="1:8">
      <c r="A7415" t="s">
        <v>195</v>
      </c>
      <c r="B7415" t="s">
        <v>215</v>
      </c>
      <c r="C7415">
        <v>135</v>
      </c>
      <c r="D7415" t="s">
        <v>194</v>
      </c>
      <c r="E7415">
        <v>2677</v>
      </c>
      <c r="F7415" s="3">
        <v>1.5800000000000002E-2</v>
      </c>
      <c r="G7415" s="3">
        <v>0.98419999999999996</v>
      </c>
    </row>
    <row r="7416" spans="1:8">
      <c r="A7416" t="s">
        <v>199</v>
      </c>
      <c r="B7416" t="s">
        <v>212</v>
      </c>
      <c r="C7416">
        <v>1118</v>
      </c>
      <c r="D7416" t="s">
        <v>194</v>
      </c>
      <c r="E7416">
        <v>2677</v>
      </c>
      <c r="F7416" s="3">
        <v>9.1000000000000004E-3</v>
      </c>
      <c r="G7416" s="3">
        <v>0.9909</v>
      </c>
    </row>
    <row r="7417" spans="1:8">
      <c r="A7417" t="s">
        <v>199</v>
      </c>
      <c r="B7417" t="s">
        <v>214</v>
      </c>
      <c r="C7417">
        <v>197</v>
      </c>
      <c r="D7417" t="s">
        <v>194</v>
      </c>
      <c r="E7417">
        <v>2677</v>
      </c>
      <c r="F7417" s="3">
        <v>9.7999999999999997E-3</v>
      </c>
      <c r="G7417" s="3">
        <v>0.98319999999999996</v>
      </c>
      <c r="H7417" s="3">
        <v>7.0000000000000001E-3</v>
      </c>
    </row>
    <row r="7418" spans="1:8">
      <c r="A7418" t="s">
        <v>199</v>
      </c>
      <c r="B7418" t="s">
        <v>215</v>
      </c>
      <c r="C7418">
        <v>173</v>
      </c>
      <c r="D7418" t="s">
        <v>194</v>
      </c>
      <c r="E7418">
        <v>2677</v>
      </c>
      <c r="F7418" s="3">
        <v>2.3900000000000001E-2</v>
      </c>
      <c r="G7418" s="3">
        <v>0.96209999999999996</v>
      </c>
      <c r="H7418" s="3">
        <v>1.4E-2</v>
      </c>
    </row>
    <row r="7419" spans="1:8">
      <c r="A7419" t="s">
        <v>200</v>
      </c>
      <c r="B7419" t="s">
        <v>200</v>
      </c>
      <c r="C7419">
        <v>2677</v>
      </c>
      <c r="D7419" t="s">
        <v>200</v>
      </c>
      <c r="E7419">
        <v>2677</v>
      </c>
      <c r="F7419" s="3">
        <v>1.1900000000000001E-2</v>
      </c>
      <c r="G7419" s="3">
        <v>0.98440000000000005</v>
      </c>
      <c r="H7419" s="3">
        <v>3.7000000000000002E-3</v>
      </c>
    </row>
    <row r="7421" spans="1:8" ht="30">
      <c r="A7421" s="22" t="s">
        <v>1619</v>
      </c>
    </row>
    <row r="7422" spans="1:8">
      <c r="A7422" t="s">
        <v>185</v>
      </c>
      <c r="B7422" t="s">
        <v>186</v>
      </c>
      <c r="C7422" t="s">
        <v>192</v>
      </c>
      <c r="D7422" t="s">
        <v>184</v>
      </c>
      <c r="E7422" t="s">
        <v>193</v>
      </c>
      <c r="F7422" t="s">
        <v>1300</v>
      </c>
      <c r="G7422" t="s">
        <v>1613</v>
      </c>
      <c r="H7422" t="s">
        <v>1614</v>
      </c>
    </row>
    <row r="7423" spans="1:8">
      <c r="A7423" t="s">
        <v>195</v>
      </c>
      <c r="B7423" t="s">
        <v>217</v>
      </c>
      <c r="C7423">
        <v>499</v>
      </c>
      <c r="D7423" t="s">
        <v>194</v>
      </c>
      <c r="E7423">
        <v>2677</v>
      </c>
      <c r="F7423" s="3">
        <v>1.4E-3</v>
      </c>
      <c r="G7423" s="3">
        <v>0.99860000000000004</v>
      </c>
      <c r="H7423" s="3">
        <v>1E-4</v>
      </c>
    </row>
    <row r="7424" spans="1:8">
      <c r="A7424" t="s">
        <v>195</v>
      </c>
      <c r="B7424" t="s">
        <v>219</v>
      </c>
      <c r="C7424">
        <v>507</v>
      </c>
      <c r="D7424" t="s">
        <v>194</v>
      </c>
      <c r="E7424">
        <v>2677</v>
      </c>
      <c r="F7424" s="3">
        <v>3.0200000000000001E-2</v>
      </c>
      <c r="G7424" s="3">
        <v>0.96050000000000002</v>
      </c>
      <c r="H7424" s="3">
        <v>9.2999999999999992E-3</v>
      </c>
    </row>
    <row r="7425" spans="1:10">
      <c r="A7425" t="s">
        <v>195</v>
      </c>
      <c r="B7425" t="s">
        <v>220</v>
      </c>
      <c r="C7425">
        <v>182</v>
      </c>
      <c r="D7425" t="s">
        <v>194</v>
      </c>
      <c r="E7425">
        <v>2677</v>
      </c>
      <c r="F7425" s="3">
        <v>7.4000000000000003E-3</v>
      </c>
      <c r="G7425" s="3">
        <v>0.98250000000000004</v>
      </c>
      <c r="H7425" s="3">
        <v>1.01E-2</v>
      </c>
    </row>
    <row r="7426" spans="1:10">
      <c r="A7426" t="s">
        <v>199</v>
      </c>
      <c r="B7426" t="s">
        <v>217</v>
      </c>
      <c r="C7426">
        <v>814</v>
      </c>
      <c r="D7426" t="s">
        <v>194</v>
      </c>
      <c r="E7426">
        <v>2677</v>
      </c>
      <c r="F7426" s="3">
        <v>1.29E-2</v>
      </c>
      <c r="G7426" s="3">
        <v>0.98509999999999998</v>
      </c>
      <c r="H7426" s="3">
        <v>2E-3</v>
      </c>
    </row>
    <row r="7427" spans="1:10">
      <c r="A7427" t="s">
        <v>199</v>
      </c>
      <c r="B7427" t="s">
        <v>219</v>
      </c>
      <c r="C7427">
        <v>451</v>
      </c>
      <c r="D7427" t="s">
        <v>194</v>
      </c>
      <c r="E7427">
        <v>2677</v>
      </c>
      <c r="F7427" s="3">
        <v>1.06E-2</v>
      </c>
      <c r="G7427" s="3">
        <v>0.98509999999999998</v>
      </c>
      <c r="H7427" s="3">
        <v>4.3E-3</v>
      </c>
    </row>
    <row r="7428" spans="1:10">
      <c r="A7428" t="s">
        <v>199</v>
      </c>
      <c r="B7428" t="s">
        <v>220</v>
      </c>
      <c r="C7428">
        <v>223</v>
      </c>
      <c r="D7428" t="s">
        <v>194</v>
      </c>
      <c r="E7428">
        <v>2677</v>
      </c>
      <c r="F7428" s="3">
        <v>6.9999999999999999E-4</v>
      </c>
      <c r="G7428" s="3">
        <v>0.99929999999999997</v>
      </c>
    </row>
    <row r="7429" spans="1:10">
      <c r="A7429" t="s">
        <v>200</v>
      </c>
      <c r="B7429" t="s">
        <v>200</v>
      </c>
      <c r="C7429">
        <v>2677</v>
      </c>
      <c r="D7429" t="s">
        <v>200</v>
      </c>
      <c r="E7429">
        <v>2677</v>
      </c>
      <c r="F7429" s="3">
        <v>1.1900000000000001E-2</v>
      </c>
      <c r="G7429" s="3">
        <v>0.98440000000000005</v>
      </c>
      <c r="H7429" s="3">
        <v>3.7000000000000002E-3</v>
      </c>
    </row>
    <row r="7431" spans="1:10" ht="45">
      <c r="A7431" s="22" t="s">
        <v>1620</v>
      </c>
    </row>
    <row r="7432" spans="1:10">
      <c r="A7432" t="s">
        <v>184</v>
      </c>
      <c r="B7432" t="s">
        <v>185</v>
      </c>
      <c r="C7432" t="s">
        <v>186</v>
      </c>
      <c r="D7432" t="s">
        <v>1007</v>
      </c>
      <c r="E7432" t="s">
        <v>1621</v>
      </c>
      <c r="F7432" t="s">
        <v>1622</v>
      </c>
      <c r="G7432" t="s">
        <v>1623</v>
      </c>
      <c r="H7432" t="s">
        <v>1018</v>
      </c>
      <c r="I7432" t="s">
        <v>192</v>
      </c>
      <c r="J7432" t="s">
        <v>193</v>
      </c>
    </row>
    <row r="7433" spans="1:10">
      <c r="A7433" t="s">
        <v>194</v>
      </c>
      <c r="B7433" t="s">
        <v>195</v>
      </c>
      <c r="C7433" t="s">
        <v>222</v>
      </c>
      <c r="D7433" t="s">
        <v>1624</v>
      </c>
      <c r="E7433" s="3">
        <v>3.5000000000000001E-3</v>
      </c>
      <c r="G7433" s="3">
        <v>1.0500000000000001E-2</v>
      </c>
      <c r="H7433">
        <v>218</v>
      </c>
      <c r="I7433">
        <v>181</v>
      </c>
      <c r="J7433">
        <v>1995</v>
      </c>
    </row>
    <row r="7434" spans="1:10">
      <c r="A7434" t="s">
        <v>194</v>
      </c>
      <c r="B7434" t="s">
        <v>195</v>
      </c>
      <c r="C7434" t="s">
        <v>222</v>
      </c>
      <c r="D7434" t="s">
        <v>1625</v>
      </c>
      <c r="E7434" s="3">
        <v>5.3699999999999998E-2</v>
      </c>
      <c r="F7434" s="3">
        <v>0.1605</v>
      </c>
      <c r="G7434" s="3">
        <v>3.5299999999999998E-2</v>
      </c>
      <c r="H7434">
        <v>218</v>
      </c>
      <c r="I7434">
        <v>181</v>
      </c>
      <c r="J7434">
        <v>1995</v>
      </c>
    </row>
    <row r="7435" spans="1:10">
      <c r="A7435" t="s">
        <v>194</v>
      </c>
      <c r="B7435" t="s">
        <v>195</v>
      </c>
      <c r="C7435" t="s">
        <v>222</v>
      </c>
      <c r="D7435" t="s">
        <v>1626</v>
      </c>
      <c r="E7435" s="3">
        <v>1.6000000000000001E-3</v>
      </c>
      <c r="G7435" s="3">
        <v>4.1999999999999997E-3</v>
      </c>
      <c r="H7435">
        <v>218</v>
      </c>
      <c r="I7435">
        <v>181</v>
      </c>
      <c r="J7435">
        <v>1995</v>
      </c>
    </row>
    <row r="7436" spans="1:10">
      <c r="A7436" t="s">
        <v>194</v>
      </c>
      <c r="B7436" t="s">
        <v>195</v>
      </c>
      <c r="C7436" t="s">
        <v>222</v>
      </c>
      <c r="D7436" t="s">
        <v>1627</v>
      </c>
      <c r="E7436" s="3">
        <v>4.5999999999999999E-2</v>
      </c>
      <c r="F7436" s="3">
        <v>6.8099999999999994E-2</v>
      </c>
      <c r="G7436" s="3">
        <v>0.20979999999999999</v>
      </c>
      <c r="H7436">
        <v>218</v>
      </c>
      <c r="I7436">
        <v>181</v>
      </c>
      <c r="J7436">
        <v>1995</v>
      </c>
    </row>
    <row r="7437" spans="1:10">
      <c r="A7437" t="s">
        <v>194</v>
      </c>
      <c r="B7437" t="s">
        <v>195</v>
      </c>
      <c r="C7437" t="s">
        <v>222</v>
      </c>
      <c r="D7437" t="s">
        <v>1628</v>
      </c>
      <c r="E7437" s="3">
        <v>9.2999999999999992E-3</v>
      </c>
      <c r="F7437" s="3">
        <v>8.4699999999999998E-2</v>
      </c>
      <c r="G7437" s="3">
        <v>0.1042</v>
      </c>
      <c r="H7437">
        <v>218</v>
      </c>
      <c r="I7437">
        <v>181</v>
      </c>
      <c r="J7437">
        <v>1995</v>
      </c>
    </row>
    <row r="7438" spans="1:10">
      <c r="A7438" t="s">
        <v>194</v>
      </c>
      <c r="B7438" t="s">
        <v>195</v>
      </c>
      <c r="C7438" t="s">
        <v>222</v>
      </c>
      <c r="D7438" t="s">
        <v>1629</v>
      </c>
      <c r="E7438" s="3">
        <v>1.61E-2</v>
      </c>
      <c r="F7438" s="3">
        <v>2.3999999999999998E-3</v>
      </c>
      <c r="H7438">
        <v>218</v>
      </c>
      <c r="I7438">
        <v>181</v>
      </c>
      <c r="J7438">
        <v>1995</v>
      </c>
    </row>
    <row r="7439" spans="1:10">
      <c r="A7439" t="s">
        <v>194</v>
      </c>
      <c r="B7439" t="s">
        <v>195</v>
      </c>
      <c r="C7439" t="s">
        <v>222</v>
      </c>
      <c r="D7439" t="s">
        <v>1630</v>
      </c>
      <c r="E7439" s="3">
        <v>1.77E-2</v>
      </c>
      <c r="F7439" s="3">
        <v>1.2699999999999999E-2</v>
      </c>
      <c r="H7439">
        <v>218</v>
      </c>
      <c r="I7439">
        <v>181</v>
      </c>
      <c r="J7439">
        <v>1995</v>
      </c>
    </row>
    <row r="7440" spans="1:10">
      <c r="A7440" t="s">
        <v>194</v>
      </c>
      <c r="B7440" t="s">
        <v>195</v>
      </c>
      <c r="C7440" t="s">
        <v>222</v>
      </c>
      <c r="D7440" t="s">
        <v>1631</v>
      </c>
      <c r="E7440" s="3">
        <v>5.7200000000000001E-2</v>
      </c>
      <c r="F7440" s="3">
        <v>0.13120000000000001</v>
      </c>
      <c r="G7440" s="3">
        <v>4.2200000000000001E-2</v>
      </c>
      <c r="H7440">
        <v>218</v>
      </c>
      <c r="I7440">
        <v>181</v>
      </c>
      <c r="J7440">
        <v>1995</v>
      </c>
    </row>
    <row r="7441" spans="1:10">
      <c r="A7441" t="s">
        <v>194</v>
      </c>
      <c r="B7441" t="s">
        <v>195</v>
      </c>
      <c r="C7441" t="s">
        <v>222</v>
      </c>
      <c r="D7441" t="s">
        <v>1632</v>
      </c>
      <c r="E7441" s="3">
        <v>2.5899999999999999E-2</v>
      </c>
      <c r="F7441" s="3">
        <v>0.1024</v>
      </c>
      <c r="G7441" s="3">
        <v>6.8900000000000003E-2</v>
      </c>
      <c r="H7441">
        <v>218</v>
      </c>
      <c r="I7441">
        <v>181</v>
      </c>
      <c r="J7441">
        <v>1995</v>
      </c>
    </row>
    <row r="7442" spans="1:10">
      <c r="A7442" t="s">
        <v>194</v>
      </c>
      <c r="B7442" t="s">
        <v>195</v>
      </c>
      <c r="C7442" t="s">
        <v>222</v>
      </c>
      <c r="D7442" t="s">
        <v>1633</v>
      </c>
      <c r="E7442" s="3">
        <v>2.3E-3</v>
      </c>
      <c r="F7442" s="3">
        <v>4.3E-3</v>
      </c>
      <c r="G7442" s="3">
        <v>3.5900000000000001E-2</v>
      </c>
      <c r="H7442">
        <v>218</v>
      </c>
      <c r="I7442">
        <v>181</v>
      </c>
      <c r="J7442">
        <v>1995</v>
      </c>
    </row>
    <row r="7443" spans="1:10">
      <c r="A7443" t="s">
        <v>194</v>
      </c>
      <c r="B7443" t="s">
        <v>195</v>
      </c>
      <c r="C7443" t="s">
        <v>222</v>
      </c>
      <c r="D7443" t="s">
        <v>1634</v>
      </c>
      <c r="E7443" s="3">
        <v>9.7000000000000003E-3</v>
      </c>
      <c r="F7443" s="3">
        <v>2.8E-3</v>
      </c>
      <c r="G7443" s="3">
        <v>2.9999999999999997E-4</v>
      </c>
      <c r="H7443">
        <v>218</v>
      </c>
      <c r="I7443">
        <v>181</v>
      </c>
      <c r="J7443">
        <v>1995</v>
      </c>
    </row>
    <row r="7444" spans="1:10">
      <c r="A7444" t="s">
        <v>194</v>
      </c>
      <c r="B7444" t="s">
        <v>195</v>
      </c>
      <c r="C7444" t="s">
        <v>222</v>
      </c>
      <c r="D7444" t="s">
        <v>1635</v>
      </c>
      <c r="E7444" s="3">
        <v>6.8999999999999999E-3</v>
      </c>
      <c r="F7444" s="3">
        <v>1.7899999999999999E-2</v>
      </c>
      <c r="G7444" s="3">
        <v>5.8599999999999999E-2</v>
      </c>
      <c r="H7444">
        <v>218</v>
      </c>
      <c r="I7444">
        <v>181</v>
      </c>
      <c r="J7444">
        <v>1995</v>
      </c>
    </row>
    <row r="7445" spans="1:10">
      <c r="A7445" t="s">
        <v>194</v>
      </c>
      <c r="B7445" t="s">
        <v>195</v>
      </c>
      <c r="C7445" t="s">
        <v>222</v>
      </c>
      <c r="D7445" t="s">
        <v>1636</v>
      </c>
      <c r="E7445" s="3">
        <v>0.45989999999999998</v>
      </c>
      <c r="F7445" s="3">
        <v>0.1623</v>
      </c>
      <c r="G7445" s="3">
        <v>8.0699999999999994E-2</v>
      </c>
      <c r="H7445">
        <v>218</v>
      </c>
      <c r="I7445">
        <v>181</v>
      </c>
      <c r="J7445">
        <v>1995</v>
      </c>
    </row>
    <row r="7446" spans="1:10">
      <c r="A7446" t="s">
        <v>194</v>
      </c>
      <c r="B7446" t="s">
        <v>195</v>
      </c>
      <c r="C7446" t="s">
        <v>222</v>
      </c>
      <c r="D7446" t="s">
        <v>1637</v>
      </c>
      <c r="E7446" s="3">
        <v>0.26140000000000002</v>
      </c>
      <c r="F7446" s="3">
        <v>5.6000000000000001E-2</v>
      </c>
      <c r="G7446" s="3">
        <v>0.10440000000000001</v>
      </c>
      <c r="H7446">
        <v>218</v>
      </c>
      <c r="I7446">
        <v>181</v>
      </c>
      <c r="J7446">
        <v>1995</v>
      </c>
    </row>
    <row r="7447" spans="1:10">
      <c r="A7447" t="s">
        <v>194</v>
      </c>
      <c r="B7447" t="s">
        <v>195</v>
      </c>
      <c r="C7447" t="s">
        <v>222</v>
      </c>
      <c r="D7447" t="s">
        <v>247</v>
      </c>
      <c r="E7447" s="3">
        <v>2.9000000000000001E-2</v>
      </c>
      <c r="G7447" s="3">
        <v>6.1999999999999998E-3</v>
      </c>
      <c r="H7447">
        <v>218</v>
      </c>
      <c r="I7447">
        <v>181</v>
      </c>
      <c r="J7447">
        <v>1995</v>
      </c>
    </row>
    <row r="7448" spans="1:10">
      <c r="A7448" t="s">
        <v>194</v>
      </c>
      <c r="B7448" t="s">
        <v>195</v>
      </c>
      <c r="C7448" t="s">
        <v>224</v>
      </c>
      <c r="D7448" t="s">
        <v>1624</v>
      </c>
      <c r="E7448" s="3">
        <v>2.5999999999999999E-3</v>
      </c>
      <c r="F7448" s="3">
        <v>1.77E-2</v>
      </c>
      <c r="G7448" s="3">
        <v>2.0500000000000001E-2</v>
      </c>
      <c r="H7448">
        <v>739</v>
      </c>
      <c r="I7448">
        <v>760</v>
      </c>
      <c r="J7448">
        <v>1995</v>
      </c>
    </row>
    <row r="7449" spans="1:10">
      <c r="A7449" t="s">
        <v>194</v>
      </c>
      <c r="B7449" t="s">
        <v>195</v>
      </c>
      <c r="C7449" t="s">
        <v>224</v>
      </c>
      <c r="D7449" t="s">
        <v>257</v>
      </c>
      <c r="E7449" s="3">
        <v>5.7999999999999996E-3</v>
      </c>
      <c r="F7449" s="3">
        <v>0.03</v>
      </c>
      <c r="G7449" s="3">
        <v>4.7399999999999998E-2</v>
      </c>
      <c r="H7449">
        <v>739</v>
      </c>
      <c r="I7449">
        <v>760</v>
      </c>
      <c r="J7449">
        <v>1995</v>
      </c>
    </row>
    <row r="7450" spans="1:10">
      <c r="A7450" t="s">
        <v>194</v>
      </c>
      <c r="B7450" t="s">
        <v>195</v>
      </c>
      <c r="C7450" t="s">
        <v>224</v>
      </c>
      <c r="D7450" t="s">
        <v>1638</v>
      </c>
      <c r="E7450" s="3">
        <v>6.6E-3</v>
      </c>
      <c r="F7450" s="3">
        <v>5.96E-2</v>
      </c>
      <c r="G7450" s="3">
        <v>7.9799999999999996E-2</v>
      </c>
      <c r="H7450">
        <v>739</v>
      </c>
      <c r="I7450">
        <v>760</v>
      </c>
      <c r="J7450">
        <v>1995</v>
      </c>
    </row>
    <row r="7451" spans="1:10">
      <c r="A7451" t="s">
        <v>194</v>
      </c>
      <c r="B7451" t="s">
        <v>195</v>
      </c>
      <c r="C7451" t="s">
        <v>224</v>
      </c>
      <c r="D7451" t="s">
        <v>1639</v>
      </c>
      <c r="E7451" s="3">
        <v>4.0000000000000001E-3</v>
      </c>
      <c r="F7451" s="3">
        <v>3.7100000000000001E-2</v>
      </c>
      <c r="G7451" s="3">
        <v>1.6500000000000001E-2</v>
      </c>
      <c r="H7451">
        <v>739</v>
      </c>
      <c r="I7451">
        <v>760</v>
      </c>
      <c r="J7451">
        <v>1995</v>
      </c>
    </row>
    <row r="7452" spans="1:10">
      <c r="A7452" t="s">
        <v>194</v>
      </c>
      <c r="B7452" t="s">
        <v>195</v>
      </c>
      <c r="C7452" t="s">
        <v>224</v>
      </c>
      <c r="D7452" t="s">
        <v>1625</v>
      </c>
      <c r="E7452" s="3">
        <v>7.8700000000000006E-2</v>
      </c>
      <c r="F7452" s="3">
        <v>5.4399999999999997E-2</v>
      </c>
      <c r="G7452" s="3">
        <v>6.88E-2</v>
      </c>
      <c r="H7452">
        <v>739</v>
      </c>
      <c r="I7452">
        <v>760</v>
      </c>
      <c r="J7452">
        <v>1995</v>
      </c>
    </row>
    <row r="7453" spans="1:10">
      <c r="A7453" t="s">
        <v>194</v>
      </c>
      <c r="B7453" t="s">
        <v>195</v>
      </c>
      <c r="C7453" t="s">
        <v>224</v>
      </c>
      <c r="D7453" t="s">
        <v>1627</v>
      </c>
      <c r="E7453" s="3">
        <v>5.3900000000000003E-2</v>
      </c>
      <c r="F7453" s="3">
        <v>0.11310000000000001</v>
      </c>
      <c r="G7453" s="3">
        <v>0.15210000000000001</v>
      </c>
      <c r="H7453">
        <v>739</v>
      </c>
      <c r="I7453">
        <v>760</v>
      </c>
      <c r="J7453">
        <v>1995</v>
      </c>
    </row>
    <row r="7454" spans="1:10">
      <c r="A7454" t="s">
        <v>194</v>
      </c>
      <c r="B7454" t="s">
        <v>195</v>
      </c>
      <c r="C7454" t="s">
        <v>224</v>
      </c>
      <c r="D7454" t="s">
        <v>1628</v>
      </c>
      <c r="E7454" s="3">
        <v>2.1299999999999999E-2</v>
      </c>
      <c r="F7454" s="3">
        <v>3.6499999999999998E-2</v>
      </c>
      <c r="G7454" s="3">
        <v>3.6499999999999998E-2</v>
      </c>
      <c r="H7454">
        <v>739</v>
      </c>
      <c r="I7454">
        <v>760</v>
      </c>
      <c r="J7454">
        <v>1995</v>
      </c>
    </row>
    <row r="7455" spans="1:10">
      <c r="A7455" t="s">
        <v>194</v>
      </c>
      <c r="B7455" t="s">
        <v>195</v>
      </c>
      <c r="C7455" t="s">
        <v>224</v>
      </c>
      <c r="D7455" t="s">
        <v>1629</v>
      </c>
      <c r="E7455" s="3">
        <v>3.0000000000000001E-3</v>
      </c>
      <c r="F7455" s="3">
        <v>3.2000000000000002E-3</v>
      </c>
      <c r="G7455" s="3">
        <v>8.8999999999999999E-3</v>
      </c>
      <c r="H7455">
        <v>739</v>
      </c>
      <c r="I7455">
        <v>760</v>
      </c>
      <c r="J7455">
        <v>1995</v>
      </c>
    </row>
    <row r="7456" spans="1:10">
      <c r="A7456" t="s">
        <v>194</v>
      </c>
      <c r="B7456" t="s">
        <v>195</v>
      </c>
      <c r="C7456" t="s">
        <v>224</v>
      </c>
      <c r="D7456" t="s">
        <v>1640</v>
      </c>
      <c r="E7456" s="3">
        <v>3.0999999999999999E-3</v>
      </c>
      <c r="F7456" s="3">
        <v>4.5999999999999999E-3</v>
      </c>
      <c r="G7456" s="3">
        <v>3.5999999999999999E-3</v>
      </c>
      <c r="H7456">
        <v>739</v>
      </c>
      <c r="I7456">
        <v>760</v>
      </c>
      <c r="J7456">
        <v>1995</v>
      </c>
    </row>
    <row r="7457" spans="1:10">
      <c r="A7457" t="s">
        <v>194</v>
      </c>
      <c r="B7457" t="s">
        <v>195</v>
      </c>
      <c r="C7457" t="s">
        <v>224</v>
      </c>
      <c r="D7457" t="s">
        <v>1630</v>
      </c>
      <c r="E7457" s="3">
        <v>7.3000000000000001E-3</v>
      </c>
      <c r="F7457" s="3">
        <v>2.8799999999999999E-2</v>
      </c>
      <c r="G7457" s="3">
        <v>2.2499999999999999E-2</v>
      </c>
      <c r="H7457">
        <v>739</v>
      </c>
      <c r="I7457">
        <v>760</v>
      </c>
      <c r="J7457">
        <v>1995</v>
      </c>
    </row>
    <row r="7458" spans="1:10">
      <c r="A7458" t="s">
        <v>194</v>
      </c>
      <c r="B7458" t="s">
        <v>195</v>
      </c>
      <c r="C7458" t="s">
        <v>224</v>
      </c>
      <c r="D7458" t="s">
        <v>1631</v>
      </c>
      <c r="E7458" s="3">
        <v>3.4099999999999998E-2</v>
      </c>
      <c r="F7458" s="3">
        <v>0.1668</v>
      </c>
      <c r="G7458" s="3">
        <v>0.1444</v>
      </c>
      <c r="H7458">
        <v>739</v>
      </c>
      <c r="I7458">
        <v>760</v>
      </c>
      <c r="J7458">
        <v>1995</v>
      </c>
    </row>
    <row r="7459" spans="1:10">
      <c r="A7459" t="s">
        <v>194</v>
      </c>
      <c r="B7459" t="s">
        <v>195</v>
      </c>
      <c r="C7459" t="s">
        <v>224</v>
      </c>
      <c r="D7459" t="s">
        <v>1641</v>
      </c>
      <c r="E7459" s="3">
        <v>5.4000000000000003E-3</v>
      </c>
      <c r="F7459" s="3">
        <v>6.4000000000000003E-3</v>
      </c>
      <c r="G7459" s="3">
        <v>3.5099999999999999E-2</v>
      </c>
      <c r="H7459">
        <v>739</v>
      </c>
      <c r="I7459">
        <v>760</v>
      </c>
      <c r="J7459">
        <v>1995</v>
      </c>
    </row>
    <row r="7460" spans="1:10">
      <c r="A7460" t="s">
        <v>194</v>
      </c>
      <c r="B7460" t="s">
        <v>195</v>
      </c>
      <c r="C7460" t="s">
        <v>224</v>
      </c>
      <c r="D7460" t="s">
        <v>1632</v>
      </c>
      <c r="E7460" s="3">
        <v>1.9199999999999998E-2</v>
      </c>
      <c r="F7460" s="3">
        <v>4.1700000000000001E-2</v>
      </c>
      <c r="G7460" s="3">
        <v>0.11070000000000001</v>
      </c>
      <c r="H7460">
        <v>739</v>
      </c>
      <c r="I7460">
        <v>760</v>
      </c>
      <c r="J7460">
        <v>1995</v>
      </c>
    </row>
    <row r="7461" spans="1:10">
      <c r="A7461" t="s">
        <v>194</v>
      </c>
      <c r="B7461" t="s">
        <v>195</v>
      </c>
      <c r="C7461" t="s">
        <v>224</v>
      </c>
      <c r="D7461" t="s">
        <v>1633</v>
      </c>
      <c r="E7461" s="3">
        <v>7.7000000000000002E-3</v>
      </c>
      <c r="F7461" s="3">
        <v>1.1000000000000001E-3</v>
      </c>
      <c r="G7461" s="3">
        <v>1.04E-2</v>
      </c>
      <c r="H7461">
        <v>739</v>
      </c>
      <c r="I7461">
        <v>760</v>
      </c>
      <c r="J7461">
        <v>1995</v>
      </c>
    </row>
    <row r="7462" spans="1:10">
      <c r="A7462" t="s">
        <v>194</v>
      </c>
      <c r="B7462" t="s">
        <v>195</v>
      </c>
      <c r="C7462" t="s">
        <v>224</v>
      </c>
      <c r="D7462" t="s">
        <v>1634</v>
      </c>
      <c r="E7462" s="3">
        <v>6.7999999999999996E-3</v>
      </c>
      <c r="F7462" s="3">
        <v>2.8799999999999999E-2</v>
      </c>
      <c r="G7462" s="3">
        <v>3.7699999999999997E-2</v>
      </c>
      <c r="H7462">
        <v>739</v>
      </c>
      <c r="I7462">
        <v>760</v>
      </c>
      <c r="J7462">
        <v>1995</v>
      </c>
    </row>
    <row r="7463" spans="1:10">
      <c r="A7463" t="s">
        <v>194</v>
      </c>
      <c r="B7463" t="s">
        <v>195</v>
      </c>
      <c r="C7463" t="s">
        <v>224</v>
      </c>
      <c r="D7463" t="s">
        <v>1642</v>
      </c>
      <c r="E7463" s="3">
        <v>2.5000000000000001E-3</v>
      </c>
      <c r="G7463" s="3">
        <v>1E-4</v>
      </c>
      <c r="H7463">
        <v>739</v>
      </c>
      <c r="I7463">
        <v>760</v>
      </c>
      <c r="J7463">
        <v>1995</v>
      </c>
    </row>
    <row r="7464" spans="1:10">
      <c r="A7464" t="s">
        <v>194</v>
      </c>
      <c r="B7464" t="s">
        <v>195</v>
      </c>
      <c r="C7464" t="s">
        <v>224</v>
      </c>
      <c r="D7464" t="s">
        <v>1635</v>
      </c>
      <c r="E7464" s="3">
        <v>0.01</v>
      </c>
      <c r="F7464" s="3">
        <v>1.6199999999999999E-2</v>
      </c>
      <c r="G7464" s="3">
        <v>4.6100000000000002E-2</v>
      </c>
      <c r="H7464">
        <v>739</v>
      </c>
      <c r="I7464">
        <v>760</v>
      </c>
      <c r="J7464">
        <v>1995</v>
      </c>
    </row>
    <row r="7465" spans="1:10">
      <c r="A7465" t="s">
        <v>194</v>
      </c>
      <c r="B7465" t="s">
        <v>195</v>
      </c>
      <c r="C7465" t="s">
        <v>224</v>
      </c>
      <c r="D7465" t="s">
        <v>1636</v>
      </c>
      <c r="E7465" s="3">
        <v>0.47639999999999999</v>
      </c>
      <c r="F7465" s="3">
        <v>0.2087</v>
      </c>
      <c r="G7465" s="3">
        <v>0.1085</v>
      </c>
      <c r="H7465">
        <v>739</v>
      </c>
      <c r="I7465">
        <v>760</v>
      </c>
      <c r="J7465">
        <v>1995</v>
      </c>
    </row>
    <row r="7466" spans="1:10">
      <c r="A7466" t="s">
        <v>194</v>
      </c>
      <c r="B7466" t="s">
        <v>195</v>
      </c>
      <c r="C7466" t="s">
        <v>224</v>
      </c>
      <c r="D7466" t="s">
        <v>1637</v>
      </c>
      <c r="E7466" s="3">
        <v>0.246</v>
      </c>
      <c r="F7466" s="3">
        <v>0.12720000000000001</v>
      </c>
      <c r="G7466" s="3">
        <v>2.5000000000000001E-2</v>
      </c>
      <c r="H7466">
        <v>739</v>
      </c>
      <c r="I7466">
        <v>760</v>
      </c>
      <c r="J7466">
        <v>1995</v>
      </c>
    </row>
    <row r="7467" spans="1:10">
      <c r="A7467" t="s">
        <v>194</v>
      </c>
      <c r="B7467" t="s">
        <v>195</v>
      </c>
      <c r="C7467" t="s">
        <v>224</v>
      </c>
      <c r="D7467" t="s">
        <v>274</v>
      </c>
      <c r="E7467" s="3">
        <v>1.5E-3</v>
      </c>
      <c r="F7467" s="3">
        <v>1.0200000000000001E-2</v>
      </c>
      <c r="G7467" s="3">
        <v>1.0200000000000001E-2</v>
      </c>
      <c r="H7467">
        <v>739</v>
      </c>
      <c r="I7467">
        <v>760</v>
      </c>
      <c r="J7467">
        <v>1995</v>
      </c>
    </row>
    <row r="7468" spans="1:10">
      <c r="A7468" t="s">
        <v>194</v>
      </c>
      <c r="B7468" t="s">
        <v>195</v>
      </c>
      <c r="C7468" t="s">
        <v>224</v>
      </c>
      <c r="D7468" t="s">
        <v>247</v>
      </c>
      <c r="E7468" s="3">
        <v>3.8999999999999998E-3</v>
      </c>
      <c r="F7468" s="3">
        <v>1E-4</v>
      </c>
      <c r="G7468" s="3">
        <v>6.9999999999999999E-4</v>
      </c>
      <c r="H7468">
        <v>739</v>
      </c>
      <c r="I7468">
        <v>760</v>
      </c>
      <c r="J7468">
        <v>1995</v>
      </c>
    </row>
    <row r="7469" spans="1:10">
      <c r="A7469" t="s">
        <v>194</v>
      </c>
      <c r="B7469" t="s">
        <v>199</v>
      </c>
      <c r="C7469" t="s">
        <v>222</v>
      </c>
      <c r="D7469" t="s">
        <v>1624</v>
      </c>
      <c r="E7469" s="3">
        <v>3.5000000000000001E-3</v>
      </c>
      <c r="F7469" s="3">
        <v>7.7999999999999996E-3</v>
      </c>
      <c r="G7469" s="3">
        <v>9.1000000000000004E-3</v>
      </c>
      <c r="H7469">
        <v>279</v>
      </c>
      <c r="I7469">
        <v>258</v>
      </c>
      <c r="J7469">
        <v>1995</v>
      </c>
    </row>
    <row r="7470" spans="1:10">
      <c r="A7470" t="s">
        <v>194</v>
      </c>
      <c r="B7470" t="s">
        <v>199</v>
      </c>
      <c r="C7470" t="s">
        <v>222</v>
      </c>
      <c r="D7470" t="s">
        <v>257</v>
      </c>
      <c r="E7470" s="3">
        <v>1.9599999999999999E-2</v>
      </c>
      <c r="F7470" s="3">
        <v>3.5799999999999998E-2</v>
      </c>
      <c r="G7470" s="3">
        <v>3.04E-2</v>
      </c>
      <c r="H7470">
        <v>279</v>
      </c>
      <c r="I7470">
        <v>258</v>
      </c>
      <c r="J7470">
        <v>1995</v>
      </c>
    </row>
    <row r="7471" spans="1:10">
      <c r="A7471" t="s">
        <v>194</v>
      </c>
      <c r="B7471" t="s">
        <v>199</v>
      </c>
      <c r="C7471" t="s">
        <v>222</v>
      </c>
      <c r="D7471" t="s">
        <v>1638</v>
      </c>
      <c r="E7471" s="3">
        <v>2.53E-2</v>
      </c>
      <c r="F7471" s="3">
        <v>6.59E-2</v>
      </c>
      <c r="G7471" s="3">
        <v>0.18440000000000001</v>
      </c>
      <c r="H7471">
        <v>279</v>
      </c>
      <c r="I7471">
        <v>258</v>
      </c>
      <c r="J7471">
        <v>1995</v>
      </c>
    </row>
    <row r="7472" spans="1:10">
      <c r="A7472" t="s">
        <v>194</v>
      </c>
      <c r="B7472" t="s">
        <v>199</v>
      </c>
      <c r="C7472" t="s">
        <v>222</v>
      </c>
      <c r="D7472" t="s">
        <v>1639</v>
      </c>
      <c r="E7472" s="3">
        <v>6.9999999999999999E-4</v>
      </c>
      <c r="F7472" s="3">
        <v>6.7999999999999996E-3</v>
      </c>
      <c r="G7472" s="3">
        <v>6.9000000000000006E-2</v>
      </c>
      <c r="H7472">
        <v>279</v>
      </c>
      <c r="I7472">
        <v>258</v>
      </c>
      <c r="J7472">
        <v>1995</v>
      </c>
    </row>
    <row r="7473" spans="1:10">
      <c r="A7473" t="s">
        <v>194</v>
      </c>
      <c r="B7473" t="s">
        <v>199</v>
      </c>
      <c r="C7473" t="s">
        <v>222</v>
      </c>
      <c r="D7473" t="s">
        <v>1625</v>
      </c>
      <c r="E7473" s="3">
        <v>2.8999999999999998E-3</v>
      </c>
      <c r="F7473" s="3">
        <v>1E-3</v>
      </c>
      <c r="G7473" s="3">
        <v>2.9000000000000001E-2</v>
      </c>
      <c r="H7473">
        <v>279</v>
      </c>
      <c r="I7473">
        <v>258</v>
      </c>
      <c r="J7473">
        <v>1995</v>
      </c>
    </row>
    <row r="7474" spans="1:10">
      <c r="A7474" t="s">
        <v>194</v>
      </c>
      <c r="B7474" t="s">
        <v>199</v>
      </c>
      <c r="C7474" t="s">
        <v>222</v>
      </c>
      <c r="D7474" t="s">
        <v>1627</v>
      </c>
      <c r="E7474" s="3">
        <v>3.5799999999999998E-2</v>
      </c>
      <c r="F7474" s="3">
        <v>0.1188</v>
      </c>
      <c r="G7474" s="3">
        <v>0.1305</v>
      </c>
      <c r="H7474">
        <v>279</v>
      </c>
      <c r="I7474">
        <v>258</v>
      </c>
      <c r="J7474">
        <v>1995</v>
      </c>
    </row>
    <row r="7475" spans="1:10">
      <c r="A7475" t="s">
        <v>194</v>
      </c>
      <c r="B7475" t="s">
        <v>199</v>
      </c>
      <c r="C7475" t="s">
        <v>222</v>
      </c>
      <c r="D7475" t="s">
        <v>1628</v>
      </c>
      <c r="E7475" s="3">
        <v>3.6700000000000003E-2</v>
      </c>
      <c r="F7475" s="3">
        <v>0.1696</v>
      </c>
      <c r="G7475" s="3">
        <v>0.14610000000000001</v>
      </c>
      <c r="H7475">
        <v>279</v>
      </c>
      <c r="I7475">
        <v>258</v>
      </c>
      <c r="J7475">
        <v>1995</v>
      </c>
    </row>
    <row r="7476" spans="1:10">
      <c r="A7476" t="s">
        <v>194</v>
      </c>
      <c r="B7476" t="s">
        <v>199</v>
      </c>
      <c r="C7476" t="s">
        <v>222</v>
      </c>
      <c r="D7476" t="s">
        <v>1629</v>
      </c>
      <c r="E7476" s="3">
        <v>4.4000000000000003E-3</v>
      </c>
      <c r="F7476" s="3">
        <v>3.0200000000000001E-2</v>
      </c>
      <c r="G7476" s="3">
        <v>1.9699999999999999E-2</v>
      </c>
      <c r="H7476">
        <v>279</v>
      </c>
      <c r="I7476">
        <v>258</v>
      </c>
      <c r="J7476">
        <v>1995</v>
      </c>
    </row>
    <row r="7477" spans="1:10">
      <c r="A7477" t="s">
        <v>194</v>
      </c>
      <c r="B7477" t="s">
        <v>199</v>
      </c>
      <c r="C7477" t="s">
        <v>222</v>
      </c>
      <c r="D7477" t="s">
        <v>1640</v>
      </c>
      <c r="E7477" s="3">
        <v>6.9999999999999999E-4</v>
      </c>
      <c r="F7477" s="3">
        <v>1E-3</v>
      </c>
      <c r="H7477">
        <v>279</v>
      </c>
      <c r="I7477">
        <v>258</v>
      </c>
      <c r="J7477">
        <v>1995</v>
      </c>
    </row>
    <row r="7478" spans="1:10">
      <c r="A7478" t="s">
        <v>194</v>
      </c>
      <c r="B7478" t="s">
        <v>199</v>
      </c>
      <c r="C7478" t="s">
        <v>222</v>
      </c>
      <c r="D7478" t="s">
        <v>1630</v>
      </c>
      <c r="E7478" s="3">
        <v>1.1999999999999999E-3</v>
      </c>
      <c r="F7478" s="3">
        <v>7.4999999999999997E-3</v>
      </c>
      <c r="G7478" s="3">
        <v>2.9999999999999997E-4</v>
      </c>
      <c r="H7478">
        <v>279</v>
      </c>
      <c r="I7478">
        <v>258</v>
      </c>
      <c r="J7478">
        <v>1995</v>
      </c>
    </row>
    <row r="7479" spans="1:10">
      <c r="A7479" t="s">
        <v>194</v>
      </c>
      <c r="B7479" t="s">
        <v>199</v>
      </c>
      <c r="C7479" t="s">
        <v>222</v>
      </c>
      <c r="D7479" t="s">
        <v>1631</v>
      </c>
      <c r="E7479" s="3">
        <v>1.09E-2</v>
      </c>
      <c r="F7479" s="3">
        <v>1.83E-2</v>
      </c>
      <c r="G7479" s="3">
        <v>4.3799999999999999E-2</v>
      </c>
      <c r="H7479">
        <v>279</v>
      </c>
      <c r="I7479">
        <v>258</v>
      </c>
      <c r="J7479">
        <v>1995</v>
      </c>
    </row>
    <row r="7480" spans="1:10">
      <c r="A7480" t="s">
        <v>194</v>
      </c>
      <c r="B7480" t="s">
        <v>199</v>
      </c>
      <c r="C7480" t="s">
        <v>222</v>
      </c>
      <c r="D7480" t="s">
        <v>1632</v>
      </c>
      <c r="E7480" s="3">
        <v>3.7400000000000003E-2</v>
      </c>
      <c r="F7480" s="3">
        <v>0.1203</v>
      </c>
      <c r="G7480" s="3">
        <v>3.6400000000000002E-2</v>
      </c>
      <c r="H7480">
        <v>279</v>
      </c>
      <c r="I7480">
        <v>258</v>
      </c>
      <c r="J7480">
        <v>1995</v>
      </c>
    </row>
    <row r="7481" spans="1:10">
      <c r="A7481" t="s">
        <v>194</v>
      </c>
      <c r="B7481" t="s">
        <v>199</v>
      </c>
      <c r="C7481" t="s">
        <v>222</v>
      </c>
      <c r="D7481" t="s">
        <v>1633</v>
      </c>
      <c r="E7481" s="3">
        <v>1E-4</v>
      </c>
      <c r="F7481" s="3">
        <v>2.0400000000000001E-2</v>
      </c>
      <c r="G7481" s="3">
        <v>1.55E-2</v>
      </c>
      <c r="H7481">
        <v>279</v>
      </c>
      <c r="I7481">
        <v>258</v>
      </c>
      <c r="J7481">
        <v>1995</v>
      </c>
    </row>
    <row r="7482" spans="1:10">
      <c r="A7482" t="s">
        <v>194</v>
      </c>
      <c r="B7482" t="s">
        <v>199</v>
      </c>
      <c r="C7482" t="s">
        <v>222</v>
      </c>
      <c r="D7482" t="s">
        <v>1642</v>
      </c>
      <c r="E7482" s="3">
        <v>1E-4</v>
      </c>
      <c r="F7482" s="3">
        <v>8.0000000000000004E-4</v>
      </c>
      <c r="G7482" s="3">
        <v>2.69E-2</v>
      </c>
      <c r="H7482">
        <v>279</v>
      </c>
      <c r="I7482">
        <v>258</v>
      </c>
      <c r="J7482">
        <v>1995</v>
      </c>
    </row>
    <row r="7483" spans="1:10">
      <c r="A7483" t="s">
        <v>194</v>
      </c>
      <c r="B7483" t="s">
        <v>199</v>
      </c>
      <c r="C7483" t="s">
        <v>222</v>
      </c>
      <c r="D7483" t="s">
        <v>1635</v>
      </c>
      <c r="E7483" s="3">
        <v>5.9999999999999995E-4</v>
      </c>
      <c r="F7483" s="3">
        <v>1.6799999999999999E-2</v>
      </c>
      <c r="G7483" s="3">
        <v>1.7999999999999999E-2</v>
      </c>
      <c r="H7483">
        <v>279</v>
      </c>
      <c r="I7483">
        <v>258</v>
      </c>
      <c r="J7483">
        <v>1995</v>
      </c>
    </row>
    <row r="7484" spans="1:10">
      <c r="A7484" t="s">
        <v>194</v>
      </c>
      <c r="B7484" t="s">
        <v>199</v>
      </c>
      <c r="C7484" t="s">
        <v>222</v>
      </c>
      <c r="D7484" t="s">
        <v>1636</v>
      </c>
      <c r="E7484" s="3">
        <v>0.28570000000000001</v>
      </c>
      <c r="F7484" s="3">
        <v>0.28349999999999997</v>
      </c>
      <c r="G7484" s="3">
        <v>1.72E-2</v>
      </c>
      <c r="H7484">
        <v>279</v>
      </c>
      <c r="I7484">
        <v>258</v>
      </c>
      <c r="J7484">
        <v>1995</v>
      </c>
    </row>
    <row r="7485" spans="1:10">
      <c r="A7485" t="s">
        <v>194</v>
      </c>
      <c r="B7485" t="s">
        <v>199</v>
      </c>
      <c r="C7485" t="s">
        <v>222</v>
      </c>
      <c r="D7485" t="s">
        <v>1637</v>
      </c>
      <c r="E7485" s="3">
        <v>0.53400000000000003</v>
      </c>
      <c r="F7485" s="3">
        <v>7.1599999999999997E-2</v>
      </c>
      <c r="G7485" s="3">
        <v>4.7E-2</v>
      </c>
      <c r="H7485">
        <v>279</v>
      </c>
      <c r="I7485">
        <v>258</v>
      </c>
      <c r="J7485">
        <v>1995</v>
      </c>
    </row>
    <row r="7486" spans="1:10">
      <c r="A7486" t="s">
        <v>194</v>
      </c>
      <c r="B7486" t="s">
        <v>199</v>
      </c>
      <c r="C7486" t="s">
        <v>222</v>
      </c>
      <c r="D7486" t="s">
        <v>1643</v>
      </c>
      <c r="E7486" s="3">
        <v>4.0000000000000002E-4</v>
      </c>
      <c r="F7486" s="3">
        <v>6.4999999999999997E-3</v>
      </c>
      <c r="G7486" s="3">
        <v>6.7299999999999999E-2</v>
      </c>
      <c r="H7486">
        <v>279</v>
      </c>
      <c r="I7486">
        <v>258</v>
      </c>
      <c r="J7486">
        <v>1995</v>
      </c>
    </row>
    <row r="7487" spans="1:10">
      <c r="A7487" t="s">
        <v>194</v>
      </c>
      <c r="B7487" t="s">
        <v>199</v>
      </c>
      <c r="C7487" t="s">
        <v>224</v>
      </c>
      <c r="D7487" t="s">
        <v>1624</v>
      </c>
      <c r="E7487" s="3">
        <v>7.4000000000000003E-3</v>
      </c>
      <c r="F7487" s="3">
        <v>2.1299999999999999E-2</v>
      </c>
      <c r="G7487" s="3">
        <v>4.5199999999999997E-2</v>
      </c>
      <c r="H7487">
        <v>675</v>
      </c>
      <c r="I7487">
        <v>796</v>
      </c>
      <c r="J7487">
        <v>1995</v>
      </c>
    </row>
    <row r="7488" spans="1:10">
      <c r="A7488" t="s">
        <v>194</v>
      </c>
      <c r="B7488" t="s">
        <v>199</v>
      </c>
      <c r="C7488" t="s">
        <v>224</v>
      </c>
      <c r="D7488" t="s">
        <v>257</v>
      </c>
      <c r="E7488" s="3">
        <v>5.1000000000000004E-3</v>
      </c>
      <c r="F7488" s="3">
        <v>6.5600000000000006E-2</v>
      </c>
      <c r="G7488" s="3">
        <v>0.13600000000000001</v>
      </c>
      <c r="H7488">
        <v>675</v>
      </c>
      <c r="I7488">
        <v>796</v>
      </c>
      <c r="J7488">
        <v>1995</v>
      </c>
    </row>
    <row r="7489" spans="1:10">
      <c r="A7489" t="s">
        <v>194</v>
      </c>
      <c r="B7489" t="s">
        <v>199</v>
      </c>
      <c r="C7489" t="s">
        <v>224</v>
      </c>
      <c r="D7489" t="s">
        <v>1638</v>
      </c>
      <c r="E7489" s="3">
        <v>2.47E-2</v>
      </c>
      <c r="F7489" s="3">
        <v>9.1300000000000006E-2</v>
      </c>
      <c r="G7489" s="3">
        <v>0.1454</v>
      </c>
      <c r="H7489">
        <v>675</v>
      </c>
      <c r="I7489">
        <v>796</v>
      </c>
      <c r="J7489">
        <v>1995</v>
      </c>
    </row>
    <row r="7490" spans="1:10">
      <c r="A7490" t="s">
        <v>194</v>
      </c>
      <c r="B7490" t="s">
        <v>199</v>
      </c>
      <c r="C7490" t="s">
        <v>224</v>
      </c>
      <c r="D7490" t="s">
        <v>1639</v>
      </c>
      <c r="E7490" s="3">
        <v>8.6999999999999994E-3</v>
      </c>
      <c r="F7490" s="3">
        <v>1.8499999999999999E-2</v>
      </c>
      <c r="G7490" s="3">
        <v>1.12E-2</v>
      </c>
      <c r="H7490">
        <v>675</v>
      </c>
      <c r="I7490">
        <v>796</v>
      </c>
      <c r="J7490">
        <v>1995</v>
      </c>
    </row>
    <row r="7491" spans="1:10">
      <c r="A7491" t="s">
        <v>194</v>
      </c>
      <c r="B7491" t="s">
        <v>199</v>
      </c>
      <c r="C7491" t="s">
        <v>224</v>
      </c>
      <c r="D7491" t="s">
        <v>1625</v>
      </c>
      <c r="E7491" s="3">
        <v>1.61E-2</v>
      </c>
      <c r="F7491" s="3">
        <v>9.4000000000000004E-3</v>
      </c>
      <c r="G7491" s="3">
        <v>2.4400000000000002E-2</v>
      </c>
      <c r="H7491">
        <v>675</v>
      </c>
      <c r="I7491">
        <v>796</v>
      </c>
      <c r="J7491">
        <v>1995</v>
      </c>
    </row>
    <row r="7492" spans="1:10">
      <c r="A7492" t="s">
        <v>194</v>
      </c>
      <c r="B7492" t="s">
        <v>199</v>
      </c>
      <c r="C7492" t="s">
        <v>224</v>
      </c>
      <c r="D7492" t="s">
        <v>1626</v>
      </c>
      <c r="E7492" s="3">
        <v>5.9999999999999995E-4</v>
      </c>
      <c r="F7492" s="3">
        <v>1.1999999999999999E-3</v>
      </c>
      <c r="G7492" s="3">
        <v>2.3E-3</v>
      </c>
      <c r="H7492">
        <v>675</v>
      </c>
      <c r="I7492">
        <v>796</v>
      </c>
      <c r="J7492">
        <v>1995</v>
      </c>
    </row>
    <row r="7493" spans="1:10">
      <c r="A7493" t="s">
        <v>194</v>
      </c>
      <c r="B7493" t="s">
        <v>199</v>
      </c>
      <c r="C7493" t="s">
        <v>224</v>
      </c>
      <c r="D7493" t="s">
        <v>1627</v>
      </c>
      <c r="E7493" s="3">
        <v>4.4900000000000002E-2</v>
      </c>
      <c r="F7493" s="3">
        <v>6.5199999999999994E-2</v>
      </c>
      <c r="G7493" s="3">
        <v>9.8400000000000001E-2</v>
      </c>
      <c r="H7493">
        <v>675</v>
      </c>
      <c r="I7493">
        <v>796</v>
      </c>
      <c r="J7493">
        <v>1995</v>
      </c>
    </row>
    <row r="7494" spans="1:10">
      <c r="A7494" t="s">
        <v>194</v>
      </c>
      <c r="B7494" t="s">
        <v>199</v>
      </c>
      <c r="C7494" t="s">
        <v>224</v>
      </c>
      <c r="D7494" t="s">
        <v>1644</v>
      </c>
      <c r="E7494" s="3">
        <v>5.0000000000000001E-4</v>
      </c>
      <c r="G7494" s="3">
        <v>8.0000000000000002E-3</v>
      </c>
      <c r="H7494">
        <v>675</v>
      </c>
      <c r="I7494">
        <v>796</v>
      </c>
      <c r="J7494">
        <v>1995</v>
      </c>
    </row>
    <row r="7495" spans="1:10">
      <c r="A7495" t="s">
        <v>194</v>
      </c>
      <c r="B7495" t="s">
        <v>199</v>
      </c>
      <c r="C7495" t="s">
        <v>224</v>
      </c>
      <c r="D7495" t="s">
        <v>1628</v>
      </c>
      <c r="E7495" s="3">
        <v>5.04E-2</v>
      </c>
      <c r="F7495" s="3">
        <v>0.1089</v>
      </c>
      <c r="G7495" s="3">
        <v>8.3000000000000004E-2</v>
      </c>
      <c r="H7495">
        <v>675</v>
      </c>
      <c r="I7495">
        <v>796</v>
      </c>
      <c r="J7495">
        <v>1995</v>
      </c>
    </row>
    <row r="7496" spans="1:10">
      <c r="A7496" t="s">
        <v>194</v>
      </c>
      <c r="B7496" t="s">
        <v>199</v>
      </c>
      <c r="C7496" t="s">
        <v>224</v>
      </c>
      <c r="D7496" t="s">
        <v>1629</v>
      </c>
      <c r="E7496" s="3">
        <v>6.7999999999999996E-3</v>
      </c>
      <c r="F7496" s="3">
        <v>2.3599999999999999E-2</v>
      </c>
      <c r="G7496" s="3">
        <v>2.01E-2</v>
      </c>
      <c r="H7496">
        <v>675</v>
      </c>
      <c r="I7496">
        <v>796</v>
      </c>
      <c r="J7496">
        <v>1995</v>
      </c>
    </row>
    <row r="7497" spans="1:10">
      <c r="A7497" t="s">
        <v>194</v>
      </c>
      <c r="B7497" t="s">
        <v>199</v>
      </c>
      <c r="C7497" t="s">
        <v>224</v>
      </c>
      <c r="D7497" t="s">
        <v>1640</v>
      </c>
      <c r="E7497" s="3">
        <v>2.5999999999999999E-3</v>
      </c>
      <c r="F7497" s="3">
        <v>1.9099999999999999E-2</v>
      </c>
      <c r="G7497" s="3">
        <v>1.8100000000000002E-2</v>
      </c>
      <c r="H7497">
        <v>675</v>
      </c>
      <c r="I7497">
        <v>796</v>
      </c>
      <c r="J7497">
        <v>1995</v>
      </c>
    </row>
    <row r="7498" spans="1:10">
      <c r="A7498" t="s">
        <v>194</v>
      </c>
      <c r="B7498" t="s">
        <v>199</v>
      </c>
      <c r="C7498" t="s">
        <v>224</v>
      </c>
      <c r="D7498" t="s">
        <v>1630</v>
      </c>
      <c r="E7498" s="3">
        <v>7.3000000000000001E-3</v>
      </c>
      <c r="F7498" s="3">
        <v>2.24E-2</v>
      </c>
      <c r="G7498" s="3">
        <v>1.14E-2</v>
      </c>
      <c r="H7498">
        <v>675</v>
      </c>
      <c r="I7498">
        <v>796</v>
      </c>
      <c r="J7498">
        <v>1995</v>
      </c>
    </row>
    <row r="7499" spans="1:10">
      <c r="A7499" t="s">
        <v>194</v>
      </c>
      <c r="B7499" t="s">
        <v>199</v>
      </c>
      <c r="C7499" t="s">
        <v>224</v>
      </c>
      <c r="D7499" t="s">
        <v>1631</v>
      </c>
      <c r="E7499" s="3">
        <v>7.4000000000000003E-3</v>
      </c>
      <c r="F7499" s="3">
        <v>7.7299999999999994E-2</v>
      </c>
      <c r="G7499" s="3">
        <v>0.12809999999999999</v>
      </c>
      <c r="H7499">
        <v>675</v>
      </c>
      <c r="I7499">
        <v>796</v>
      </c>
      <c r="J7499">
        <v>1995</v>
      </c>
    </row>
    <row r="7500" spans="1:10">
      <c r="A7500" t="s">
        <v>194</v>
      </c>
      <c r="B7500" t="s">
        <v>199</v>
      </c>
      <c r="C7500" t="s">
        <v>224</v>
      </c>
      <c r="D7500" t="s">
        <v>1641</v>
      </c>
      <c r="E7500" s="3">
        <v>5.0000000000000001E-4</v>
      </c>
      <c r="F7500" s="3">
        <v>1.5E-3</v>
      </c>
      <c r="G7500" s="3">
        <v>1.14E-2</v>
      </c>
      <c r="H7500">
        <v>675</v>
      </c>
      <c r="I7500">
        <v>796</v>
      </c>
      <c r="J7500">
        <v>1995</v>
      </c>
    </row>
    <row r="7501" spans="1:10">
      <c r="A7501" t="s">
        <v>194</v>
      </c>
      <c r="B7501" t="s">
        <v>199</v>
      </c>
      <c r="C7501" t="s">
        <v>224</v>
      </c>
      <c r="D7501" t="s">
        <v>1632</v>
      </c>
      <c r="E7501" s="3">
        <v>2.3800000000000002E-2</v>
      </c>
      <c r="F7501" s="3">
        <v>5.3600000000000002E-2</v>
      </c>
      <c r="G7501" s="3">
        <v>9.06E-2</v>
      </c>
      <c r="H7501">
        <v>675</v>
      </c>
      <c r="I7501">
        <v>796</v>
      </c>
      <c r="J7501">
        <v>1995</v>
      </c>
    </row>
    <row r="7502" spans="1:10">
      <c r="A7502" t="s">
        <v>194</v>
      </c>
      <c r="B7502" t="s">
        <v>199</v>
      </c>
      <c r="C7502" t="s">
        <v>224</v>
      </c>
      <c r="D7502" t="s">
        <v>1634</v>
      </c>
      <c r="E7502" s="3">
        <v>5.0000000000000001E-4</v>
      </c>
      <c r="F7502" s="3">
        <v>3.5999999999999999E-3</v>
      </c>
      <c r="G7502" s="3">
        <v>5.1000000000000004E-3</v>
      </c>
      <c r="H7502">
        <v>675</v>
      </c>
      <c r="I7502">
        <v>796</v>
      </c>
      <c r="J7502">
        <v>1995</v>
      </c>
    </row>
    <row r="7503" spans="1:10">
      <c r="A7503" t="s">
        <v>194</v>
      </c>
      <c r="B7503" t="s">
        <v>199</v>
      </c>
      <c r="C7503" t="s">
        <v>224</v>
      </c>
      <c r="D7503" t="s">
        <v>1642</v>
      </c>
      <c r="E7503" s="3">
        <v>4.0000000000000002E-4</v>
      </c>
      <c r="F7503" s="3">
        <v>4.0000000000000002E-4</v>
      </c>
      <c r="G7503" s="3">
        <v>5.1999999999999998E-3</v>
      </c>
      <c r="H7503">
        <v>675</v>
      </c>
      <c r="I7503">
        <v>796</v>
      </c>
      <c r="J7503">
        <v>1995</v>
      </c>
    </row>
    <row r="7504" spans="1:10">
      <c r="A7504" t="s">
        <v>194</v>
      </c>
      <c r="B7504" t="s">
        <v>199</v>
      </c>
      <c r="C7504" t="s">
        <v>224</v>
      </c>
      <c r="D7504" t="s">
        <v>1635</v>
      </c>
      <c r="E7504" s="3">
        <v>1.5E-3</v>
      </c>
      <c r="F7504" s="3">
        <v>6.4000000000000003E-3</v>
      </c>
      <c r="G7504" s="3">
        <v>3.6799999999999999E-2</v>
      </c>
      <c r="H7504">
        <v>675</v>
      </c>
      <c r="I7504">
        <v>796</v>
      </c>
      <c r="J7504">
        <v>1995</v>
      </c>
    </row>
    <row r="7505" spans="1:10">
      <c r="A7505" t="s">
        <v>194</v>
      </c>
      <c r="B7505" t="s">
        <v>199</v>
      </c>
      <c r="C7505" t="s">
        <v>224</v>
      </c>
      <c r="D7505" t="s">
        <v>1636</v>
      </c>
      <c r="E7505" s="3">
        <v>0.26150000000000001</v>
      </c>
      <c r="F7505" s="3">
        <v>0.24249999999999999</v>
      </c>
      <c r="G7505" s="3">
        <v>4.99E-2</v>
      </c>
      <c r="H7505">
        <v>675</v>
      </c>
      <c r="I7505">
        <v>796</v>
      </c>
      <c r="J7505">
        <v>1995</v>
      </c>
    </row>
    <row r="7506" spans="1:10">
      <c r="A7506" t="s">
        <v>194</v>
      </c>
      <c r="B7506" t="s">
        <v>199</v>
      </c>
      <c r="C7506" t="s">
        <v>224</v>
      </c>
      <c r="D7506" t="s">
        <v>1637</v>
      </c>
      <c r="E7506" s="3">
        <v>0.52829999999999999</v>
      </c>
      <c r="F7506" s="3">
        <v>0.1246</v>
      </c>
      <c r="G7506" s="3">
        <v>2.8299999999999999E-2</v>
      </c>
      <c r="H7506">
        <v>675</v>
      </c>
      <c r="I7506">
        <v>796</v>
      </c>
      <c r="J7506">
        <v>1995</v>
      </c>
    </row>
    <row r="7507" spans="1:10">
      <c r="A7507" t="s">
        <v>194</v>
      </c>
      <c r="B7507" t="s">
        <v>199</v>
      </c>
      <c r="C7507" t="s">
        <v>224</v>
      </c>
      <c r="D7507" t="s">
        <v>274</v>
      </c>
      <c r="E7507" s="3">
        <v>4.0000000000000002E-4</v>
      </c>
      <c r="F7507" s="3">
        <v>1.04E-2</v>
      </c>
      <c r="G7507" s="3">
        <v>1.77E-2</v>
      </c>
      <c r="H7507">
        <v>675</v>
      </c>
      <c r="I7507">
        <v>796</v>
      </c>
      <c r="J7507">
        <v>1995</v>
      </c>
    </row>
    <row r="7508" spans="1:10">
      <c r="A7508" t="s">
        <v>194</v>
      </c>
      <c r="B7508" t="s">
        <v>199</v>
      </c>
      <c r="C7508" t="s">
        <v>224</v>
      </c>
      <c r="D7508" t="s">
        <v>247</v>
      </c>
      <c r="E7508" s="3">
        <v>2.9999999999999997E-4</v>
      </c>
      <c r="G7508" s="3">
        <v>1.4E-3</v>
      </c>
      <c r="H7508">
        <v>675</v>
      </c>
      <c r="I7508">
        <v>796</v>
      </c>
      <c r="J7508">
        <v>1995</v>
      </c>
    </row>
    <row r="7509" spans="1:10">
      <c r="A7509" t="s">
        <v>194</v>
      </c>
      <c r="B7509" t="s">
        <v>199</v>
      </c>
      <c r="C7509" t="s">
        <v>224</v>
      </c>
      <c r="D7509" t="s">
        <v>1643</v>
      </c>
      <c r="E7509" s="3">
        <v>0</v>
      </c>
      <c r="F7509" s="3">
        <v>3.1300000000000001E-2</v>
      </c>
      <c r="G7509" s="3">
        <v>1.2500000000000001E-2</v>
      </c>
      <c r="H7509">
        <v>675</v>
      </c>
      <c r="I7509">
        <v>796</v>
      </c>
      <c r="J7509">
        <v>1995</v>
      </c>
    </row>
    <row r="7510" spans="1:10">
      <c r="A7510" t="s">
        <v>200</v>
      </c>
      <c r="B7510" t="s">
        <v>200</v>
      </c>
      <c r="C7510" t="s">
        <v>200</v>
      </c>
      <c r="D7510" t="s">
        <v>1624</v>
      </c>
      <c r="E7510" s="3">
        <v>4.4999999999999997E-3</v>
      </c>
      <c r="F7510" s="3">
        <v>1.54E-2</v>
      </c>
      <c r="G7510" s="3">
        <v>2.52E-2</v>
      </c>
      <c r="H7510">
        <v>1995</v>
      </c>
      <c r="I7510">
        <v>1995</v>
      </c>
      <c r="J7510">
        <v>1995</v>
      </c>
    </row>
    <row r="7511" spans="1:10">
      <c r="A7511" t="s">
        <v>200</v>
      </c>
      <c r="B7511" t="s">
        <v>200</v>
      </c>
      <c r="C7511" t="s">
        <v>200</v>
      </c>
      <c r="D7511" t="s">
        <v>257</v>
      </c>
      <c r="E7511" s="3">
        <v>6.8999999999999999E-3</v>
      </c>
      <c r="F7511" s="3">
        <v>4.1799999999999997E-2</v>
      </c>
      <c r="G7511" s="3">
        <v>6.8900000000000003E-2</v>
      </c>
      <c r="H7511">
        <v>1995</v>
      </c>
      <c r="I7511">
        <v>1995</v>
      </c>
      <c r="J7511">
        <v>1995</v>
      </c>
    </row>
    <row r="7512" spans="1:10">
      <c r="A7512" t="s">
        <v>200</v>
      </c>
      <c r="B7512" t="s">
        <v>200</v>
      </c>
      <c r="C7512" t="s">
        <v>200</v>
      </c>
      <c r="D7512" t="s">
        <v>1638</v>
      </c>
      <c r="E7512" s="3">
        <v>1.4999999999999999E-2</v>
      </c>
      <c r="F7512" s="3">
        <v>7.5200000000000003E-2</v>
      </c>
      <c r="G7512" s="3">
        <v>0.1067</v>
      </c>
      <c r="H7512">
        <v>1995</v>
      </c>
      <c r="I7512">
        <v>1995</v>
      </c>
      <c r="J7512">
        <v>1995</v>
      </c>
    </row>
    <row r="7513" spans="1:10">
      <c r="A7513" t="s">
        <v>200</v>
      </c>
      <c r="B7513" t="s">
        <v>200</v>
      </c>
      <c r="C7513" t="s">
        <v>200</v>
      </c>
      <c r="D7513" t="s">
        <v>1639</v>
      </c>
      <c r="E7513" s="3">
        <v>4.7000000000000002E-3</v>
      </c>
      <c r="F7513" s="3">
        <v>2.41E-2</v>
      </c>
      <c r="G7513" s="3">
        <v>2.0500000000000001E-2</v>
      </c>
      <c r="H7513">
        <v>1995</v>
      </c>
      <c r="I7513">
        <v>1995</v>
      </c>
      <c r="J7513">
        <v>1995</v>
      </c>
    </row>
    <row r="7514" spans="1:10">
      <c r="A7514" t="s">
        <v>200</v>
      </c>
      <c r="B7514" t="s">
        <v>200</v>
      </c>
      <c r="C7514" t="s">
        <v>200</v>
      </c>
      <c r="D7514" t="s">
        <v>1625</v>
      </c>
      <c r="E7514" s="3">
        <v>4.2700000000000002E-2</v>
      </c>
      <c r="F7514" s="3">
        <v>4.3299999999999998E-2</v>
      </c>
      <c r="G7514" s="3">
        <v>4.7500000000000001E-2</v>
      </c>
      <c r="H7514">
        <v>1995</v>
      </c>
      <c r="I7514">
        <v>1995</v>
      </c>
      <c r="J7514">
        <v>1995</v>
      </c>
    </row>
    <row r="7515" spans="1:10">
      <c r="A7515" t="s">
        <v>200</v>
      </c>
      <c r="B7515" t="s">
        <v>200</v>
      </c>
      <c r="C7515" t="s">
        <v>200</v>
      </c>
      <c r="D7515" t="s">
        <v>1626</v>
      </c>
      <c r="E7515" s="3">
        <v>4.0000000000000002E-4</v>
      </c>
      <c r="F7515" s="3">
        <v>2.3E-3</v>
      </c>
      <c r="G7515" s="3">
        <v>1.0999999999999999E-2</v>
      </c>
      <c r="H7515">
        <v>1995</v>
      </c>
      <c r="I7515">
        <v>1995</v>
      </c>
      <c r="J7515">
        <v>1995</v>
      </c>
    </row>
    <row r="7516" spans="1:10">
      <c r="A7516" t="s">
        <v>200</v>
      </c>
      <c r="B7516" t="s">
        <v>200</v>
      </c>
      <c r="C7516" t="s">
        <v>200</v>
      </c>
      <c r="D7516" t="s">
        <v>1627</v>
      </c>
      <c r="E7516" s="3">
        <v>4.7199999999999999E-2</v>
      </c>
      <c r="F7516" s="3">
        <v>9.3700000000000006E-2</v>
      </c>
      <c r="G7516" s="3">
        <v>0.14050000000000001</v>
      </c>
      <c r="H7516">
        <v>1995</v>
      </c>
      <c r="I7516">
        <v>1995</v>
      </c>
      <c r="J7516">
        <v>1995</v>
      </c>
    </row>
    <row r="7517" spans="1:10">
      <c r="A7517" t="s">
        <v>200</v>
      </c>
      <c r="B7517" t="s">
        <v>200</v>
      </c>
      <c r="C7517" t="s">
        <v>200</v>
      </c>
      <c r="D7517" t="s">
        <v>1644</v>
      </c>
      <c r="E7517" s="3">
        <v>2.0000000000000001E-4</v>
      </c>
      <c r="F7517" s="3">
        <v>3.3E-3</v>
      </c>
      <c r="G7517" s="3">
        <v>1.09E-2</v>
      </c>
      <c r="H7517">
        <v>1995</v>
      </c>
      <c r="I7517">
        <v>1995</v>
      </c>
      <c r="J7517">
        <v>1995</v>
      </c>
    </row>
    <row r="7518" spans="1:10">
      <c r="A7518" t="s">
        <v>200</v>
      </c>
      <c r="B7518" t="s">
        <v>200</v>
      </c>
      <c r="C7518" t="s">
        <v>200</v>
      </c>
      <c r="D7518" t="s">
        <v>1628</v>
      </c>
      <c r="E7518" s="3">
        <v>3.2500000000000001E-2</v>
      </c>
      <c r="F7518" s="3">
        <v>8.48E-2</v>
      </c>
      <c r="G7518" s="3">
        <v>7.0499999999999993E-2</v>
      </c>
      <c r="H7518">
        <v>1995</v>
      </c>
      <c r="I7518">
        <v>1995</v>
      </c>
      <c r="J7518">
        <v>1995</v>
      </c>
    </row>
    <row r="7519" spans="1:10">
      <c r="A7519" t="s">
        <v>200</v>
      </c>
      <c r="B7519" t="s">
        <v>200</v>
      </c>
      <c r="C7519" t="s">
        <v>200</v>
      </c>
      <c r="D7519" t="s">
        <v>1629</v>
      </c>
      <c r="E7519" s="3">
        <v>6.0000000000000001E-3</v>
      </c>
      <c r="F7519" s="3">
        <v>1.37E-2</v>
      </c>
      <c r="G7519" s="3">
        <v>1.24E-2</v>
      </c>
      <c r="H7519">
        <v>1995</v>
      </c>
      <c r="I7519">
        <v>1995</v>
      </c>
      <c r="J7519">
        <v>1995</v>
      </c>
    </row>
    <row r="7520" spans="1:10">
      <c r="A7520" t="s">
        <v>200</v>
      </c>
      <c r="B7520" t="s">
        <v>200</v>
      </c>
      <c r="C7520" t="s">
        <v>200</v>
      </c>
      <c r="D7520" t="s">
        <v>1640</v>
      </c>
      <c r="E7520" s="3">
        <v>2.2000000000000001E-3</v>
      </c>
      <c r="F7520" s="3">
        <v>8.3999999999999995E-3</v>
      </c>
      <c r="G7520" s="3">
        <v>7.0000000000000001E-3</v>
      </c>
      <c r="H7520">
        <v>1995</v>
      </c>
      <c r="I7520">
        <v>1995</v>
      </c>
      <c r="J7520">
        <v>1995</v>
      </c>
    </row>
    <row r="7521" spans="1:10">
      <c r="A7521" t="s">
        <v>200</v>
      </c>
      <c r="B7521" t="s">
        <v>200</v>
      </c>
      <c r="C7521" t="s">
        <v>200</v>
      </c>
      <c r="D7521" t="s">
        <v>1630</v>
      </c>
      <c r="E7521" s="3">
        <v>7.6E-3</v>
      </c>
      <c r="F7521" s="3">
        <v>2.18E-2</v>
      </c>
      <c r="G7521" s="3">
        <v>1.41E-2</v>
      </c>
      <c r="H7521">
        <v>1995</v>
      </c>
      <c r="I7521">
        <v>1995</v>
      </c>
      <c r="J7521">
        <v>1995</v>
      </c>
    </row>
    <row r="7522" spans="1:10">
      <c r="A7522" t="s">
        <v>200</v>
      </c>
      <c r="B7522" t="s">
        <v>200</v>
      </c>
      <c r="C7522" t="s">
        <v>200</v>
      </c>
      <c r="D7522" t="s">
        <v>1631</v>
      </c>
      <c r="E7522" s="3">
        <v>2.3900000000000001E-2</v>
      </c>
      <c r="F7522" s="3">
        <v>0.112</v>
      </c>
      <c r="G7522" s="3">
        <v>0.1164</v>
      </c>
      <c r="H7522">
        <v>1995</v>
      </c>
      <c r="I7522">
        <v>1995</v>
      </c>
      <c r="J7522">
        <v>1995</v>
      </c>
    </row>
    <row r="7523" spans="1:10">
      <c r="A7523" t="s">
        <v>200</v>
      </c>
      <c r="B7523" t="s">
        <v>200</v>
      </c>
      <c r="C7523" t="s">
        <v>200</v>
      </c>
      <c r="D7523" t="s">
        <v>1641</v>
      </c>
      <c r="E7523" s="3">
        <v>2.3E-3</v>
      </c>
      <c r="F7523" s="3">
        <v>5.0000000000000001E-3</v>
      </c>
      <c r="G7523" s="3">
        <v>2.3599999999999999E-2</v>
      </c>
      <c r="H7523">
        <v>1995</v>
      </c>
      <c r="I7523">
        <v>1995</v>
      </c>
      <c r="J7523">
        <v>1995</v>
      </c>
    </row>
    <row r="7524" spans="1:10">
      <c r="A7524" t="s">
        <v>200</v>
      </c>
      <c r="B7524" t="s">
        <v>200</v>
      </c>
      <c r="C7524" t="s">
        <v>200</v>
      </c>
      <c r="D7524" t="s">
        <v>1632</v>
      </c>
      <c r="E7524" s="3">
        <v>2.4199999999999999E-2</v>
      </c>
      <c r="F7524" s="3">
        <v>6.3799999999999996E-2</v>
      </c>
      <c r="G7524" s="3">
        <v>9.1399999999999995E-2</v>
      </c>
      <c r="H7524">
        <v>1995</v>
      </c>
      <c r="I7524">
        <v>1995</v>
      </c>
      <c r="J7524">
        <v>1995</v>
      </c>
    </row>
    <row r="7525" spans="1:10">
      <c r="A7525" t="s">
        <v>200</v>
      </c>
      <c r="B7525" t="s">
        <v>200</v>
      </c>
      <c r="C7525" t="s">
        <v>200</v>
      </c>
      <c r="D7525" t="s">
        <v>1633</v>
      </c>
      <c r="E7525" s="3">
        <v>3.2000000000000002E-3</v>
      </c>
      <c r="F7525" s="3">
        <v>4.5999999999999999E-3</v>
      </c>
      <c r="G7525" s="3">
        <v>1.3599999999999999E-2</v>
      </c>
      <c r="H7525">
        <v>1995</v>
      </c>
      <c r="I7525">
        <v>1995</v>
      </c>
      <c r="J7525">
        <v>1995</v>
      </c>
    </row>
    <row r="7526" spans="1:10">
      <c r="A7526" t="s">
        <v>200</v>
      </c>
      <c r="B7526" t="s">
        <v>200</v>
      </c>
      <c r="C7526" t="s">
        <v>200</v>
      </c>
      <c r="D7526" t="s">
        <v>1634</v>
      </c>
      <c r="E7526" s="3">
        <v>3.8999999999999998E-3</v>
      </c>
      <c r="F7526" s="3">
        <v>1.55E-2</v>
      </c>
      <c r="G7526" s="3">
        <v>2.1299999999999999E-2</v>
      </c>
      <c r="H7526">
        <v>1995</v>
      </c>
      <c r="I7526">
        <v>1995</v>
      </c>
      <c r="J7526">
        <v>1995</v>
      </c>
    </row>
    <row r="7527" spans="1:10">
      <c r="A7527" t="s">
        <v>200</v>
      </c>
      <c r="B7527" t="s">
        <v>200</v>
      </c>
      <c r="C7527" t="s">
        <v>200</v>
      </c>
      <c r="D7527" t="s">
        <v>1642</v>
      </c>
      <c r="E7527" s="3">
        <v>1.1000000000000001E-3</v>
      </c>
      <c r="F7527" s="3">
        <v>2.0000000000000001E-4</v>
      </c>
      <c r="G7527" s="3">
        <v>7.3000000000000001E-3</v>
      </c>
      <c r="H7527">
        <v>1995</v>
      </c>
      <c r="I7527">
        <v>1995</v>
      </c>
      <c r="J7527">
        <v>1995</v>
      </c>
    </row>
    <row r="7528" spans="1:10">
      <c r="A7528" t="s">
        <v>200</v>
      </c>
      <c r="B7528" t="s">
        <v>200</v>
      </c>
      <c r="C7528" t="s">
        <v>200</v>
      </c>
      <c r="D7528" t="s">
        <v>1635</v>
      </c>
      <c r="E7528" s="3">
        <v>5.3E-3</v>
      </c>
      <c r="F7528" s="3">
        <v>1.3299999999999999E-2</v>
      </c>
      <c r="G7528" s="3">
        <v>4.1500000000000002E-2</v>
      </c>
      <c r="H7528">
        <v>1995</v>
      </c>
      <c r="I7528">
        <v>1995</v>
      </c>
      <c r="J7528">
        <v>1995</v>
      </c>
    </row>
    <row r="7529" spans="1:10">
      <c r="A7529" t="s">
        <v>200</v>
      </c>
      <c r="B7529" t="s">
        <v>200</v>
      </c>
      <c r="C7529" t="s">
        <v>200</v>
      </c>
      <c r="D7529" t="s">
        <v>1636</v>
      </c>
      <c r="E7529" s="3">
        <v>0.37080000000000002</v>
      </c>
      <c r="F7529" s="3">
        <v>0.2258</v>
      </c>
      <c r="G7529" s="3">
        <v>7.7700000000000005E-2</v>
      </c>
      <c r="H7529">
        <v>1995</v>
      </c>
      <c r="I7529">
        <v>1995</v>
      </c>
      <c r="J7529">
        <v>1995</v>
      </c>
    </row>
    <row r="7530" spans="1:10">
      <c r="A7530" t="s">
        <v>200</v>
      </c>
      <c r="B7530" t="s">
        <v>200</v>
      </c>
      <c r="C7530" t="s">
        <v>200</v>
      </c>
      <c r="D7530" t="s">
        <v>1637</v>
      </c>
      <c r="E7530" s="3">
        <v>0.38950000000000001</v>
      </c>
      <c r="F7530" s="3">
        <v>0.1105</v>
      </c>
      <c r="G7530" s="3">
        <v>3.7499999999999999E-2</v>
      </c>
      <c r="H7530">
        <v>1995</v>
      </c>
      <c r="I7530">
        <v>1995</v>
      </c>
      <c r="J7530">
        <v>1995</v>
      </c>
    </row>
    <row r="7531" spans="1:10">
      <c r="A7531" t="s">
        <v>200</v>
      </c>
      <c r="B7531" t="s">
        <v>200</v>
      </c>
      <c r="C7531" t="s">
        <v>200</v>
      </c>
      <c r="D7531" t="s">
        <v>274</v>
      </c>
      <c r="E7531" s="3">
        <v>6.9999999999999999E-4</v>
      </c>
      <c r="F7531" s="3">
        <v>9.1999999999999998E-3</v>
      </c>
      <c r="G7531" s="3">
        <v>1.32E-2</v>
      </c>
      <c r="H7531">
        <v>1995</v>
      </c>
      <c r="I7531">
        <v>1995</v>
      </c>
      <c r="J7531">
        <v>1995</v>
      </c>
    </row>
    <row r="7532" spans="1:10">
      <c r="A7532" t="s">
        <v>200</v>
      </c>
      <c r="B7532" t="s">
        <v>200</v>
      </c>
      <c r="C7532" t="s">
        <v>200</v>
      </c>
      <c r="D7532" t="s">
        <v>247</v>
      </c>
      <c r="E7532" s="3">
        <v>4.8999999999999998E-3</v>
      </c>
      <c r="F7532" s="3">
        <v>0</v>
      </c>
      <c r="G7532" s="3">
        <v>1.4E-3</v>
      </c>
      <c r="H7532">
        <v>1995</v>
      </c>
      <c r="I7532">
        <v>1995</v>
      </c>
      <c r="J7532">
        <v>1995</v>
      </c>
    </row>
    <row r="7533" spans="1:10">
      <c r="A7533" t="s">
        <v>200</v>
      </c>
      <c r="B7533" t="s">
        <v>200</v>
      </c>
      <c r="C7533" t="s">
        <v>200</v>
      </c>
      <c r="D7533" t="s">
        <v>1643</v>
      </c>
      <c r="E7533" s="3">
        <v>1E-4</v>
      </c>
      <c r="F7533" s="3">
        <v>1.2E-2</v>
      </c>
      <c r="G7533" s="3">
        <v>0.02</v>
      </c>
      <c r="H7533">
        <v>1995</v>
      </c>
      <c r="I7533">
        <v>1995</v>
      </c>
      <c r="J7533">
        <v>1995</v>
      </c>
    </row>
    <row r="7535" spans="1:10" ht="45">
      <c r="A7535" s="22" t="s">
        <v>1645</v>
      </c>
    </row>
    <row r="7536" spans="1:10">
      <c r="A7536" t="s">
        <v>184</v>
      </c>
      <c r="B7536" t="s">
        <v>185</v>
      </c>
      <c r="C7536" t="s">
        <v>186</v>
      </c>
      <c r="D7536" t="s">
        <v>1007</v>
      </c>
      <c r="E7536" t="s">
        <v>1621</v>
      </c>
      <c r="F7536" t="s">
        <v>1622</v>
      </c>
      <c r="G7536" t="s">
        <v>1623</v>
      </c>
      <c r="H7536" t="s">
        <v>1018</v>
      </c>
      <c r="I7536" t="s">
        <v>192</v>
      </c>
      <c r="J7536" t="s">
        <v>193</v>
      </c>
    </row>
    <row r="7537" spans="1:10">
      <c r="A7537" t="s">
        <v>194</v>
      </c>
      <c r="B7537" t="s">
        <v>195</v>
      </c>
      <c r="C7537" t="s">
        <v>229</v>
      </c>
      <c r="D7537" t="s">
        <v>1624</v>
      </c>
      <c r="E7537" s="3">
        <v>1.1999999999999999E-3</v>
      </c>
      <c r="F7537" s="3">
        <v>8.3000000000000001E-3</v>
      </c>
      <c r="G7537" s="3">
        <v>0.1134</v>
      </c>
      <c r="H7537">
        <v>139</v>
      </c>
      <c r="I7537">
        <v>94</v>
      </c>
      <c r="J7537">
        <v>1995</v>
      </c>
    </row>
    <row r="7538" spans="1:10">
      <c r="A7538" t="s">
        <v>194</v>
      </c>
      <c r="B7538" t="s">
        <v>195</v>
      </c>
      <c r="C7538" t="s">
        <v>229</v>
      </c>
      <c r="D7538" t="s">
        <v>1638</v>
      </c>
      <c r="E7538" s="3">
        <v>7.7999999999999996E-3</v>
      </c>
      <c r="F7538" s="3">
        <v>0.13500000000000001</v>
      </c>
      <c r="G7538" s="3">
        <v>3.0599999999999999E-2</v>
      </c>
      <c r="H7538">
        <v>139</v>
      </c>
      <c r="I7538">
        <v>94</v>
      </c>
      <c r="J7538">
        <v>1995</v>
      </c>
    </row>
    <row r="7539" spans="1:10">
      <c r="A7539" t="s">
        <v>194</v>
      </c>
      <c r="B7539" t="s">
        <v>195</v>
      </c>
      <c r="C7539" t="s">
        <v>229</v>
      </c>
      <c r="D7539" t="s">
        <v>1639</v>
      </c>
      <c r="E7539" s="3">
        <v>1.1000000000000001E-3</v>
      </c>
      <c r="F7539" s="3">
        <v>5.5E-2</v>
      </c>
      <c r="H7539">
        <v>139</v>
      </c>
      <c r="I7539">
        <v>94</v>
      </c>
      <c r="J7539">
        <v>1995</v>
      </c>
    </row>
    <row r="7540" spans="1:10">
      <c r="A7540" t="s">
        <v>194</v>
      </c>
      <c r="B7540" t="s">
        <v>195</v>
      </c>
      <c r="C7540" t="s">
        <v>229</v>
      </c>
      <c r="D7540" t="s">
        <v>1625</v>
      </c>
      <c r="E7540" s="3">
        <v>6.8500000000000005E-2</v>
      </c>
      <c r="F7540" s="3">
        <v>6.54E-2</v>
      </c>
      <c r="H7540">
        <v>139</v>
      </c>
      <c r="I7540">
        <v>94</v>
      </c>
      <c r="J7540">
        <v>1995</v>
      </c>
    </row>
    <row r="7541" spans="1:10">
      <c r="A7541" t="s">
        <v>194</v>
      </c>
      <c r="B7541" t="s">
        <v>195</v>
      </c>
      <c r="C7541" t="s">
        <v>229</v>
      </c>
      <c r="D7541" t="s">
        <v>1627</v>
      </c>
      <c r="E7541" s="3">
        <v>9.5299999999999996E-2</v>
      </c>
      <c r="F7541" s="3">
        <v>2.7799999999999998E-2</v>
      </c>
      <c r="G7541" s="3">
        <v>9.6299999999999997E-2</v>
      </c>
      <c r="H7541">
        <v>139</v>
      </c>
      <c r="I7541">
        <v>94</v>
      </c>
      <c r="J7541">
        <v>1995</v>
      </c>
    </row>
    <row r="7542" spans="1:10">
      <c r="A7542" t="s">
        <v>194</v>
      </c>
      <c r="B7542" t="s">
        <v>195</v>
      </c>
      <c r="C7542" t="s">
        <v>229</v>
      </c>
      <c r="D7542" t="s">
        <v>1628</v>
      </c>
      <c r="E7542" s="3">
        <v>1.11E-2</v>
      </c>
      <c r="F7542" s="3">
        <v>9.2100000000000001E-2</v>
      </c>
      <c r="G7542" s="3">
        <v>0.12759999999999999</v>
      </c>
      <c r="H7542">
        <v>139</v>
      </c>
      <c r="I7542">
        <v>94</v>
      </c>
      <c r="J7542">
        <v>1995</v>
      </c>
    </row>
    <row r="7543" spans="1:10">
      <c r="A7543" t="s">
        <v>194</v>
      </c>
      <c r="B7543" t="s">
        <v>195</v>
      </c>
      <c r="C7543" t="s">
        <v>229</v>
      </c>
      <c r="D7543" t="s">
        <v>1629</v>
      </c>
      <c r="E7543" s="3">
        <v>2.4199999999999999E-2</v>
      </c>
      <c r="F7543" s="3">
        <v>4.0000000000000002E-4</v>
      </c>
      <c r="G7543" s="3">
        <v>1.11E-2</v>
      </c>
      <c r="H7543">
        <v>139</v>
      </c>
      <c r="I7543">
        <v>94</v>
      </c>
      <c r="J7543">
        <v>1995</v>
      </c>
    </row>
    <row r="7544" spans="1:10">
      <c r="A7544" t="s">
        <v>194</v>
      </c>
      <c r="B7544" t="s">
        <v>195</v>
      </c>
      <c r="C7544" t="s">
        <v>229</v>
      </c>
      <c r="D7544" t="s">
        <v>1631</v>
      </c>
      <c r="E7544" s="3">
        <v>6.7699999999999996E-2</v>
      </c>
      <c r="F7544" s="3">
        <v>0.13800000000000001</v>
      </c>
      <c r="G7544" s="3">
        <v>0.1145</v>
      </c>
      <c r="H7544">
        <v>139</v>
      </c>
      <c r="I7544">
        <v>94</v>
      </c>
      <c r="J7544">
        <v>1995</v>
      </c>
    </row>
    <row r="7545" spans="1:10">
      <c r="A7545" t="s">
        <v>194</v>
      </c>
      <c r="B7545" t="s">
        <v>195</v>
      </c>
      <c r="C7545" t="s">
        <v>229</v>
      </c>
      <c r="D7545" t="s">
        <v>1632</v>
      </c>
      <c r="E7545" s="3">
        <v>2.9899999999999999E-2</v>
      </c>
      <c r="F7545" s="3">
        <v>0.05</v>
      </c>
      <c r="G7545" s="3">
        <v>0.1011</v>
      </c>
      <c r="H7545">
        <v>139</v>
      </c>
      <c r="I7545">
        <v>94</v>
      </c>
      <c r="J7545">
        <v>1995</v>
      </c>
    </row>
    <row r="7546" spans="1:10">
      <c r="A7546" t="s">
        <v>194</v>
      </c>
      <c r="B7546" t="s">
        <v>195</v>
      </c>
      <c r="C7546" t="s">
        <v>229</v>
      </c>
      <c r="D7546" t="s">
        <v>1635</v>
      </c>
      <c r="E7546" s="3">
        <v>1.0699999999999999E-2</v>
      </c>
      <c r="F7546" s="3">
        <v>1.4200000000000001E-2</v>
      </c>
      <c r="H7546">
        <v>139</v>
      </c>
      <c r="I7546">
        <v>94</v>
      </c>
      <c r="J7546">
        <v>1995</v>
      </c>
    </row>
    <row r="7547" spans="1:10">
      <c r="A7547" t="s">
        <v>194</v>
      </c>
      <c r="B7547" t="s">
        <v>195</v>
      </c>
      <c r="C7547" t="s">
        <v>229</v>
      </c>
      <c r="D7547" t="s">
        <v>1636</v>
      </c>
      <c r="E7547" s="3">
        <v>0.30430000000000001</v>
      </c>
      <c r="F7547" s="3">
        <v>0.2621</v>
      </c>
      <c r="G7547" s="3">
        <v>7.5999999999999998E-2</v>
      </c>
      <c r="H7547">
        <v>139</v>
      </c>
      <c r="I7547">
        <v>94</v>
      </c>
      <c r="J7547">
        <v>1995</v>
      </c>
    </row>
    <row r="7548" spans="1:10">
      <c r="A7548" t="s">
        <v>194</v>
      </c>
      <c r="B7548" t="s">
        <v>195</v>
      </c>
      <c r="C7548" t="s">
        <v>229</v>
      </c>
      <c r="D7548" t="s">
        <v>1637</v>
      </c>
      <c r="E7548" s="3">
        <v>0.31659999999999999</v>
      </c>
      <c r="F7548" s="3">
        <v>5.9700000000000003E-2</v>
      </c>
      <c r="G7548" s="3">
        <v>0.14779999999999999</v>
      </c>
      <c r="H7548">
        <v>139</v>
      </c>
      <c r="I7548">
        <v>94</v>
      </c>
      <c r="J7548">
        <v>1995</v>
      </c>
    </row>
    <row r="7549" spans="1:10">
      <c r="A7549" t="s">
        <v>194</v>
      </c>
      <c r="B7549" t="s">
        <v>195</v>
      </c>
      <c r="C7549" t="s">
        <v>229</v>
      </c>
      <c r="D7549" t="s">
        <v>247</v>
      </c>
      <c r="E7549" s="3">
        <v>6.1600000000000002E-2</v>
      </c>
      <c r="H7549">
        <v>139</v>
      </c>
      <c r="I7549">
        <v>94</v>
      </c>
      <c r="J7549">
        <v>1995</v>
      </c>
    </row>
    <row r="7550" spans="1:10">
      <c r="A7550" t="s">
        <v>194</v>
      </c>
      <c r="B7550" t="s">
        <v>195</v>
      </c>
      <c r="C7550" t="s">
        <v>230</v>
      </c>
      <c r="D7550" t="s">
        <v>1624</v>
      </c>
      <c r="E7550" s="3">
        <v>5.0000000000000001E-3</v>
      </c>
      <c r="F7550" s="3">
        <v>3.2399999999999998E-2</v>
      </c>
      <c r="G7550" s="3">
        <v>1.3599999999999999E-2</v>
      </c>
      <c r="H7550">
        <v>376</v>
      </c>
      <c r="I7550">
        <v>379</v>
      </c>
      <c r="J7550">
        <v>1995</v>
      </c>
    </row>
    <row r="7551" spans="1:10">
      <c r="A7551" t="s">
        <v>194</v>
      </c>
      <c r="B7551" t="s">
        <v>195</v>
      </c>
      <c r="C7551" t="s">
        <v>230</v>
      </c>
      <c r="D7551" t="s">
        <v>257</v>
      </c>
      <c r="E7551" s="3">
        <v>3.0999999999999999E-3</v>
      </c>
      <c r="F7551" s="3">
        <v>2.35E-2</v>
      </c>
      <c r="G7551" s="3">
        <v>4.8300000000000003E-2</v>
      </c>
      <c r="H7551">
        <v>376</v>
      </c>
      <c r="I7551">
        <v>379</v>
      </c>
      <c r="J7551">
        <v>1995</v>
      </c>
    </row>
    <row r="7552" spans="1:10">
      <c r="A7552" t="s">
        <v>194</v>
      </c>
      <c r="B7552" t="s">
        <v>195</v>
      </c>
      <c r="C7552" t="s">
        <v>230</v>
      </c>
      <c r="D7552" t="s">
        <v>1638</v>
      </c>
      <c r="E7552" s="3">
        <v>2.7000000000000001E-3</v>
      </c>
      <c r="F7552" s="3">
        <v>4.7600000000000003E-2</v>
      </c>
      <c r="G7552" s="3">
        <v>9.7000000000000003E-2</v>
      </c>
      <c r="H7552">
        <v>376</v>
      </c>
      <c r="I7552">
        <v>379</v>
      </c>
      <c r="J7552">
        <v>1995</v>
      </c>
    </row>
    <row r="7553" spans="1:10">
      <c r="A7553" t="s">
        <v>194</v>
      </c>
      <c r="B7553" t="s">
        <v>195</v>
      </c>
      <c r="C7553" t="s">
        <v>230</v>
      </c>
      <c r="D7553" t="s">
        <v>1639</v>
      </c>
      <c r="E7553" s="3">
        <v>4.1000000000000003E-3</v>
      </c>
      <c r="F7553" s="3">
        <v>2.3400000000000001E-2</v>
      </c>
      <c r="G7553" s="3">
        <v>1.43E-2</v>
      </c>
      <c r="H7553">
        <v>376</v>
      </c>
      <c r="I7553">
        <v>379</v>
      </c>
      <c r="J7553">
        <v>1995</v>
      </c>
    </row>
    <row r="7554" spans="1:10">
      <c r="A7554" t="s">
        <v>194</v>
      </c>
      <c r="B7554" t="s">
        <v>195</v>
      </c>
      <c r="C7554" t="s">
        <v>230</v>
      </c>
      <c r="D7554" t="s">
        <v>1625</v>
      </c>
      <c r="E7554" s="3">
        <v>8.4699999999999998E-2</v>
      </c>
      <c r="F7554" s="3">
        <v>6.6500000000000004E-2</v>
      </c>
      <c r="G7554" s="3">
        <v>6.0600000000000001E-2</v>
      </c>
      <c r="H7554">
        <v>376</v>
      </c>
      <c r="I7554">
        <v>379</v>
      </c>
      <c r="J7554">
        <v>1995</v>
      </c>
    </row>
    <row r="7555" spans="1:10">
      <c r="A7555" t="s">
        <v>194</v>
      </c>
      <c r="B7555" t="s">
        <v>195</v>
      </c>
      <c r="C7555" t="s">
        <v>230</v>
      </c>
      <c r="D7555" t="s">
        <v>1627</v>
      </c>
      <c r="E7555" s="3">
        <v>2.1499999999999998E-2</v>
      </c>
      <c r="F7555" s="3">
        <v>8.5000000000000006E-2</v>
      </c>
      <c r="G7555" s="3">
        <v>0.1605</v>
      </c>
      <c r="H7555">
        <v>376</v>
      </c>
      <c r="I7555">
        <v>379</v>
      </c>
      <c r="J7555">
        <v>1995</v>
      </c>
    </row>
    <row r="7556" spans="1:10">
      <c r="A7556" t="s">
        <v>194</v>
      </c>
      <c r="B7556" t="s">
        <v>195</v>
      </c>
      <c r="C7556" t="s">
        <v>230</v>
      </c>
      <c r="D7556" t="s">
        <v>1628</v>
      </c>
      <c r="E7556" s="3">
        <v>1.8499999999999999E-2</v>
      </c>
      <c r="F7556" s="3">
        <v>2.86E-2</v>
      </c>
      <c r="G7556" s="3">
        <v>3.6600000000000001E-2</v>
      </c>
      <c r="H7556">
        <v>376</v>
      </c>
      <c r="I7556">
        <v>379</v>
      </c>
      <c r="J7556">
        <v>1995</v>
      </c>
    </row>
    <row r="7557" spans="1:10">
      <c r="A7557" t="s">
        <v>194</v>
      </c>
      <c r="B7557" t="s">
        <v>195</v>
      </c>
      <c r="C7557" t="s">
        <v>230</v>
      </c>
      <c r="D7557" t="s">
        <v>1629</v>
      </c>
      <c r="E7557" s="3">
        <v>2.3999999999999998E-3</v>
      </c>
      <c r="F7557" s="3">
        <v>6.1999999999999998E-3</v>
      </c>
      <c r="G7557" s="3">
        <v>1.38E-2</v>
      </c>
      <c r="H7557">
        <v>376</v>
      </c>
      <c r="I7557">
        <v>379</v>
      </c>
      <c r="J7557">
        <v>1995</v>
      </c>
    </row>
    <row r="7558" spans="1:10">
      <c r="A7558" t="s">
        <v>194</v>
      </c>
      <c r="B7558" t="s">
        <v>195</v>
      </c>
      <c r="C7558" t="s">
        <v>230</v>
      </c>
      <c r="D7558" t="s">
        <v>1640</v>
      </c>
      <c r="E7558" s="3">
        <v>5.8999999999999999E-3</v>
      </c>
      <c r="F7558" s="3">
        <v>2.5999999999999999E-3</v>
      </c>
      <c r="G7558" s="3">
        <v>5.1000000000000004E-3</v>
      </c>
      <c r="H7558">
        <v>376</v>
      </c>
      <c r="I7558">
        <v>379</v>
      </c>
      <c r="J7558">
        <v>1995</v>
      </c>
    </row>
    <row r="7559" spans="1:10">
      <c r="A7559" t="s">
        <v>194</v>
      </c>
      <c r="B7559" t="s">
        <v>195</v>
      </c>
      <c r="C7559" t="s">
        <v>230</v>
      </c>
      <c r="D7559" t="s">
        <v>1631</v>
      </c>
      <c r="E7559" s="3">
        <v>3.27E-2</v>
      </c>
      <c r="F7559" s="3">
        <v>0.1726</v>
      </c>
      <c r="G7559" s="3">
        <v>0.1023</v>
      </c>
      <c r="H7559">
        <v>376</v>
      </c>
      <c r="I7559">
        <v>379</v>
      </c>
      <c r="J7559">
        <v>1995</v>
      </c>
    </row>
    <row r="7560" spans="1:10">
      <c r="A7560" t="s">
        <v>194</v>
      </c>
      <c r="B7560" t="s">
        <v>195</v>
      </c>
      <c r="C7560" t="s">
        <v>230</v>
      </c>
      <c r="D7560" t="s">
        <v>1641</v>
      </c>
      <c r="E7560" s="3">
        <v>8.0999999999999996E-3</v>
      </c>
      <c r="F7560" s="3">
        <v>5.1999999999999998E-3</v>
      </c>
      <c r="G7560" s="3">
        <v>1.6400000000000001E-2</v>
      </c>
      <c r="H7560">
        <v>376</v>
      </c>
      <c r="I7560">
        <v>379</v>
      </c>
      <c r="J7560">
        <v>1995</v>
      </c>
    </row>
    <row r="7561" spans="1:10">
      <c r="A7561" t="s">
        <v>194</v>
      </c>
      <c r="B7561" t="s">
        <v>195</v>
      </c>
      <c r="C7561" t="s">
        <v>230</v>
      </c>
      <c r="D7561" t="s">
        <v>1632</v>
      </c>
      <c r="E7561" s="3">
        <v>1.1299999999999999E-2</v>
      </c>
      <c r="F7561" s="3">
        <v>9.5600000000000004E-2</v>
      </c>
      <c r="G7561" s="3">
        <v>0.11210000000000001</v>
      </c>
      <c r="H7561">
        <v>376</v>
      </c>
      <c r="I7561">
        <v>379</v>
      </c>
      <c r="J7561">
        <v>1995</v>
      </c>
    </row>
    <row r="7562" spans="1:10">
      <c r="A7562" t="s">
        <v>194</v>
      </c>
      <c r="B7562" t="s">
        <v>195</v>
      </c>
      <c r="C7562" t="s">
        <v>230</v>
      </c>
      <c r="D7562" t="s">
        <v>1633</v>
      </c>
      <c r="E7562" s="3">
        <v>1.4E-3</v>
      </c>
      <c r="F7562" s="3">
        <v>1E-3</v>
      </c>
      <c r="G7562" s="3">
        <v>1.77E-2</v>
      </c>
      <c r="H7562">
        <v>376</v>
      </c>
      <c r="I7562">
        <v>379</v>
      </c>
      <c r="J7562">
        <v>1995</v>
      </c>
    </row>
    <row r="7563" spans="1:10">
      <c r="A7563" t="s">
        <v>194</v>
      </c>
      <c r="B7563" t="s">
        <v>195</v>
      </c>
      <c r="C7563" t="s">
        <v>230</v>
      </c>
      <c r="D7563" t="s">
        <v>1634</v>
      </c>
      <c r="E7563" s="3">
        <v>3.7000000000000002E-3</v>
      </c>
      <c r="F7563" s="3">
        <v>1.89E-2</v>
      </c>
      <c r="G7563" s="3">
        <v>3.8399999999999997E-2</v>
      </c>
      <c r="H7563">
        <v>376</v>
      </c>
      <c r="I7563">
        <v>379</v>
      </c>
      <c r="J7563">
        <v>1995</v>
      </c>
    </row>
    <row r="7564" spans="1:10">
      <c r="A7564" t="s">
        <v>194</v>
      </c>
      <c r="B7564" t="s">
        <v>195</v>
      </c>
      <c r="C7564" t="s">
        <v>230</v>
      </c>
      <c r="D7564" t="s">
        <v>1635</v>
      </c>
      <c r="E7564" s="3">
        <v>1.8599999999999998E-2</v>
      </c>
      <c r="F7564" s="3">
        <v>1.4999999999999999E-2</v>
      </c>
      <c r="G7564" s="3">
        <v>6.54E-2</v>
      </c>
      <c r="H7564">
        <v>376</v>
      </c>
      <c r="I7564">
        <v>379</v>
      </c>
      <c r="J7564">
        <v>1995</v>
      </c>
    </row>
    <row r="7565" spans="1:10">
      <c r="A7565" t="s">
        <v>194</v>
      </c>
      <c r="B7565" t="s">
        <v>195</v>
      </c>
      <c r="C7565" t="s">
        <v>230</v>
      </c>
      <c r="D7565" t="s">
        <v>1636</v>
      </c>
      <c r="E7565" s="3">
        <v>0.54010000000000002</v>
      </c>
      <c r="F7565" s="3">
        <v>0.15140000000000001</v>
      </c>
      <c r="G7565" s="3">
        <v>0.10199999999999999</v>
      </c>
      <c r="H7565">
        <v>376</v>
      </c>
      <c r="I7565">
        <v>379</v>
      </c>
      <c r="J7565">
        <v>1995</v>
      </c>
    </row>
    <row r="7566" spans="1:10">
      <c r="A7566" t="s">
        <v>194</v>
      </c>
      <c r="B7566" t="s">
        <v>195</v>
      </c>
      <c r="C7566" t="s">
        <v>230</v>
      </c>
      <c r="D7566" t="s">
        <v>1637</v>
      </c>
      <c r="E7566" s="3">
        <v>0.2339</v>
      </c>
      <c r="F7566" s="3">
        <v>0.15570000000000001</v>
      </c>
      <c r="G7566" s="3">
        <v>1.0500000000000001E-2</v>
      </c>
      <c r="H7566">
        <v>376</v>
      </c>
      <c r="I7566">
        <v>379</v>
      </c>
      <c r="J7566">
        <v>1995</v>
      </c>
    </row>
    <row r="7567" spans="1:10">
      <c r="A7567" t="s">
        <v>194</v>
      </c>
      <c r="B7567" t="s">
        <v>195</v>
      </c>
      <c r="C7567" t="s">
        <v>230</v>
      </c>
      <c r="D7567" t="s">
        <v>274</v>
      </c>
      <c r="E7567" s="3">
        <v>5.0000000000000001E-4</v>
      </c>
      <c r="F7567" s="3">
        <v>1.84E-2</v>
      </c>
      <c r="G7567" s="3">
        <v>1.77E-2</v>
      </c>
      <c r="H7567">
        <v>376</v>
      </c>
      <c r="I7567">
        <v>379</v>
      </c>
      <c r="J7567">
        <v>1995</v>
      </c>
    </row>
    <row r="7568" spans="1:10">
      <c r="A7568" t="s">
        <v>194</v>
      </c>
      <c r="B7568" t="s">
        <v>195</v>
      </c>
      <c r="C7568" t="s">
        <v>230</v>
      </c>
      <c r="D7568" t="s">
        <v>247</v>
      </c>
      <c r="E7568" s="3">
        <v>1.6999999999999999E-3</v>
      </c>
      <c r="F7568" s="3">
        <v>1E-4</v>
      </c>
      <c r="G7568" s="3">
        <v>2.8999999999999998E-3</v>
      </c>
      <c r="H7568">
        <v>376</v>
      </c>
      <c r="I7568">
        <v>379</v>
      </c>
      <c r="J7568">
        <v>1995</v>
      </c>
    </row>
    <row r="7569" spans="1:10">
      <c r="A7569" t="s">
        <v>194</v>
      </c>
      <c r="B7569" t="s">
        <v>195</v>
      </c>
      <c r="C7569" t="s">
        <v>231</v>
      </c>
      <c r="D7569" t="s">
        <v>1624</v>
      </c>
      <c r="E7569" s="3">
        <v>2.8999999999999998E-3</v>
      </c>
      <c r="G7569" s="3">
        <v>8.5000000000000006E-3</v>
      </c>
      <c r="H7569">
        <v>228</v>
      </c>
      <c r="I7569">
        <v>245</v>
      </c>
      <c r="J7569">
        <v>1995</v>
      </c>
    </row>
    <row r="7570" spans="1:10">
      <c r="A7570" t="s">
        <v>194</v>
      </c>
      <c r="B7570" t="s">
        <v>195</v>
      </c>
      <c r="C7570" t="s">
        <v>231</v>
      </c>
      <c r="D7570" t="s">
        <v>257</v>
      </c>
      <c r="E7570" s="3">
        <v>8.0000000000000002E-3</v>
      </c>
      <c r="F7570" s="3">
        <v>5.0099999999999999E-2</v>
      </c>
      <c r="G7570" s="3">
        <v>6.0499999999999998E-2</v>
      </c>
      <c r="H7570">
        <v>228</v>
      </c>
      <c r="I7570">
        <v>245</v>
      </c>
      <c r="J7570">
        <v>1995</v>
      </c>
    </row>
    <row r="7571" spans="1:10">
      <c r="A7571" t="s">
        <v>194</v>
      </c>
      <c r="B7571" t="s">
        <v>195</v>
      </c>
      <c r="C7571" t="s">
        <v>231</v>
      </c>
      <c r="D7571" t="s">
        <v>1638</v>
      </c>
      <c r="E7571" s="3">
        <v>7.0000000000000001E-3</v>
      </c>
      <c r="F7571" s="3">
        <v>6.0999999999999999E-2</v>
      </c>
      <c r="G7571" s="3">
        <v>6.7199999999999996E-2</v>
      </c>
      <c r="H7571">
        <v>228</v>
      </c>
      <c r="I7571">
        <v>245</v>
      </c>
      <c r="J7571">
        <v>1995</v>
      </c>
    </row>
    <row r="7572" spans="1:10">
      <c r="A7572" t="s">
        <v>194</v>
      </c>
      <c r="B7572" t="s">
        <v>195</v>
      </c>
      <c r="C7572" t="s">
        <v>231</v>
      </c>
      <c r="D7572" t="s">
        <v>1639</v>
      </c>
      <c r="E7572" s="3">
        <v>5.4999999999999997E-3</v>
      </c>
      <c r="F7572" s="3">
        <v>2.3199999999999998E-2</v>
      </c>
      <c r="G7572" s="3">
        <v>1.61E-2</v>
      </c>
      <c r="H7572">
        <v>228</v>
      </c>
      <c r="I7572">
        <v>245</v>
      </c>
      <c r="J7572">
        <v>1995</v>
      </c>
    </row>
    <row r="7573" spans="1:10">
      <c r="A7573" t="s">
        <v>194</v>
      </c>
      <c r="B7573" t="s">
        <v>195</v>
      </c>
      <c r="C7573" t="s">
        <v>231</v>
      </c>
      <c r="D7573" t="s">
        <v>1625</v>
      </c>
      <c r="E7573" s="3">
        <v>5.8799999999999998E-2</v>
      </c>
      <c r="F7573" s="3">
        <v>0.1048</v>
      </c>
      <c r="G7573" s="3">
        <v>5.0999999999999997E-2</v>
      </c>
      <c r="H7573">
        <v>228</v>
      </c>
      <c r="I7573">
        <v>245</v>
      </c>
      <c r="J7573">
        <v>1995</v>
      </c>
    </row>
    <row r="7574" spans="1:10">
      <c r="A7574" t="s">
        <v>194</v>
      </c>
      <c r="B7574" t="s">
        <v>195</v>
      </c>
      <c r="C7574" t="s">
        <v>231</v>
      </c>
      <c r="D7574" t="s">
        <v>1627</v>
      </c>
      <c r="E7574" s="3">
        <v>5.5599999999999997E-2</v>
      </c>
      <c r="F7574" s="3">
        <v>0.13789999999999999</v>
      </c>
      <c r="G7574" s="3">
        <v>8.6699999999999999E-2</v>
      </c>
      <c r="H7574">
        <v>228</v>
      </c>
      <c r="I7574">
        <v>245</v>
      </c>
      <c r="J7574">
        <v>1995</v>
      </c>
    </row>
    <row r="7575" spans="1:10">
      <c r="A7575" t="s">
        <v>194</v>
      </c>
      <c r="B7575" t="s">
        <v>195</v>
      </c>
      <c r="C7575" t="s">
        <v>231</v>
      </c>
      <c r="D7575" t="s">
        <v>1628</v>
      </c>
      <c r="E7575" s="3">
        <v>2.8199999999999999E-2</v>
      </c>
      <c r="F7575" s="3">
        <v>3.8699999999999998E-2</v>
      </c>
      <c r="G7575" s="3">
        <v>6.8900000000000003E-2</v>
      </c>
      <c r="H7575">
        <v>228</v>
      </c>
      <c r="I7575">
        <v>245</v>
      </c>
      <c r="J7575">
        <v>1995</v>
      </c>
    </row>
    <row r="7576" spans="1:10">
      <c r="A7576" t="s">
        <v>194</v>
      </c>
      <c r="B7576" t="s">
        <v>195</v>
      </c>
      <c r="C7576" t="s">
        <v>231</v>
      </c>
      <c r="D7576" t="s">
        <v>1629</v>
      </c>
      <c r="E7576" s="3">
        <v>4.0000000000000002E-4</v>
      </c>
      <c r="F7576" s="3">
        <v>2E-3</v>
      </c>
      <c r="G7576" s="3">
        <v>1.2999999999999999E-3</v>
      </c>
      <c r="H7576">
        <v>228</v>
      </c>
      <c r="I7576">
        <v>245</v>
      </c>
      <c r="J7576">
        <v>1995</v>
      </c>
    </row>
    <row r="7577" spans="1:10">
      <c r="A7577" t="s">
        <v>194</v>
      </c>
      <c r="B7577" t="s">
        <v>195</v>
      </c>
      <c r="C7577" t="s">
        <v>231</v>
      </c>
      <c r="D7577" t="s">
        <v>1630</v>
      </c>
      <c r="E7577" s="3">
        <v>2.0199999999999999E-2</v>
      </c>
      <c r="F7577" s="3">
        <v>2.41E-2</v>
      </c>
      <c r="G7577" s="3">
        <v>2.0000000000000001E-4</v>
      </c>
      <c r="H7577">
        <v>228</v>
      </c>
      <c r="I7577">
        <v>245</v>
      </c>
      <c r="J7577">
        <v>1995</v>
      </c>
    </row>
    <row r="7578" spans="1:10">
      <c r="A7578" t="s">
        <v>194</v>
      </c>
      <c r="B7578" t="s">
        <v>195</v>
      </c>
      <c r="C7578" t="s">
        <v>231</v>
      </c>
      <c r="D7578" t="s">
        <v>1631</v>
      </c>
      <c r="E7578" s="3">
        <v>3.1099999999999999E-2</v>
      </c>
      <c r="F7578" s="3">
        <v>0.12640000000000001</v>
      </c>
      <c r="G7578" s="3">
        <v>0.14480000000000001</v>
      </c>
      <c r="H7578">
        <v>228</v>
      </c>
      <c r="I7578">
        <v>245</v>
      </c>
      <c r="J7578">
        <v>1995</v>
      </c>
    </row>
    <row r="7579" spans="1:10">
      <c r="A7579" t="s">
        <v>194</v>
      </c>
      <c r="B7579" t="s">
        <v>195</v>
      </c>
      <c r="C7579" t="s">
        <v>231</v>
      </c>
      <c r="D7579" t="s">
        <v>1641</v>
      </c>
      <c r="E7579" s="3">
        <v>1.2999999999999999E-3</v>
      </c>
      <c r="F7579" s="3">
        <v>1.89E-2</v>
      </c>
      <c r="G7579" s="3">
        <v>2.53E-2</v>
      </c>
      <c r="H7579">
        <v>228</v>
      </c>
      <c r="I7579">
        <v>245</v>
      </c>
      <c r="J7579">
        <v>1995</v>
      </c>
    </row>
    <row r="7580" spans="1:10">
      <c r="A7580" t="s">
        <v>194</v>
      </c>
      <c r="B7580" t="s">
        <v>195</v>
      </c>
      <c r="C7580" t="s">
        <v>231</v>
      </c>
      <c r="D7580" t="s">
        <v>1632</v>
      </c>
      <c r="E7580" s="3">
        <v>3.8800000000000001E-2</v>
      </c>
      <c r="F7580" s="3">
        <v>3.2599999999999997E-2</v>
      </c>
      <c r="G7580" s="3">
        <v>0.1537</v>
      </c>
      <c r="H7580">
        <v>228</v>
      </c>
      <c r="I7580">
        <v>245</v>
      </c>
      <c r="J7580">
        <v>1995</v>
      </c>
    </row>
    <row r="7581" spans="1:10">
      <c r="A7581" t="s">
        <v>194</v>
      </c>
      <c r="B7581" t="s">
        <v>195</v>
      </c>
      <c r="C7581" t="s">
        <v>231</v>
      </c>
      <c r="D7581" t="s">
        <v>1633</v>
      </c>
      <c r="E7581" s="3">
        <v>1.6500000000000001E-2</v>
      </c>
      <c r="G7581" s="3">
        <v>2.7E-2</v>
      </c>
      <c r="H7581">
        <v>228</v>
      </c>
      <c r="I7581">
        <v>245</v>
      </c>
      <c r="J7581">
        <v>1995</v>
      </c>
    </row>
    <row r="7582" spans="1:10">
      <c r="A7582" t="s">
        <v>194</v>
      </c>
      <c r="B7582" t="s">
        <v>195</v>
      </c>
      <c r="C7582" t="s">
        <v>231</v>
      </c>
      <c r="D7582" t="s">
        <v>1634</v>
      </c>
      <c r="E7582" s="3">
        <v>1.26E-2</v>
      </c>
      <c r="F7582" s="3">
        <v>1.9599999999999999E-2</v>
      </c>
      <c r="G7582" s="3">
        <v>7.6E-3</v>
      </c>
      <c r="H7582">
        <v>228</v>
      </c>
      <c r="I7582">
        <v>245</v>
      </c>
      <c r="J7582">
        <v>1995</v>
      </c>
    </row>
    <row r="7583" spans="1:10">
      <c r="A7583" t="s">
        <v>194</v>
      </c>
      <c r="B7583" t="s">
        <v>195</v>
      </c>
      <c r="C7583" t="s">
        <v>231</v>
      </c>
      <c r="D7583" t="s">
        <v>1642</v>
      </c>
      <c r="E7583" s="3">
        <v>8.2000000000000007E-3</v>
      </c>
      <c r="G7583" s="3">
        <v>2.9999999999999997E-4</v>
      </c>
      <c r="H7583">
        <v>228</v>
      </c>
      <c r="I7583">
        <v>245</v>
      </c>
      <c r="J7583">
        <v>1995</v>
      </c>
    </row>
    <row r="7584" spans="1:10">
      <c r="A7584" t="s">
        <v>194</v>
      </c>
      <c r="B7584" t="s">
        <v>195</v>
      </c>
      <c r="C7584" t="s">
        <v>231</v>
      </c>
      <c r="D7584" t="s">
        <v>1635</v>
      </c>
      <c r="E7584" s="3">
        <v>1.8E-3</v>
      </c>
      <c r="F7584" s="3">
        <v>1.03E-2</v>
      </c>
      <c r="G7584" s="3">
        <v>4.8000000000000001E-2</v>
      </c>
      <c r="H7584">
        <v>228</v>
      </c>
      <c r="I7584">
        <v>245</v>
      </c>
      <c r="J7584">
        <v>1995</v>
      </c>
    </row>
    <row r="7585" spans="1:10">
      <c r="A7585" t="s">
        <v>194</v>
      </c>
      <c r="B7585" t="s">
        <v>195</v>
      </c>
      <c r="C7585" t="s">
        <v>231</v>
      </c>
      <c r="D7585" t="s">
        <v>1636</v>
      </c>
      <c r="E7585" s="3">
        <v>0.45240000000000002</v>
      </c>
      <c r="F7585" s="3">
        <v>0.17599999999999999</v>
      </c>
      <c r="G7585" s="3">
        <v>0.1389</v>
      </c>
      <c r="H7585">
        <v>228</v>
      </c>
      <c r="I7585">
        <v>245</v>
      </c>
      <c r="J7585">
        <v>1995</v>
      </c>
    </row>
    <row r="7586" spans="1:10">
      <c r="A7586" t="s">
        <v>194</v>
      </c>
      <c r="B7586" t="s">
        <v>195</v>
      </c>
      <c r="C7586" t="s">
        <v>231</v>
      </c>
      <c r="D7586" t="s">
        <v>1637</v>
      </c>
      <c r="E7586" s="3">
        <v>0.25080000000000002</v>
      </c>
      <c r="F7586" s="3">
        <v>0.12790000000000001</v>
      </c>
      <c r="G7586" s="3">
        <v>7.8700000000000006E-2</v>
      </c>
      <c r="H7586">
        <v>228</v>
      </c>
      <c r="I7586">
        <v>245</v>
      </c>
      <c r="J7586">
        <v>1995</v>
      </c>
    </row>
    <row r="7587" spans="1:10">
      <c r="A7587" t="s">
        <v>194</v>
      </c>
      <c r="B7587" t="s">
        <v>195</v>
      </c>
      <c r="C7587" t="s">
        <v>232</v>
      </c>
      <c r="D7587" t="s">
        <v>257</v>
      </c>
      <c r="E7587" s="3">
        <v>6.0000000000000001E-3</v>
      </c>
      <c r="F7587" s="3">
        <v>2.5100000000000001E-2</v>
      </c>
      <c r="G7587" s="3">
        <v>2.64E-2</v>
      </c>
      <c r="H7587">
        <v>214</v>
      </c>
      <c r="I7587">
        <v>223</v>
      </c>
      <c r="J7587">
        <v>1995</v>
      </c>
    </row>
    <row r="7588" spans="1:10">
      <c r="A7588" t="s">
        <v>194</v>
      </c>
      <c r="B7588" t="s">
        <v>195</v>
      </c>
      <c r="C7588" t="s">
        <v>232</v>
      </c>
      <c r="D7588" t="s">
        <v>1638</v>
      </c>
      <c r="E7588" s="3">
        <v>5.5999999999999999E-3</v>
      </c>
      <c r="F7588" s="3">
        <v>7.3400000000000007E-2</v>
      </c>
      <c r="G7588" s="3">
        <v>5.4800000000000001E-2</v>
      </c>
      <c r="H7588">
        <v>214</v>
      </c>
      <c r="I7588">
        <v>223</v>
      </c>
      <c r="J7588">
        <v>1995</v>
      </c>
    </row>
    <row r="7589" spans="1:10">
      <c r="A7589" t="s">
        <v>194</v>
      </c>
      <c r="B7589" t="s">
        <v>195</v>
      </c>
      <c r="C7589" t="s">
        <v>232</v>
      </c>
      <c r="D7589" t="s">
        <v>1625</v>
      </c>
      <c r="E7589" s="3">
        <v>7.0599999999999996E-2</v>
      </c>
      <c r="F7589" s="3">
        <v>6.6799999999999998E-2</v>
      </c>
      <c r="G7589" s="3">
        <v>0.1026</v>
      </c>
      <c r="H7589">
        <v>214</v>
      </c>
      <c r="I7589">
        <v>223</v>
      </c>
      <c r="J7589">
        <v>1995</v>
      </c>
    </row>
    <row r="7590" spans="1:10">
      <c r="A7590" t="s">
        <v>194</v>
      </c>
      <c r="B7590" t="s">
        <v>195</v>
      </c>
      <c r="C7590" t="s">
        <v>232</v>
      </c>
      <c r="D7590" t="s">
        <v>1626</v>
      </c>
      <c r="E7590" s="3">
        <v>1.6000000000000001E-3</v>
      </c>
      <c r="F7590" s="3">
        <v>1.66E-2</v>
      </c>
      <c r="G7590" s="3">
        <v>3.3E-3</v>
      </c>
      <c r="H7590">
        <v>214</v>
      </c>
      <c r="I7590">
        <v>223</v>
      </c>
      <c r="J7590">
        <v>1995</v>
      </c>
    </row>
    <row r="7591" spans="1:10">
      <c r="A7591" t="s">
        <v>194</v>
      </c>
      <c r="B7591" t="s">
        <v>195</v>
      </c>
      <c r="C7591" t="s">
        <v>232</v>
      </c>
      <c r="D7591" t="s">
        <v>1627</v>
      </c>
      <c r="E7591" s="3">
        <v>7.4099999999999999E-2</v>
      </c>
      <c r="F7591" s="3">
        <v>0.1457</v>
      </c>
      <c r="G7591" s="3">
        <v>0.27560000000000001</v>
      </c>
      <c r="H7591">
        <v>214</v>
      </c>
      <c r="I7591">
        <v>223</v>
      </c>
      <c r="J7591">
        <v>1995</v>
      </c>
    </row>
    <row r="7592" spans="1:10">
      <c r="A7592" t="s">
        <v>194</v>
      </c>
      <c r="B7592" t="s">
        <v>195</v>
      </c>
      <c r="C7592" t="s">
        <v>232</v>
      </c>
      <c r="D7592" t="s">
        <v>1628</v>
      </c>
      <c r="E7592" s="3">
        <v>1.34E-2</v>
      </c>
      <c r="F7592" s="3">
        <v>5.96E-2</v>
      </c>
      <c r="G7592" s="3">
        <v>1.7999999999999999E-2</v>
      </c>
      <c r="H7592">
        <v>214</v>
      </c>
      <c r="I7592">
        <v>223</v>
      </c>
      <c r="J7592">
        <v>1995</v>
      </c>
    </row>
    <row r="7593" spans="1:10">
      <c r="A7593" t="s">
        <v>194</v>
      </c>
      <c r="B7593" t="s">
        <v>195</v>
      </c>
      <c r="C7593" t="s">
        <v>232</v>
      </c>
      <c r="D7593" t="s">
        <v>1629</v>
      </c>
      <c r="E7593" s="3">
        <v>6.4999999999999997E-3</v>
      </c>
      <c r="G7593" s="3">
        <v>1.1000000000000001E-3</v>
      </c>
      <c r="H7593">
        <v>214</v>
      </c>
      <c r="I7593">
        <v>223</v>
      </c>
      <c r="J7593">
        <v>1995</v>
      </c>
    </row>
    <row r="7594" spans="1:10">
      <c r="A7594" t="s">
        <v>194</v>
      </c>
      <c r="B7594" t="s">
        <v>195</v>
      </c>
      <c r="C7594" t="s">
        <v>232</v>
      </c>
      <c r="D7594" t="s">
        <v>1640</v>
      </c>
      <c r="E7594" s="3">
        <v>2.9999999999999997E-4</v>
      </c>
      <c r="G7594" s="3">
        <v>3.8E-3</v>
      </c>
      <c r="H7594">
        <v>214</v>
      </c>
      <c r="I7594">
        <v>223</v>
      </c>
      <c r="J7594">
        <v>1995</v>
      </c>
    </row>
    <row r="7595" spans="1:10">
      <c r="A7595" t="s">
        <v>194</v>
      </c>
      <c r="B7595" t="s">
        <v>195</v>
      </c>
      <c r="C7595" t="s">
        <v>232</v>
      </c>
      <c r="D7595" t="s">
        <v>1630</v>
      </c>
      <c r="E7595" s="3">
        <v>2.1700000000000001E-2</v>
      </c>
      <c r="F7595" s="3">
        <v>4.3E-3</v>
      </c>
      <c r="G7595" s="3">
        <v>0.04</v>
      </c>
      <c r="H7595">
        <v>214</v>
      </c>
      <c r="I7595">
        <v>223</v>
      </c>
      <c r="J7595">
        <v>1995</v>
      </c>
    </row>
    <row r="7596" spans="1:10">
      <c r="A7596" t="s">
        <v>194</v>
      </c>
      <c r="B7596" t="s">
        <v>195</v>
      </c>
      <c r="C7596" t="s">
        <v>232</v>
      </c>
      <c r="D7596" t="s">
        <v>1631</v>
      </c>
      <c r="E7596" s="3">
        <v>4.1399999999999999E-2</v>
      </c>
      <c r="F7596" s="3">
        <v>0.1857</v>
      </c>
      <c r="G7596" s="3">
        <v>0.14510000000000001</v>
      </c>
      <c r="H7596">
        <v>214</v>
      </c>
      <c r="I7596">
        <v>223</v>
      </c>
      <c r="J7596">
        <v>1995</v>
      </c>
    </row>
    <row r="7597" spans="1:10">
      <c r="A7597" t="s">
        <v>194</v>
      </c>
      <c r="B7597" t="s">
        <v>195</v>
      </c>
      <c r="C7597" t="s">
        <v>232</v>
      </c>
      <c r="D7597" t="s">
        <v>1641</v>
      </c>
      <c r="E7597" s="3">
        <v>3.0000000000000001E-3</v>
      </c>
      <c r="F7597" s="3">
        <v>1.2999999999999999E-3</v>
      </c>
      <c r="G7597" s="3">
        <v>7.8E-2</v>
      </c>
      <c r="H7597">
        <v>214</v>
      </c>
      <c r="I7597">
        <v>223</v>
      </c>
      <c r="J7597">
        <v>1995</v>
      </c>
    </row>
    <row r="7598" spans="1:10">
      <c r="A7598" t="s">
        <v>194</v>
      </c>
      <c r="B7598" t="s">
        <v>195</v>
      </c>
      <c r="C7598" t="s">
        <v>232</v>
      </c>
      <c r="D7598" t="s">
        <v>1632</v>
      </c>
      <c r="E7598" s="3">
        <v>1.1900000000000001E-2</v>
      </c>
      <c r="F7598" s="3">
        <v>4.4999999999999997E-3</v>
      </c>
      <c r="G7598" s="3">
        <v>3.3500000000000002E-2</v>
      </c>
      <c r="H7598">
        <v>214</v>
      </c>
      <c r="I7598">
        <v>223</v>
      </c>
      <c r="J7598">
        <v>1995</v>
      </c>
    </row>
    <row r="7599" spans="1:10">
      <c r="A7599" t="s">
        <v>194</v>
      </c>
      <c r="B7599" t="s">
        <v>195</v>
      </c>
      <c r="C7599" t="s">
        <v>232</v>
      </c>
      <c r="D7599" t="s">
        <v>1633</v>
      </c>
      <c r="E7599" s="3">
        <v>8.6999999999999994E-3</v>
      </c>
      <c r="F7599" s="3">
        <v>6.0000000000000001E-3</v>
      </c>
      <c r="G7599" s="3">
        <v>4.3E-3</v>
      </c>
      <c r="H7599">
        <v>214</v>
      </c>
      <c r="I7599">
        <v>223</v>
      </c>
      <c r="J7599">
        <v>1995</v>
      </c>
    </row>
    <row r="7600" spans="1:10">
      <c r="A7600" t="s">
        <v>194</v>
      </c>
      <c r="B7600" t="s">
        <v>195</v>
      </c>
      <c r="C7600" t="s">
        <v>232</v>
      </c>
      <c r="D7600" t="s">
        <v>1634</v>
      </c>
      <c r="E7600" s="3">
        <v>1.3599999999999999E-2</v>
      </c>
      <c r="F7600" s="3">
        <v>1.2999999999999999E-2</v>
      </c>
      <c r="G7600" s="3">
        <v>5.4800000000000001E-2</v>
      </c>
      <c r="H7600">
        <v>214</v>
      </c>
      <c r="I7600">
        <v>223</v>
      </c>
      <c r="J7600">
        <v>1995</v>
      </c>
    </row>
    <row r="7601" spans="1:10">
      <c r="A7601" t="s">
        <v>194</v>
      </c>
      <c r="B7601" t="s">
        <v>195</v>
      </c>
      <c r="C7601" t="s">
        <v>232</v>
      </c>
      <c r="D7601" t="s">
        <v>1636</v>
      </c>
      <c r="E7601" s="3">
        <v>0.48509999999999998</v>
      </c>
      <c r="F7601" s="3">
        <v>0.27479999999999999</v>
      </c>
      <c r="G7601" s="3">
        <v>7.7700000000000005E-2</v>
      </c>
      <c r="H7601">
        <v>214</v>
      </c>
      <c r="I7601">
        <v>223</v>
      </c>
      <c r="J7601">
        <v>1995</v>
      </c>
    </row>
    <row r="7602" spans="1:10">
      <c r="A7602" t="s">
        <v>194</v>
      </c>
      <c r="B7602" t="s">
        <v>195</v>
      </c>
      <c r="C7602" t="s">
        <v>232</v>
      </c>
      <c r="D7602" t="s">
        <v>1637</v>
      </c>
      <c r="E7602" s="3">
        <v>0.23200000000000001</v>
      </c>
      <c r="F7602" s="3">
        <v>5.0200000000000002E-2</v>
      </c>
      <c r="G7602" s="3">
        <v>3.5999999999999999E-3</v>
      </c>
      <c r="H7602">
        <v>214</v>
      </c>
      <c r="I7602">
        <v>223</v>
      </c>
      <c r="J7602">
        <v>1995</v>
      </c>
    </row>
    <row r="7603" spans="1:10">
      <c r="A7603" t="s">
        <v>194</v>
      </c>
      <c r="B7603" t="s">
        <v>195</v>
      </c>
      <c r="C7603" t="s">
        <v>232</v>
      </c>
      <c r="D7603" t="s">
        <v>274</v>
      </c>
      <c r="E7603" s="3">
        <v>4.4000000000000003E-3</v>
      </c>
      <c r="G7603" s="3">
        <v>3.3E-3</v>
      </c>
      <c r="H7603">
        <v>214</v>
      </c>
      <c r="I7603">
        <v>223</v>
      </c>
      <c r="J7603">
        <v>1995</v>
      </c>
    </row>
    <row r="7604" spans="1:10">
      <c r="A7604" t="s">
        <v>194</v>
      </c>
      <c r="B7604" t="s">
        <v>199</v>
      </c>
      <c r="C7604" t="s">
        <v>229</v>
      </c>
      <c r="D7604" t="s">
        <v>1624</v>
      </c>
      <c r="E7604" s="3">
        <v>2.7000000000000001E-3</v>
      </c>
      <c r="F7604" s="3">
        <v>3.0000000000000001E-3</v>
      </c>
      <c r="G7604" s="3">
        <v>5.7999999999999996E-3</v>
      </c>
      <c r="H7604">
        <v>165</v>
      </c>
      <c r="I7604">
        <v>99</v>
      </c>
      <c r="J7604">
        <v>1995</v>
      </c>
    </row>
    <row r="7605" spans="1:10">
      <c r="A7605" t="s">
        <v>194</v>
      </c>
      <c r="B7605" t="s">
        <v>199</v>
      </c>
      <c r="C7605" t="s">
        <v>229</v>
      </c>
      <c r="D7605" t="s">
        <v>257</v>
      </c>
      <c r="E7605" s="3">
        <v>1.8800000000000001E-2</v>
      </c>
      <c r="F7605" s="3">
        <v>7.4700000000000003E-2</v>
      </c>
      <c r="G7605" s="3">
        <v>0.18690000000000001</v>
      </c>
      <c r="H7605">
        <v>165</v>
      </c>
      <c r="I7605">
        <v>99</v>
      </c>
      <c r="J7605">
        <v>1995</v>
      </c>
    </row>
    <row r="7606" spans="1:10">
      <c r="A7606" t="s">
        <v>194</v>
      </c>
      <c r="B7606" t="s">
        <v>199</v>
      </c>
      <c r="C7606" t="s">
        <v>229</v>
      </c>
      <c r="D7606" t="s">
        <v>1638</v>
      </c>
      <c r="E7606" s="3">
        <v>4.5400000000000003E-2</v>
      </c>
      <c r="F7606" s="3">
        <v>7.1199999999999999E-2</v>
      </c>
      <c r="G7606" s="3">
        <v>0.27350000000000002</v>
      </c>
      <c r="H7606">
        <v>165</v>
      </c>
      <c r="I7606">
        <v>99</v>
      </c>
      <c r="J7606">
        <v>1995</v>
      </c>
    </row>
    <row r="7607" spans="1:10">
      <c r="A7607" t="s">
        <v>194</v>
      </c>
      <c r="B7607" t="s">
        <v>199</v>
      </c>
      <c r="C7607" t="s">
        <v>229</v>
      </c>
      <c r="D7607" t="s">
        <v>1639</v>
      </c>
      <c r="E7607" s="3">
        <v>8.6999999999999994E-3</v>
      </c>
      <c r="G7607" s="3">
        <v>1.0200000000000001E-2</v>
      </c>
      <c r="H7607">
        <v>165</v>
      </c>
      <c r="I7607">
        <v>99</v>
      </c>
      <c r="J7607">
        <v>1995</v>
      </c>
    </row>
    <row r="7608" spans="1:10">
      <c r="A7608" t="s">
        <v>194</v>
      </c>
      <c r="B7608" t="s">
        <v>199</v>
      </c>
      <c r="C7608" t="s">
        <v>229</v>
      </c>
      <c r="D7608" t="s">
        <v>1625</v>
      </c>
      <c r="E7608" s="3">
        <v>1.11E-2</v>
      </c>
      <c r="F7608" s="3">
        <v>1.6999999999999999E-3</v>
      </c>
      <c r="H7608">
        <v>165</v>
      </c>
      <c r="I7608">
        <v>99</v>
      </c>
      <c r="J7608">
        <v>1995</v>
      </c>
    </row>
    <row r="7609" spans="1:10">
      <c r="A7609" t="s">
        <v>194</v>
      </c>
      <c r="B7609" t="s">
        <v>199</v>
      </c>
      <c r="C7609" t="s">
        <v>229</v>
      </c>
      <c r="D7609" t="s">
        <v>1627</v>
      </c>
      <c r="E7609" s="3">
        <v>1.7500000000000002E-2</v>
      </c>
      <c r="F7609" s="3">
        <v>1.9199999999999998E-2</v>
      </c>
      <c r="H7609">
        <v>165</v>
      </c>
      <c r="I7609">
        <v>99</v>
      </c>
      <c r="J7609">
        <v>1995</v>
      </c>
    </row>
    <row r="7610" spans="1:10">
      <c r="A7610" t="s">
        <v>194</v>
      </c>
      <c r="B7610" t="s">
        <v>199</v>
      </c>
      <c r="C7610" t="s">
        <v>229</v>
      </c>
      <c r="D7610" t="s">
        <v>1628</v>
      </c>
      <c r="E7610" s="3">
        <v>5.5300000000000002E-2</v>
      </c>
      <c r="F7610" s="3">
        <v>0.1726</v>
      </c>
      <c r="G7610" s="3">
        <v>6.2600000000000003E-2</v>
      </c>
      <c r="H7610">
        <v>165</v>
      </c>
      <c r="I7610">
        <v>99</v>
      </c>
      <c r="J7610">
        <v>1995</v>
      </c>
    </row>
    <row r="7611" spans="1:10">
      <c r="A7611" t="s">
        <v>194</v>
      </c>
      <c r="B7611" t="s">
        <v>199</v>
      </c>
      <c r="C7611" t="s">
        <v>229</v>
      </c>
      <c r="D7611" t="s">
        <v>1629</v>
      </c>
      <c r="E7611" s="3">
        <v>5.9999999999999995E-4</v>
      </c>
      <c r="F7611" s="3">
        <v>2.93E-2</v>
      </c>
      <c r="G7611" s="3">
        <v>7.1999999999999998E-3</v>
      </c>
      <c r="H7611">
        <v>165</v>
      </c>
      <c r="I7611">
        <v>99</v>
      </c>
      <c r="J7611">
        <v>1995</v>
      </c>
    </row>
    <row r="7612" spans="1:10">
      <c r="A7612" t="s">
        <v>194</v>
      </c>
      <c r="B7612" t="s">
        <v>199</v>
      </c>
      <c r="C7612" t="s">
        <v>229</v>
      </c>
      <c r="D7612" t="s">
        <v>1631</v>
      </c>
      <c r="E7612" s="3">
        <v>4.3E-3</v>
      </c>
      <c r="F7612" s="3">
        <v>1.7100000000000001E-2</v>
      </c>
      <c r="G7612" s="3">
        <v>4.0300000000000002E-2</v>
      </c>
      <c r="H7612">
        <v>165</v>
      </c>
      <c r="I7612">
        <v>99</v>
      </c>
      <c r="J7612">
        <v>1995</v>
      </c>
    </row>
    <row r="7613" spans="1:10">
      <c r="A7613" t="s">
        <v>194</v>
      </c>
      <c r="B7613" t="s">
        <v>199</v>
      </c>
      <c r="C7613" t="s">
        <v>229</v>
      </c>
      <c r="D7613" t="s">
        <v>1632</v>
      </c>
      <c r="E7613" s="3">
        <v>1.95E-2</v>
      </c>
      <c r="F7613" s="3">
        <v>0.1527</v>
      </c>
      <c r="G7613" s="3">
        <v>7.6499999999999999E-2</v>
      </c>
      <c r="H7613">
        <v>165</v>
      </c>
      <c r="I7613">
        <v>99</v>
      </c>
      <c r="J7613">
        <v>1995</v>
      </c>
    </row>
    <row r="7614" spans="1:10">
      <c r="A7614" t="s">
        <v>194</v>
      </c>
      <c r="B7614" t="s">
        <v>199</v>
      </c>
      <c r="C7614" t="s">
        <v>229</v>
      </c>
      <c r="D7614" t="s">
        <v>1636</v>
      </c>
      <c r="E7614" s="3">
        <v>0.14000000000000001</v>
      </c>
      <c r="F7614" s="3">
        <v>0.25030000000000002</v>
      </c>
      <c r="H7614">
        <v>165</v>
      </c>
      <c r="I7614">
        <v>99</v>
      </c>
      <c r="J7614">
        <v>1995</v>
      </c>
    </row>
    <row r="7615" spans="1:10">
      <c r="A7615" t="s">
        <v>194</v>
      </c>
      <c r="B7615" t="s">
        <v>199</v>
      </c>
      <c r="C7615" t="s">
        <v>229</v>
      </c>
      <c r="D7615" t="s">
        <v>1637</v>
      </c>
      <c r="E7615" s="3">
        <v>0.67600000000000005</v>
      </c>
      <c r="F7615" s="3">
        <v>6.3799999999999996E-2</v>
      </c>
      <c r="G7615" s="3">
        <v>1.11E-2</v>
      </c>
      <c r="H7615">
        <v>165</v>
      </c>
      <c r="I7615">
        <v>99</v>
      </c>
      <c r="J7615">
        <v>1995</v>
      </c>
    </row>
    <row r="7616" spans="1:10">
      <c r="A7616" t="s">
        <v>194</v>
      </c>
      <c r="B7616" t="s">
        <v>199</v>
      </c>
      <c r="C7616" t="s">
        <v>230</v>
      </c>
      <c r="D7616" t="s">
        <v>1624</v>
      </c>
      <c r="E7616" s="3">
        <v>8.9999999999999993E-3</v>
      </c>
      <c r="F7616" s="3">
        <v>3.4299999999999997E-2</v>
      </c>
      <c r="G7616" s="3">
        <v>7.5700000000000003E-2</v>
      </c>
      <c r="H7616">
        <v>450</v>
      </c>
      <c r="I7616">
        <v>478</v>
      </c>
      <c r="J7616">
        <v>1995</v>
      </c>
    </row>
    <row r="7617" spans="1:10">
      <c r="A7617" t="s">
        <v>194</v>
      </c>
      <c r="B7617" t="s">
        <v>199</v>
      </c>
      <c r="C7617" t="s">
        <v>230</v>
      </c>
      <c r="D7617" t="s">
        <v>257</v>
      </c>
      <c r="E7617" s="3">
        <v>7.1999999999999998E-3</v>
      </c>
      <c r="F7617" s="3">
        <v>7.9600000000000004E-2</v>
      </c>
      <c r="G7617" s="3">
        <v>0.13489999999999999</v>
      </c>
      <c r="H7617">
        <v>450</v>
      </c>
      <c r="I7617">
        <v>478</v>
      </c>
      <c r="J7617">
        <v>1995</v>
      </c>
    </row>
    <row r="7618" spans="1:10">
      <c r="A7618" t="s">
        <v>194</v>
      </c>
      <c r="B7618" t="s">
        <v>199</v>
      </c>
      <c r="C7618" t="s">
        <v>230</v>
      </c>
      <c r="D7618" t="s">
        <v>1638</v>
      </c>
      <c r="E7618" s="3">
        <v>2.1399999999999999E-2</v>
      </c>
      <c r="F7618" s="3">
        <v>0.1152</v>
      </c>
      <c r="G7618" s="3">
        <v>0.14549999999999999</v>
      </c>
      <c r="H7618">
        <v>450</v>
      </c>
      <c r="I7618">
        <v>478</v>
      </c>
      <c r="J7618">
        <v>1995</v>
      </c>
    </row>
    <row r="7619" spans="1:10">
      <c r="A7619" t="s">
        <v>194</v>
      </c>
      <c r="B7619" t="s">
        <v>199</v>
      </c>
      <c r="C7619" t="s">
        <v>230</v>
      </c>
      <c r="D7619" t="s">
        <v>1639</v>
      </c>
      <c r="E7619" s="3">
        <v>3.8999999999999998E-3</v>
      </c>
      <c r="F7619" s="3">
        <v>1.5900000000000001E-2</v>
      </c>
      <c r="G7619" s="3">
        <v>5.4899999999999997E-2</v>
      </c>
      <c r="H7619">
        <v>450</v>
      </c>
      <c r="I7619">
        <v>478</v>
      </c>
      <c r="J7619">
        <v>1995</v>
      </c>
    </row>
    <row r="7620" spans="1:10">
      <c r="A7620" t="s">
        <v>194</v>
      </c>
      <c r="B7620" t="s">
        <v>199</v>
      </c>
      <c r="C7620" t="s">
        <v>230</v>
      </c>
      <c r="D7620" t="s">
        <v>1625</v>
      </c>
      <c r="E7620" s="3">
        <v>1.03E-2</v>
      </c>
      <c r="F7620" s="3">
        <v>5.1999999999999998E-3</v>
      </c>
      <c r="G7620" s="3">
        <v>9.5999999999999992E-3</v>
      </c>
      <c r="H7620">
        <v>450</v>
      </c>
      <c r="I7620">
        <v>478</v>
      </c>
      <c r="J7620">
        <v>1995</v>
      </c>
    </row>
    <row r="7621" spans="1:10">
      <c r="A7621" t="s">
        <v>194</v>
      </c>
      <c r="B7621" t="s">
        <v>199</v>
      </c>
      <c r="C7621" t="s">
        <v>230</v>
      </c>
      <c r="D7621" t="s">
        <v>1626</v>
      </c>
      <c r="E7621" s="3">
        <v>1E-3</v>
      </c>
      <c r="H7621">
        <v>450</v>
      </c>
      <c r="I7621">
        <v>478</v>
      </c>
      <c r="J7621">
        <v>1995</v>
      </c>
    </row>
    <row r="7622" spans="1:10">
      <c r="A7622" t="s">
        <v>194</v>
      </c>
      <c r="B7622" t="s">
        <v>199</v>
      </c>
      <c r="C7622" t="s">
        <v>230</v>
      </c>
      <c r="D7622" t="s">
        <v>1627</v>
      </c>
      <c r="E7622" s="3">
        <v>3.5700000000000003E-2</v>
      </c>
      <c r="F7622" s="3">
        <v>5.5500000000000001E-2</v>
      </c>
      <c r="G7622" s="3">
        <v>8.6900000000000005E-2</v>
      </c>
      <c r="H7622">
        <v>450</v>
      </c>
      <c r="I7622">
        <v>478</v>
      </c>
      <c r="J7622">
        <v>1995</v>
      </c>
    </row>
    <row r="7623" spans="1:10">
      <c r="A7623" t="s">
        <v>194</v>
      </c>
      <c r="B7623" t="s">
        <v>199</v>
      </c>
      <c r="C7623" t="s">
        <v>230</v>
      </c>
      <c r="D7623" t="s">
        <v>1628</v>
      </c>
      <c r="E7623" s="3">
        <v>6.2700000000000006E-2</v>
      </c>
      <c r="F7623" s="3">
        <v>0.161</v>
      </c>
      <c r="G7623" s="3">
        <v>7.7600000000000002E-2</v>
      </c>
      <c r="H7623">
        <v>450</v>
      </c>
      <c r="I7623">
        <v>478</v>
      </c>
      <c r="J7623">
        <v>1995</v>
      </c>
    </row>
    <row r="7624" spans="1:10">
      <c r="A7624" t="s">
        <v>194</v>
      </c>
      <c r="B7624" t="s">
        <v>199</v>
      </c>
      <c r="C7624" t="s">
        <v>230</v>
      </c>
      <c r="D7624" t="s">
        <v>1629</v>
      </c>
      <c r="E7624" s="3">
        <v>4.0000000000000001E-3</v>
      </c>
      <c r="F7624" s="3">
        <v>8.3000000000000001E-3</v>
      </c>
      <c r="G7624" s="3">
        <v>1.9800000000000002E-2</v>
      </c>
      <c r="H7624">
        <v>450</v>
      </c>
      <c r="I7624">
        <v>478</v>
      </c>
      <c r="J7624">
        <v>1995</v>
      </c>
    </row>
    <row r="7625" spans="1:10">
      <c r="A7625" t="s">
        <v>194</v>
      </c>
      <c r="B7625" t="s">
        <v>199</v>
      </c>
      <c r="C7625" t="s">
        <v>230</v>
      </c>
      <c r="D7625" t="s">
        <v>1640</v>
      </c>
      <c r="E7625" s="3">
        <v>1.2999999999999999E-3</v>
      </c>
      <c r="F7625" s="3">
        <v>2.7900000000000001E-2</v>
      </c>
      <c r="G7625" s="3">
        <v>1.04E-2</v>
      </c>
      <c r="H7625">
        <v>450</v>
      </c>
      <c r="I7625">
        <v>478</v>
      </c>
      <c r="J7625">
        <v>1995</v>
      </c>
    </row>
    <row r="7626" spans="1:10">
      <c r="A7626" t="s">
        <v>194</v>
      </c>
      <c r="B7626" t="s">
        <v>199</v>
      </c>
      <c r="C7626" t="s">
        <v>230</v>
      </c>
      <c r="D7626" t="s">
        <v>1630</v>
      </c>
      <c r="E7626" s="3">
        <v>8.6E-3</v>
      </c>
      <c r="F7626" s="3">
        <v>1.72E-2</v>
      </c>
      <c r="G7626" s="3">
        <v>1.09E-2</v>
      </c>
      <c r="H7626">
        <v>450</v>
      </c>
      <c r="I7626">
        <v>478</v>
      </c>
      <c r="J7626">
        <v>1995</v>
      </c>
    </row>
    <row r="7627" spans="1:10">
      <c r="A7627" t="s">
        <v>194</v>
      </c>
      <c r="B7627" t="s">
        <v>199</v>
      </c>
      <c r="C7627" t="s">
        <v>230</v>
      </c>
      <c r="D7627" t="s">
        <v>1631</v>
      </c>
      <c r="E7627" s="3">
        <v>4.7999999999999996E-3</v>
      </c>
      <c r="F7627" s="3">
        <v>8.09E-2</v>
      </c>
      <c r="G7627" s="3">
        <v>7.3099999999999998E-2</v>
      </c>
      <c r="H7627">
        <v>450</v>
      </c>
      <c r="I7627">
        <v>478</v>
      </c>
      <c r="J7627">
        <v>1995</v>
      </c>
    </row>
    <row r="7628" spans="1:10">
      <c r="A7628" t="s">
        <v>194</v>
      </c>
      <c r="B7628" t="s">
        <v>199</v>
      </c>
      <c r="C7628" t="s">
        <v>230</v>
      </c>
      <c r="D7628" t="s">
        <v>1632</v>
      </c>
      <c r="E7628" s="3">
        <v>4.7899999999999998E-2</v>
      </c>
      <c r="F7628" s="3">
        <v>4.5499999999999999E-2</v>
      </c>
      <c r="G7628" s="3">
        <v>9.1499999999999998E-2</v>
      </c>
      <c r="H7628">
        <v>450</v>
      </c>
      <c r="I7628">
        <v>478</v>
      </c>
      <c r="J7628">
        <v>1995</v>
      </c>
    </row>
    <row r="7629" spans="1:10">
      <c r="A7629" t="s">
        <v>194</v>
      </c>
      <c r="B7629" t="s">
        <v>199</v>
      </c>
      <c r="C7629" t="s">
        <v>230</v>
      </c>
      <c r="D7629" t="s">
        <v>1634</v>
      </c>
      <c r="E7629" s="3">
        <v>8.0000000000000004E-4</v>
      </c>
      <c r="F7629" s="3">
        <v>2.3999999999999998E-3</v>
      </c>
      <c r="G7629" s="3">
        <v>1.5599999999999999E-2</v>
      </c>
      <c r="H7629">
        <v>450</v>
      </c>
      <c r="I7629">
        <v>478</v>
      </c>
      <c r="J7629">
        <v>1995</v>
      </c>
    </row>
    <row r="7630" spans="1:10">
      <c r="A7630" t="s">
        <v>194</v>
      </c>
      <c r="B7630" t="s">
        <v>199</v>
      </c>
      <c r="C7630" t="s">
        <v>230</v>
      </c>
      <c r="D7630" t="s">
        <v>1642</v>
      </c>
      <c r="E7630" s="3">
        <v>2.9999999999999997E-4</v>
      </c>
      <c r="F7630" s="3">
        <v>5.9999999999999995E-4</v>
      </c>
      <c r="G7630" s="3">
        <v>2.4899999999999999E-2</v>
      </c>
      <c r="H7630">
        <v>450</v>
      </c>
      <c r="I7630">
        <v>478</v>
      </c>
      <c r="J7630">
        <v>1995</v>
      </c>
    </row>
    <row r="7631" spans="1:10">
      <c r="A7631" t="s">
        <v>194</v>
      </c>
      <c r="B7631" t="s">
        <v>199</v>
      </c>
      <c r="C7631" t="s">
        <v>230</v>
      </c>
      <c r="D7631" t="s">
        <v>1635</v>
      </c>
      <c r="E7631" s="3">
        <v>1.6000000000000001E-3</v>
      </c>
      <c r="F7631" s="3">
        <v>3.8E-3</v>
      </c>
      <c r="G7631" s="3">
        <v>2.47E-2</v>
      </c>
      <c r="H7631">
        <v>450</v>
      </c>
      <c r="I7631">
        <v>478</v>
      </c>
      <c r="J7631">
        <v>1995</v>
      </c>
    </row>
    <row r="7632" spans="1:10">
      <c r="A7632" t="s">
        <v>194</v>
      </c>
      <c r="B7632" t="s">
        <v>199</v>
      </c>
      <c r="C7632" t="s">
        <v>230</v>
      </c>
      <c r="D7632" t="s">
        <v>1636</v>
      </c>
      <c r="E7632" s="3">
        <v>0.24540000000000001</v>
      </c>
      <c r="F7632" s="3">
        <v>0.19059999999999999</v>
      </c>
      <c r="G7632" s="3">
        <v>4.6800000000000001E-2</v>
      </c>
      <c r="H7632">
        <v>450</v>
      </c>
      <c r="I7632">
        <v>478</v>
      </c>
      <c r="J7632">
        <v>1995</v>
      </c>
    </row>
    <row r="7633" spans="1:10">
      <c r="A7633" t="s">
        <v>194</v>
      </c>
      <c r="B7633" t="s">
        <v>199</v>
      </c>
      <c r="C7633" t="s">
        <v>230</v>
      </c>
      <c r="D7633" t="s">
        <v>1637</v>
      </c>
      <c r="E7633" s="3">
        <v>0.53400000000000003</v>
      </c>
      <c r="F7633" s="3">
        <v>0.12820000000000001</v>
      </c>
      <c r="G7633" s="3">
        <v>3.85E-2</v>
      </c>
      <c r="H7633">
        <v>450</v>
      </c>
      <c r="I7633">
        <v>478</v>
      </c>
      <c r="J7633">
        <v>1995</v>
      </c>
    </row>
    <row r="7634" spans="1:10">
      <c r="A7634" t="s">
        <v>194</v>
      </c>
      <c r="B7634" t="s">
        <v>199</v>
      </c>
      <c r="C7634" t="s">
        <v>231</v>
      </c>
      <c r="D7634" t="s">
        <v>257</v>
      </c>
      <c r="E7634" s="3">
        <v>5.7999999999999996E-3</v>
      </c>
      <c r="F7634" s="3">
        <v>2.2700000000000001E-2</v>
      </c>
      <c r="G7634" s="3">
        <v>9.6199999999999994E-2</v>
      </c>
      <c r="H7634">
        <v>170</v>
      </c>
      <c r="I7634">
        <v>297</v>
      </c>
      <c r="J7634">
        <v>1995</v>
      </c>
    </row>
    <row r="7635" spans="1:10">
      <c r="A7635" t="s">
        <v>194</v>
      </c>
      <c r="B7635" t="s">
        <v>199</v>
      </c>
      <c r="C7635" t="s">
        <v>231</v>
      </c>
      <c r="D7635" t="s">
        <v>1638</v>
      </c>
      <c r="E7635" s="3">
        <v>1.67E-2</v>
      </c>
      <c r="F7635" s="3">
        <v>5.2600000000000001E-2</v>
      </c>
      <c r="G7635" s="3">
        <v>0.1847</v>
      </c>
      <c r="H7635">
        <v>170</v>
      </c>
      <c r="I7635">
        <v>297</v>
      </c>
      <c r="J7635">
        <v>1995</v>
      </c>
    </row>
    <row r="7636" spans="1:10">
      <c r="A7636" t="s">
        <v>194</v>
      </c>
      <c r="B7636" t="s">
        <v>199</v>
      </c>
      <c r="C7636" t="s">
        <v>231</v>
      </c>
      <c r="D7636" t="s">
        <v>1639</v>
      </c>
      <c r="E7636" s="3">
        <v>7.1000000000000004E-3</v>
      </c>
      <c r="F7636" s="3">
        <v>2.1100000000000001E-2</v>
      </c>
      <c r="G7636" s="3">
        <v>3.7000000000000002E-3</v>
      </c>
      <c r="H7636">
        <v>170</v>
      </c>
      <c r="I7636">
        <v>297</v>
      </c>
      <c r="J7636">
        <v>1995</v>
      </c>
    </row>
    <row r="7637" spans="1:10">
      <c r="A7637" t="s">
        <v>194</v>
      </c>
      <c r="B7637" t="s">
        <v>199</v>
      </c>
      <c r="C7637" t="s">
        <v>231</v>
      </c>
      <c r="D7637" t="s">
        <v>1625</v>
      </c>
      <c r="E7637" s="3">
        <v>1.95E-2</v>
      </c>
      <c r="F7637" s="3">
        <v>1.06E-2</v>
      </c>
      <c r="G7637" s="3">
        <v>4.07E-2</v>
      </c>
      <c r="H7637">
        <v>170</v>
      </c>
      <c r="I7637">
        <v>297</v>
      </c>
      <c r="J7637">
        <v>1995</v>
      </c>
    </row>
    <row r="7638" spans="1:10">
      <c r="A7638" t="s">
        <v>194</v>
      </c>
      <c r="B7638" t="s">
        <v>199</v>
      </c>
      <c r="C7638" t="s">
        <v>231</v>
      </c>
      <c r="D7638" t="s">
        <v>1627</v>
      </c>
      <c r="E7638" s="3">
        <v>3.0800000000000001E-2</v>
      </c>
      <c r="F7638" s="3">
        <v>6.5699999999999995E-2</v>
      </c>
      <c r="G7638" s="3">
        <v>0.1704</v>
      </c>
      <c r="H7638">
        <v>170</v>
      </c>
      <c r="I7638">
        <v>297</v>
      </c>
      <c r="J7638">
        <v>1995</v>
      </c>
    </row>
    <row r="7639" spans="1:10">
      <c r="A7639" t="s">
        <v>194</v>
      </c>
      <c r="B7639" t="s">
        <v>199</v>
      </c>
      <c r="C7639" t="s">
        <v>231</v>
      </c>
      <c r="D7639" t="s">
        <v>1628</v>
      </c>
      <c r="E7639" s="3">
        <v>3.78E-2</v>
      </c>
      <c r="F7639" s="3">
        <v>6.7400000000000002E-2</v>
      </c>
      <c r="G7639" s="3">
        <v>0.14929999999999999</v>
      </c>
      <c r="H7639">
        <v>170</v>
      </c>
      <c r="I7639">
        <v>297</v>
      </c>
      <c r="J7639">
        <v>1995</v>
      </c>
    </row>
    <row r="7640" spans="1:10">
      <c r="A7640" t="s">
        <v>194</v>
      </c>
      <c r="B7640" t="s">
        <v>199</v>
      </c>
      <c r="C7640" t="s">
        <v>231</v>
      </c>
      <c r="D7640" t="s">
        <v>1629</v>
      </c>
      <c r="E7640" s="3">
        <v>1.47E-2</v>
      </c>
      <c r="F7640" s="3">
        <v>5.28E-2</v>
      </c>
      <c r="G7640" s="3">
        <v>1.41E-2</v>
      </c>
      <c r="H7640">
        <v>170</v>
      </c>
      <c r="I7640">
        <v>297</v>
      </c>
      <c r="J7640">
        <v>1995</v>
      </c>
    </row>
    <row r="7641" spans="1:10">
      <c r="A7641" t="s">
        <v>194</v>
      </c>
      <c r="B7641" t="s">
        <v>199</v>
      </c>
      <c r="C7641" t="s">
        <v>231</v>
      </c>
      <c r="D7641" t="s">
        <v>1640</v>
      </c>
      <c r="E7641" s="3">
        <v>8.0000000000000002E-3</v>
      </c>
      <c r="F7641" s="3">
        <v>2.2000000000000001E-3</v>
      </c>
      <c r="G7641" s="3">
        <v>1.9599999999999999E-2</v>
      </c>
      <c r="H7641">
        <v>170</v>
      </c>
      <c r="I7641">
        <v>297</v>
      </c>
      <c r="J7641">
        <v>1995</v>
      </c>
    </row>
    <row r="7642" spans="1:10">
      <c r="A7642" t="s">
        <v>194</v>
      </c>
      <c r="B7642" t="s">
        <v>199</v>
      </c>
      <c r="C7642" t="s">
        <v>231</v>
      </c>
      <c r="D7642" t="s">
        <v>1630</v>
      </c>
      <c r="E7642" s="3">
        <v>8.5000000000000006E-3</v>
      </c>
      <c r="F7642" s="3">
        <v>1.0200000000000001E-2</v>
      </c>
      <c r="G7642" s="3">
        <v>3.3E-3</v>
      </c>
      <c r="H7642">
        <v>170</v>
      </c>
      <c r="I7642">
        <v>297</v>
      </c>
      <c r="J7642">
        <v>1995</v>
      </c>
    </row>
    <row r="7643" spans="1:10">
      <c r="A7643" t="s">
        <v>194</v>
      </c>
      <c r="B7643" t="s">
        <v>199</v>
      </c>
      <c r="C7643" t="s">
        <v>231</v>
      </c>
      <c r="D7643" t="s">
        <v>1631</v>
      </c>
      <c r="E7643" s="3">
        <v>1.14E-2</v>
      </c>
      <c r="F7643" s="3">
        <v>4.8800000000000003E-2</v>
      </c>
      <c r="G7643" s="3">
        <v>4.0399999999999998E-2</v>
      </c>
      <c r="H7643">
        <v>170</v>
      </c>
      <c r="I7643">
        <v>297</v>
      </c>
      <c r="J7643">
        <v>1995</v>
      </c>
    </row>
    <row r="7644" spans="1:10">
      <c r="A7644" t="s">
        <v>194</v>
      </c>
      <c r="B7644" t="s">
        <v>199</v>
      </c>
      <c r="C7644" t="s">
        <v>231</v>
      </c>
      <c r="D7644" t="s">
        <v>1641</v>
      </c>
      <c r="E7644" s="3">
        <v>2E-3</v>
      </c>
      <c r="F7644" s="3">
        <v>4.0000000000000001E-3</v>
      </c>
      <c r="G7644" s="3">
        <v>4.5999999999999999E-3</v>
      </c>
      <c r="H7644">
        <v>170</v>
      </c>
      <c r="I7644">
        <v>297</v>
      </c>
      <c r="J7644">
        <v>1995</v>
      </c>
    </row>
    <row r="7645" spans="1:10">
      <c r="A7645" t="s">
        <v>194</v>
      </c>
      <c r="B7645" t="s">
        <v>199</v>
      </c>
      <c r="C7645" t="s">
        <v>231</v>
      </c>
      <c r="D7645" t="s">
        <v>1632</v>
      </c>
      <c r="E7645" s="3">
        <v>1.0200000000000001E-2</v>
      </c>
      <c r="F7645" s="3">
        <v>0.15279999999999999</v>
      </c>
      <c r="G7645" s="3">
        <v>9.8599999999999993E-2</v>
      </c>
      <c r="H7645">
        <v>170</v>
      </c>
      <c r="I7645">
        <v>297</v>
      </c>
      <c r="J7645">
        <v>1995</v>
      </c>
    </row>
    <row r="7646" spans="1:10">
      <c r="A7646" t="s">
        <v>194</v>
      </c>
      <c r="B7646" t="s">
        <v>199</v>
      </c>
      <c r="C7646" t="s">
        <v>231</v>
      </c>
      <c r="D7646" t="s">
        <v>1642</v>
      </c>
      <c r="E7646" s="3">
        <v>1E-3</v>
      </c>
      <c r="F7646" s="3">
        <v>1.2999999999999999E-3</v>
      </c>
      <c r="G7646" s="3">
        <v>2.3999999999999998E-3</v>
      </c>
      <c r="H7646">
        <v>170</v>
      </c>
      <c r="I7646">
        <v>297</v>
      </c>
      <c r="J7646">
        <v>1995</v>
      </c>
    </row>
    <row r="7647" spans="1:10">
      <c r="A7647" t="s">
        <v>194</v>
      </c>
      <c r="B7647" t="s">
        <v>199</v>
      </c>
      <c r="C7647" t="s">
        <v>231</v>
      </c>
      <c r="D7647" t="s">
        <v>1636</v>
      </c>
      <c r="E7647" s="3">
        <v>0.38979999999999998</v>
      </c>
      <c r="F7647" s="3">
        <v>0.2611</v>
      </c>
      <c r="G7647" s="3">
        <v>3.3500000000000002E-2</v>
      </c>
      <c r="H7647">
        <v>170</v>
      </c>
      <c r="I7647">
        <v>297</v>
      </c>
      <c r="J7647">
        <v>1995</v>
      </c>
    </row>
    <row r="7648" spans="1:10">
      <c r="A7648" t="s">
        <v>194</v>
      </c>
      <c r="B7648" t="s">
        <v>199</v>
      </c>
      <c r="C7648" t="s">
        <v>231</v>
      </c>
      <c r="D7648" t="s">
        <v>1637</v>
      </c>
      <c r="E7648" s="3">
        <v>0.43390000000000001</v>
      </c>
      <c r="F7648" s="3">
        <v>0.15390000000000001</v>
      </c>
      <c r="G7648" s="3">
        <v>2.3800000000000002E-2</v>
      </c>
      <c r="H7648">
        <v>170</v>
      </c>
      <c r="I7648">
        <v>297</v>
      </c>
      <c r="J7648">
        <v>1995</v>
      </c>
    </row>
    <row r="7649" spans="1:10">
      <c r="A7649" t="s">
        <v>194</v>
      </c>
      <c r="B7649" t="s">
        <v>199</v>
      </c>
      <c r="C7649" t="s">
        <v>231</v>
      </c>
      <c r="D7649" t="s">
        <v>274</v>
      </c>
      <c r="E7649" s="3">
        <v>1.5E-3</v>
      </c>
      <c r="F7649" s="3">
        <v>7.9000000000000008E-3</v>
      </c>
      <c r="G7649" s="3">
        <v>4.8999999999999998E-3</v>
      </c>
      <c r="H7649">
        <v>170</v>
      </c>
      <c r="I7649">
        <v>297</v>
      </c>
      <c r="J7649">
        <v>1995</v>
      </c>
    </row>
    <row r="7650" spans="1:10">
      <c r="A7650" t="s">
        <v>194</v>
      </c>
      <c r="B7650" t="s">
        <v>199</v>
      </c>
      <c r="C7650" t="s">
        <v>231</v>
      </c>
      <c r="D7650" t="s">
        <v>247</v>
      </c>
      <c r="E7650" s="3">
        <v>1.1999999999999999E-3</v>
      </c>
      <c r="G7650" s="3">
        <v>3.7000000000000002E-3</v>
      </c>
      <c r="H7650">
        <v>170</v>
      </c>
      <c r="I7650">
        <v>297</v>
      </c>
      <c r="J7650">
        <v>1995</v>
      </c>
    </row>
    <row r="7651" spans="1:10">
      <c r="A7651" t="s">
        <v>194</v>
      </c>
      <c r="B7651" t="s">
        <v>199</v>
      </c>
      <c r="C7651" t="s">
        <v>232</v>
      </c>
      <c r="D7651" t="s">
        <v>1624</v>
      </c>
      <c r="E7651" s="3">
        <v>8.5000000000000006E-3</v>
      </c>
      <c r="H7651">
        <v>170</v>
      </c>
      <c r="I7651">
        <v>180</v>
      </c>
      <c r="J7651">
        <v>1995</v>
      </c>
    </row>
    <row r="7652" spans="1:10">
      <c r="A7652" t="s">
        <v>194</v>
      </c>
      <c r="B7652" t="s">
        <v>199</v>
      </c>
      <c r="C7652" t="s">
        <v>232</v>
      </c>
      <c r="D7652" t="s">
        <v>257</v>
      </c>
      <c r="E7652" s="3">
        <v>9.2999999999999992E-3</v>
      </c>
      <c r="F7652" s="3">
        <v>1.8200000000000001E-2</v>
      </c>
      <c r="G7652" s="3">
        <v>4.3E-3</v>
      </c>
      <c r="H7652">
        <v>170</v>
      </c>
      <c r="I7652">
        <v>180</v>
      </c>
      <c r="J7652">
        <v>1995</v>
      </c>
    </row>
    <row r="7653" spans="1:10">
      <c r="A7653" t="s">
        <v>194</v>
      </c>
      <c r="B7653" t="s">
        <v>199</v>
      </c>
      <c r="C7653" t="s">
        <v>232</v>
      </c>
      <c r="D7653" t="s">
        <v>1638</v>
      </c>
      <c r="E7653" s="3">
        <v>2.2100000000000002E-2</v>
      </c>
      <c r="F7653" s="3">
        <v>4.6699999999999998E-2</v>
      </c>
      <c r="G7653" s="3">
        <v>0.08</v>
      </c>
      <c r="H7653">
        <v>170</v>
      </c>
      <c r="I7653">
        <v>180</v>
      </c>
      <c r="J7653">
        <v>1995</v>
      </c>
    </row>
    <row r="7654" spans="1:10">
      <c r="A7654" t="s">
        <v>194</v>
      </c>
      <c r="B7654" t="s">
        <v>199</v>
      </c>
      <c r="C7654" t="s">
        <v>232</v>
      </c>
      <c r="D7654" t="s">
        <v>1639</v>
      </c>
      <c r="E7654" s="3">
        <v>0.01</v>
      </c>
      <c r="F7654" s="3">
        <v>1.7399999999999999E-2</v>
      </c>
      <c r="G7654" s="3">
        <v>8.3999999999999995E-3</v>
      </c>
      <c r="H7654">
        <v>170</v>
      </c>
      <c r="I7654">
        <v>180</v>
      </c>
      <c r="J7654">
        <v>1995</v>
      </c>
    </row>
    <row r="7655" spans="1:10">
      <c r="A7655" t="s">
        <v>194</v>
      </c>
      <c r="B7655" t="s">
        <v>199</v>
      </c>
      <c r="C7655" t="s">
        <v>232</v>
      </c>
      <c r="D7655" t="s">
        <v>1625</v>
      </c>
      <c r="E7655" s="3">
        <v>1.12E-2</v>
      </c>
      <c r="F7655" s="3">
        <v>1.0500000000000001E-2</v>
      </c>
      <c r="G7655" s="3">
        <v>5.91E-2</v>
      </c>
      <c r="H7655">
        <v>170</v>
      </c>
      <c r="I7655">
        <v>180</v>
      </c>
      <c r="J7655">
        <v>1995</v>
      </c>
    </row>
    <row r="7656" spans="1:10">
      <c r="A7656" t="s">
        <v>194</v>
      </c>
      <c r="B7656" t="s">
        <v>199</v>
      </c>
      <c r="C7656" t="s">
        <v>232</v>
      </c>
      <c r="D7656" t="s">
        <v>1627</v>
      </c>
      <c r="E7656" s="3">
        <v>9.5100000000000004E-2</v>
      </c>
      <c r="F7656" s="3">
        <v>0.21579999999999999</v>
      </c>
      <c r="G7656" s="3">
        <v>0.14749999999999999</v>
      </c>
      <c r="H7656">
        <v>170</v>
      </c>
      <c r="I7656">
        <v>180</v>
      </c>
      <c r="J7656">
        <v>1995</v>
      </c>
    </row>
    <row r="7657" spans="1:10">
      <c r="A7657" t="s">
        <v>194</v>
      </c>
      <c r="B7657" t="s">
        <v>199</v>
      </c>
      <c r="C7657" t="s">
        <v>232</v>
      </c>
      <c r="D7657" t="s">
        <v>1644</v>
      </c>
      <c r="E7657" s="3">
        <v>2E-3</v>
      </c>
      <c r="H7657">
        <v>170</v>
      </c>
      <c r="I7657">
        <v>180</v>
      </c>
      <c r="J7657">
        <v>1995</v>
      </c>
    </row>
    <row r="7658" spans="1:10">
      <c r="A7658" t="s">
        <v>194</v>
      </c>
      <c r="B7658" t="s">
        <v>199</v>
      </c>
      <c r="C7658" t="s">
        <v>232</v>
      </c>
      <c r="D7658" t="s">
        <v>1628</v>
      </c>
      <c r="E7658" s="3">
        <v>3.2000000000000002E-3</v>
      </c>
      <c r="F7658" s="3">
        <v>7.51E-2</v>
      </c>
      <c r="G7658" s="3">
        <v>0.1222</v>
      </c>
      <c r="H7658">
        <v>170</v>
      </c>
      <c r="I7658">
        <v>180</v>
      </c>
      <c r="J7658">
        <v>1995</v>
      </c>
    </row>
    <row r="7659" spans="1:10">
      <c r="A7659" t="s">
        <v>194</v>
      </c>
      <c r="B7659" t="s">
        <v>199</v>
      </c>
      <c r="C7659" t="s">
        <v>232</v>
      </c>
      <c r="D7659" t="s">
        <v>1629</v>
      </c>
      <c r="E7659" s="3">
        <v>8.3999999999999995E-3</v>
      </c>
      <c r="F7659" s="3">
        <v>3.7199999999999997E-2</v>
      </c>
      <c r="G7659" s="3">
        <v>3.4599999999999999E-2</v>
      </c>
      <c r="H7659">
        <v>170</v>
      </c>
      <c r="I7659">
        <v>180</v>
      </c>
      <c r="J7659">
        <v>1995</v>
      </c>
    </row>
    <row r="7660" spans="1:10">
      <c r="A7660" t="s">
        <v>194</v>
      </c>
      <c r="B7660" t="s">
        <v>199</v>
      </c>
      <c r="C7660" t="s">
        <v>232</v>
      </c>
      <c r="D7660" t="s">
        <v>1631</v>
      </c>
      <c r="E7660" s="3">
        <v>1.9300000000000001E-2</v>
      </c>
      <c r="F7660" s="3">
        <v>4.7800000000000002E-2</v>
      </c>
      <c r="G7660" s="3">
        <v>0.27500000000000002</v>
      </c>
      <c r="H7660">
        <v>170</v>
      </c>
      <c r="I7660">
        <v>180</v>
      </c>
      <c r="J7660">
        <v>1995</v>
      </c>
    </row>
    <row r="7661" spans="1:10">
      <c r="A7661" t="s">
        <v>194</v>
      </c>
      <c r="B7661" t="s">
        <v>199</v>
      </c>
      <c r="C7661" t="s">
        <v>232</v>
      </c>
      <c r="D7661" t="s">
        <v>1633</v>
      </c>
      <c r="E7661" s="3">
        <v>2.0000000000000001E-4</v>
      </c>
      <c r="F7661" s="3">
        <v>5.9999999999999995E-4</v>
      </c>
      <c r="H7661">
        <v>170</v>
      </c>
      <c r="I7661">
        <v>180</v>
      </c>
      <c r="J7661">
        <v>1995</v>
      </c>
    </row>
    <row r="7662" spans="1:10">
      <c r="A7662" t="s">
        <v>194</v>
      </c>
      <c r="B7662" t="s">
        <v>199</v>
      </c>
      <c r="C7662" t="s">
        <v>232</v>
      </c>
      <c r="D7662" t="s">
        <v>1642</v>
      </c>
      <c r="E7662" s="3">
        <v>2.0000000000000001E-4</v>
      </c>
      <c r="H7662">
        <v>170</v>
      </c>
      <c r="I7662">
        <v>180</v>
      </c>
      <c r="J7662">
        <v>1995</v>
      </c>
    </row>
    <row r="7663" spans="1:10">
      <c r="A7663" t="s">
        <v>194</v>
      </c>
      <c r="B7663" t="s">
        <v>199</v>
      </c>
      <c r="C7663" t="s">
        <v>232</v>
      </c>
      <c r="D7663" t="s">
        <v>1635</v>
      </c>
      <c r="E7663" s="3">
        <v>2.8999999999999998E-3</v>
      </c>
      <c r="F7663" s="3">
        <v>1.2699999999999999E-2</v>
      </c>
      <c r="G7663" s="3">
        <v>6.5500000000000003E-2</v>
      </c>
      <c r="H7663">
        <v>170</v>
      </c>
      <c r="I7663">
        <v>180</v>
      </c>
      <c r="J7663">
        <v>1995</v>
      </c>
    </row>
    <row r="7664" spans="1:10">
      <c r="A7664" t="s">
        <v>194</v>
      </c>
      <c r="B7664" t="s">
        <v>199</v>
      </c>
      <c r="C7664" t="s">
        <v>232</v>
      </c>
      <c r="D7664" t="s">
        <v>1636</v>
      </c>
      <c r="E7664" s="3">
        <v>0.3337</v>
      </c>
      <c r="F7664" s="3">
        <v>0.41260000000000002</v>
      </c>
      <c r="G7664" s="3">
        <v>5.8400000000000001E-2</v>
      </c>
      <c r="H7664">
        <v>170</v>
      </c>
      <c r="I7664">
        <v>180</v>
      </c>
      <c r="J7664">
        <v>1995</v>
      </c>
    </row>
    <row r="7665" spans="1:10">
      <c r="A7665" t="s">
        <v>194</v>
      </c>
      <c r="B7665" t="s">
        <v>199</v>
      </c>
      <c r="C7665" t="s">
        <v>232</v>
      </c>
      <c r="D7665" t="s">
        <v>1637</v>
      </c>
      <c r="E7665" s="3">
        <v>0.47320000000000001</v>
      </c>
      <c r="F7665" s="3">
        <v>4.5600000000000002E-2</v>
      </c>
      <c r="G7665" s="3">
        <v>4.8099999999999997E-2</v>
      </c>
      <c r="H7665">
        <v>170</v>
      </c>
      <c r="I7665">
        <v>180</v>
      </c>
      <c r="J7665">
        <v>1995</v>
      </c>
    </row>
    <row r="7666" spans="1:10">
      <c r="A7666" t="s">
        <v>194</v>
      </c>
      <c r="B7666" t="s">
        <v>199</v>
      </c>
      <c r="C7666" t="s">
        <v>232</v>
      </c>
      <c r="D7666" t="s">
        <v>1643</v>
      </c>
      <c r="E7666" s="3">
        <v>8.0000000000000004E-4</v>
      </c>
      <c r="F7666" s="3">
        <v>1.61E-2</v>
      </c>
      <c r="G7666" s="3">
        <v>3.7600000000000001E-2</v>
      </c>
      <c r="H7666">
        <v>170</v>
      </c>
      <c r="I7666">
        <v>180</v>
      </c>
      <c r="J7666">
        <v>1995</v>
      </c>
    </row>
    <row r="7667" spans="1:10">
      <c r="A7667" t="s">
        <v>200</v>
      </c>
      <c r="B7667" t="s">
        <v>200</v>
      </c>
      <c r="C7667" t="s">
        <v>200</v>
      </c>
      <c r="D7667" t="s">
        <v>1624</v>
      </c>
      <c r="E7667" s="3">
        <v>4.4999999999999997E-3</v>
      </c>
      <c r="F7667" s="3">
        <v>1.54E-2</v>
      </c>
      <c r="G7667" s="3">
        <v>2.52E-2</v>
      </c>
      <c r="H7667">
        <v>1995</v>
      </c>
      <c r="I7667">
        <v>1995</v>
      </c>
      <c r="J7667">
        <v>1995</v>
      </c>
    </row>
    <row r="7668" spans="1:10">
      <c r="A7668" t="s">
        <v>200</v>
      </c>
      <c r="B7668" t="s">
        <v>200</v>
      </c>
      <c r="C7668" t="s">
        <v>200</v>
      </c>
      <c r="D7668" t="s">
        <v>257</v>
      </c>
      <c r="E7668" s="3">
        <v>6.8999999999999999E-3</v>
      </c>
      <c r="F7668" s="3">
        <v>4.1799999999999997E-2</v>
      </c>
      <c r="G7668" s="3">
        <v>6.8900000000000003E-2</v>
      </c>
      <c r="H7668">
        <v>1995</v>
      </c>
      <c r="I7668">
        <v>1995</v>
      </c>
      <c r="J7668">
        <v>1995</v>
      </c>
    </row>
    <row r="7669" spans="1:10">
      <c r="A7669" t="s">
        <v>200</v>
      </c>
      <c r="B7669" t="s">
        <v>200</v>
      </c>
      <c r="C7669" t="s">
        <v>200</v>
      </c>
      <c r="D7669" t="s">
        <v>1638</v>
      </c>
      <c r="E7669" s="3">
        <v>1.4999999999999999E-2</v>
      </c>
      <c r="F7669" s="3">
        <v>7.5200000000000003E-2</v>
      </c>
      <c r="G7669" s="3">
        <v>0.1067</v>
      </c>
      <c r="H7669">
        <v>1995</v>
      </c>
      <c r="I7669">
        <v>1995</v>
      </c>
      <c r="J7669">
        <v>1995</v>
      </c>
    </row>
    <row r="7670" spans="1:10">
      <c r="A7670" t="s">
        <v>200</v>
      </c>
      <c r="B7670" t="s">
        <v>200</v>
      </c>
      <c r="C7670" t="s">
        <v>200</v>
      </c>
      <c r="D7670" t="s">
        <v>1639</v>
      </c>
      <c r="E7670" s="3">
        <v>4.7000000000000002E-3</v>
      </c>
      <c r="F7670" s="3">
        <v>2.41E-2</v>
      </c>
      <c r="G7670" s="3">
        <v>2.0500000000000001E-2</v>
      </c>
      <c r="H7670">
        <v>1995</v>
      </c>
      <c r="I7670">
        <v>1995</v>
      </c>
      <c r="J7670">
        <v>1995</v>
      </c>
    </row>
    <row r="7671" spans="1:10">
      <c r="A7671" t="s">
        <v>200</v>
      </c>
      <c r="B7671" t="s">
        <v>200</v>
      </c>
      <c r="C7671" t="s">
        <v>200</v>
      </c>
      <c r="D7671" t="s">
        <v>1625</v>
      </c>
      <c r="E7671" s="3">
        <v>4.2700000000000002E-2</v>
      </c>
      <c r="F7671" s="3">
        <v>4.3299999999999998E-2</v>
      </c>
      <c r="G7671" s="3">
        <v>4.7500000000000001E-2</v>
      </c>
      <c r="H7671">
        <v>1995</v>
      </c>
      <c r="I7671">
        <v>1995</v>
      </c>
      <c r="J7671">
        <v>1995</v>
      </c>
    </row>
    <row r="7672" spans="1:10">
      <c r="A7672" t="s">
        <v>200</v>
      </c>
      <c r="B7672" t="s">
        <v>200</v>
      </c>
      <c r="C7672" t="s">
        <v>200</v>
      </c>
      <c r="D7672" t="s">
        <v>1626</v>
      </c>
      <c r="E7672" s="3">
        <v>4.0000000000000002E-4</v>
      </c>
      <c r="F7672" s="3">
        <v>2.3E-3</v>
      </c>
      <c r="G7672" s="3">
        <v>1.0999999999999999E-2</v>
      </c>
      <c r="H7672">
        <v>1995</v>
      </c>
      <c r="I7672">
        <v>1995</v>
      </c>
      <c r="J7672">
        <v>1995</v>
      </c>
    </row>
    <row r="7673" spans="1:10">
      <c r="A7673" t="s">
        <v>200</v>
      </c>
      <c r="B7673" t="s">
        <v>200</v>
      </c>
      <c r="C7673" t="s">
        <v>200</v>
      </c>
      <c r="D7673" t="s">
        <v>1627</v>
      </c>
      <c r="E7673" s="3">
        <v>4.7199999999999999E-2</v>
      </c>
      <c r="F7673" s="3">
        <v>9.3700000000000006E-2</v>
      </c>
      <c r="G7673" s="3">
        <v>0.14050000000000001</v>
      </c>
      <c r="H7673">
        <v>1995</v>
      </c>
      <c r="I7673">
        <v>1995</v>
      </c>
      <c r="J7673">
        <v>1995</v>
      </c>
    </row>
    <row r="7674" spans="1:10">
      <c r="A7674" t="s">
        <v>200</v>
      </c>
      <c r="B7674" t="s">
        <v>200</v>
      </c>
      <c r="C7674" t="s">
        <v>200</v>
      </c>
      <c r="D7674" t="s">
        <v>1644</v>
      </c>
      <c r="E7674" s="3">
        <v>2.0000000000000001E-4</v>
      </c>
      <c r="F7674" s="3">
        <v>3.3E-3</v>
      </c>
      <c r="G7674" s="3">
        <v>1.09E-2</v>
      </c>
      <c r="H7674">
        <v>1995</v>
      </c>
      <c r="I7674">
        <v>1995</v>
      </c>
      <c r="J7674">
        <v>1995</v>
      </c>
    </row>
    <row r="7675" spans="1:10">
      <c r="A7675" t="s">
        <v>200</v>
      </c>
      <c r="B7675" t="s">
        <v>200</v>
      </c>
      <c r="C7675" t="s">
        <v>200</v>
      </c>
      <c r="D7675" t="s">
        <v>1628</v>
      </c>
      <c r="E7675" s="3">
        <v>3.2500000000000001E-2</v>
      </c>
      <c r="F7675" s="3">
        <v>8.48E-2</v>
      </c>
      <c r="G7675" s="3">
        <v>7.0499999999999993E-2</v>
      </c>
      <c r="H7675">
        <v>1995</v>
      </c>
      <c r="I7675">
        <v>1995</v>
      </c>
      <c r="J7675">
        <v>1995</v>
      </c>
    </row>
    <row r="7676" spans="1:10">
      <c r="A7676" t="s">
        <v>200</v>
      </c>
      <c r="B7676" t="s">
        <v>200</v>
      </c>
      <c r="C7676" t="s">
        <v>200</v>
      </c>
      <c r="D7676" t="s">
        <v>1629</v>
      </c>
      <c r="E7676" s="3">
        <v>6.0000000000000001E-3</v>
      </c>
      <c r="F7676" s="3">
        <v>1.37E-2</v>
      </c>
      <c r="G7676" s="3">
        <v>1.24E-2</v>
      </c>
      <c r="H7676">
        <v>1995</v>
      </c>
      <c r="I7676">
        <v>1995</v>
      </c>
      <c r="J7676">
        <v>1995</v>
      </c>
    </row>
    <row r="7677" spans="1:10">
      <c r="A7677" t="s">
        <v>200</v>
      </c>
      <c r="B7677" t="s">
        <v>200</v>
      </c>
      <c r="C7677" t="s">
        <v>200</v>
      </c>
      <c r="D7677" t="s">
        <v>1640</v>
      </c>
      <c r="E7677" s="3">
        <v>2.2000000000000001E-3</v>
      </c>
      <c r="F7677" s="3">
        <v>8.3999999999999995E-3</v>
      </c>
      <c r="G7677" s="3">
        <v>7.0000000000000001E-3</v>
      </c>
      <c r="H7677">
        <v>1995</v>
      </c>
      <c r="I7677">
        <v>1995</v>
      </c>
      <c r="J7677">
        <v>1995</v>
      </c>
    </row>
    <row r="7678" spans="1:10">
      <c r="A7678" t="s">
        <v>200</v>
      </c>
      <c r="B7678" t="s">
        <v>200</v>
      </c>
      <c r="C7678" t="s">
        <v>200</v>
      </c>
      <c r="D7678" t="s">
        <v>1630</v>
      </c>
      <c r="E7678" s="3">
        <v>7.6E-3</v>
      </c>
      <c r="F7678" s="3">
        <v>2.18E-2</v>
      </c>
      <c r="G7678" s="3">
        <v>1.41E-2</v>
      </c>
      <c r="H7678">
        <v>1995</v>
      </c>
      <c r="I7678">
        <v>1995</v>
      </c>
      <c r="J7678">
        <v>1995</v>
      </c>
    </row>
    <row r="7679" spans="1:10">
      <c r="A7679" t="s">
        <v>200</v>
      </c>
      <c r="B7679" t="s">
        <v>200</v>
      </c>
      <c r="C7679" t="s">
        <v>200</v>
      </c>
      <c r="D7679" t="s">
        <v>1631</v>
      </c>
      <c r="E7679" s="3">
        <v>2.3900000000000001E-2</v>
      </c>
      <c r="F7679" s="3">
        <v>0.112</v>
      </c>
      <c r="G7679" s="3">
        <v>0.1164</v>
      </c>
      <c r="H7679">
        <v>1995</v>
      </c>
      <c r="I7679">
        <v>1995</v>
      </c>
      <c r="J7679">
        <v>1995</v>
      </c>
    </row>
    <row r="7680" spans="1:10">
      <c r="A7680" t="s">
        <v>200</v>
      </c>
      <c r="B7680" t="s">
        <v>200</v>
      </c>
      <c r="C7680" t="s">
        <v>200</v>
      </c>
      <c r="D7680" t="s">
        <v>1641</v>
      </c>
      <c r="E7680" s="3">
        <v>2.3E-3</v>
      </c>
      <c r="F7680" s="3">
        <v>5.0000000000000001E-3</v>
      </c>
      <c r="G7680" s="3">
        <v>2.3599999999999999E-2</v>
      </c>
      <c r="H7680">
        <v>1995</v>
      </c>
      <c r="I7680">
        <v>1995</v>
      </c>
      <c r="J7680">
        <v>1995</v>
      </c>
    </row>
    <row r="7681" spans="1:10">
      <c r="A7681" t="s">
        <v>200</v>
      </c>
      <c r="B7681" t="s">
        <v>200</v>
      </c>
      <c r="C7681" t="s">
        <v>200</v>
      </c>
      <c r="D7681" t="s">
        <v>1632</v>
      </c>
      <c r="E7681" s="3">
        <v>2.4199999999999999E-2</v>
      </c>
      <c r="F7681" s="3">
        <v>6.3799999999999996E-2</v>
      </c>
      <c r="G7681" s="3">
        <v>9.1399999999999995E-2</v>
      </c>
      <c r="H7681">
        <v>1995</v>
      </c>
      <c r="I7681">
        <v>1995</v>
      </c>
      <c r="J7681">
        <v>1995</v>
      </c>
    </row>
    <row r="7682" spans="1:10">
      <c r="A7682" t="s">
        <v>200</v>
      </c>
      <c r="B7682" t="s">
        <v>200</v>
      </c>
      <c r="C7682" t="s">
        <v>200</v>
      </c>
      <c r="D7682" t="s">
        <v>1633</v>
      </c>
      <c r="E7682" s="3">
        <v>3.2000000000000002E-3</v>
      </c>
      <c r="F7682" s="3">
        <v>4.5999999999999999E-3</v>
      </c>
      <c r="G7682" s="3">
        <v>1.3599999999999999E-2</v>
      </c>
      <c r="H7682">
        <v>1995</v>
      </c>
      <c r="I7682">
        <v>1995</v>
      </c>
      <c r="J7682">
        <v>1995</v>
      </c>
    </row>
    <row r="7683" spans="1:10">
      <c r="A7683" t="s">
        <v>200</v>
      </c>
      <c r="B7683" t="s">
        <v>200</v>
      </c>
      <c r="C7683" t="s">
        <v>200</v>
      </c>
      <c r="D7683" t="s">
        <v>1634</v>
      </c>
      <c r="E7683" s="3">
        <v>3.8999999999999998E-3</v>
      </c>
      <c r="F7683" s="3">
        <v>1.55E-2</v>
      </c>
      <c r="G7683" s="3">
        <v>2.1299999999999999E-2</v>
      </c>
      <c r="H7683">
        <v>1995</v>
      </c>
      <c r="I7683">
        <v>1995</v>
      </c>
      <c r="J7683">
        <v>1995</v>
      </c>
    </row>
    <row r="7684" spans="1:10">
      <c r="A7684" t="s">
        <v>200</v>
      </c>
      <c r="B7684" t="s">
        <v>200</v>
      </c>
      <c r="C7684" t="s">
        <v>200</v>
      </c>
      <c r="D7684" t="s">
        <v>1642</v>
      </c>
      <c r="E7684" s="3">
        <v>1.1000000000000001E-3</v>
      </c>
      <c r="F7684" s="3">
        <v>2.0000000000000001E-4</v>
      </c>
      <c r="G7684" s="3">
        <v>7.3000000000000001E-3</v>
      </c>
      <c r="H7684">
        <v>1995</v>
      </c>
      <c r="I7684">
        <v>1995</v>
      </c>
      <c r="J7684">
        <v>1995</v>
      </c>
    </row>
    <row r="7685" spans="1:10">
      <c r="A7685" t="s">
        <v>200</v>
      </c>
      <c r="B7685" t="s">
        <v>200</v>
      </c>
      <c r="C7685" t="s">
        <v>200</v>
      </c>
      <c r="D7685" t="s">
        <v>1635</v>
      </c>
      <c r="E7685" s="3">
        <v>5.3E-3</v>
      </c>
      <c r="F7685" s="3">
        <v>1.3299999999999999E-2</v>
      </c>
      <c r="G7685" s="3">
        <v>4.1500000000000002E-2</v>
      </c>
      <c r="H7685">
        <v>1995</v>
      </c>
      <c r="I7685">
        <v>1995</v>
      </c>
      <c r="J7685">
        <v>1995</v>
      </c>
    </row>
    <row r="7686" spans="1:10">
      <c r="A7686" t="s">
        <v>200</v>
      </c>
      <c r="B7686" t="s">
        <v>200</v>
      </c>
      <c r="C7686" t="s">
        <v>200</v>
      </c>
      <c r="D7686" t="s">
        <v>1636</v>
      </c>
      <c r="E7686" s="3">
        <v>0.37080000000000002</v>
      </c>
      <c r="F7686" s="3">
        <v>0.2258</v>
      </c>
      <c r="G7686" s="3">
        <v>7.7700000000000005E-2</v>
      </c>
      <c r="H7686">
        <v>1995</v>
      </c>
      <c r="I7686">
        <v>1995</v>
      </c>
      <c r="J7686">
        <v>1995</v>
      </c>
    </row>
    <row r="7687" spans="1:10">
      <c r="A7687" t="s">
        <v>200</v>
      </c>
      <c r="B7687" t="s">
        <v>200</v>
      </c>
      <c r="C7687" t="s">
        <v>200</v>
      </c>
      <c r="D7687" t="s">
        <v>1637</v>
      </c>
      <c r="E7687" s="3">
        <v>0.38950000000000001</v>
      </c>
      <c r="F7687" s="3">
        <v>0.1105</v>
      </c>
      <c r="G7687" s="3">
        <v>3.7499999999999999E-2</v>
      </c>
      <c r="H7687">
        <v>1995</v>
      </c>
      <c r="I7687">
        <v>1995</v>
      </c>
      <c r="J7687">
        <v>1995</v>
      </c>
    </row>
    <row r="7688" spans="1:10">
      <c r="A7688" t="s">
        <v>200</v>
      </c>
      <c r="B7688" t="s">
        <v>200</v>
      </c>
      <c r="C7688" t="s">
        <v>200</v>
      </c>
      <c r="D7688" t="s">
        <v>274</v>
      </c>
      <c r="E7688" s="3">
        <v>6.9999999999999999E-4</v>
      </c>
      <c r="F7688" s="3">
        <v>9.1999999999999998E-3</v>
      </c>
      <c r="G7688" s="3">
        <v>1.32E-2</v>
      </c>
      <c r="H7688">
        <v>1995</v>
      </c>
      <c r="I7688">
        <v>1995</v>
      </c>
      <c r="J7688">
        <v>1995</v>
      </c>
    </row>
    <row r="7689" spans="1:10">
      <c r="A7689" t="s">
        <v>200</v>
      </c>
      <c r="B7689" t="s">
        <v>200</v>
      </c>
      <c r="C7689" t="s">
        <v>200</v>
      </c>
      <c r="D7689" t="s">
        <v>247</v>
      </c>
      <c r="E7689" s="3">
        <v>4.8999999999999998E-3</v>
      </c>
      <c r="F7689" s="3">
        <v>0</v>
      </c>
      <c r="G7689" s="3">
        <v>1.4E-3</v>
      </c>
      <c r="H7689">
        <v>1995</v>
      </c>
      <c r="I7689">
        <v>1995</v>
      </c>
      <c r="J7689">
        <v>1995</v>
      </c>
    </row>
    <row r="7690" spans="1:10">
      <c r="A7690" t="s">
        <v>200</v>
      </c>
      <c r="B7690" t="s">
        <v>200</v>
      </c>
      <c r="C7690" t="s">
        <v>200</v>
      </c>
      <c r="D7690" t="s">
        <v>1643</v>
      </c>
      <c r="E7690" s="3">
        <v>1E-4</v>
      </c>
      <c r="F7690" s="3">
        <v>1.2E-2</v>
      </c>
      <c r="G7690" s="3">
        <v>0.02</v>
      </c>
      <c r="H7690">
        <v>1995</v>
      </c>
      <c r="I7690">
        <v>1995</v>
      </c>
      <c r="J7690">
        <v>1995</v>
      </c>
    </row>
    <row r="7692" spans="1:10" ht="45">
      <c r="A7692" s="22" t="s">
        <v>1646</v>
      </c>
    </row>
    <row r="7693" spans="1:10">
      <c r="A7693" t="s">
        <v>184</v>
      </c>
      <c r="B7693" t="s">
        <v>185</v>
      </c>
      <c r="C7693" t="s">
        <v>186</v>
      </c>
      <c r="D7693" t="s">
        <v>1007</v>
      </c>
      <c r="E7693" t="s">
        <v>1621</v>
      </c>
      <c r="F7693" t="s">
        <v>1622</v>
      </c>
      <c r="G7693" t="s">
        <v>1623</v>
      </c>
      <c r="H7693" t="s">
        <v>1018</v>
      </c>
      <c r="I7693" t="s">
        <v>192</v>
      </c>
      <c r="J7693" t="s">
        <v>193</v>
      </c>
    </row>
    <row r="7694" spans="1:10">
      <c r="A7694" t="s">
        <v>194</v>
      </c>
      <c r="B7694" t="s">
        <v>195</v>
      </c>
      <c r="C7694" t="s">
        <v>196</v>
      </c>
      <c r="D7694" t="s">
        <v>1624</v>
      </c>
      <c r="E7694" s="3">
        <v>6.9999999999999999E-4</v>
      </c>
      <c r="F7694" s="3">
        <v>2.9499999999999998E-2</v>
      </c>
      <c r="G7694" s="3">
        <v>6.0000000000000001E-3</v>
      </c>
      <c r="H7694">
        <v>262</v>
      </c>
      <c r="I7694">
        <v>332</v>
      </c>
      <c r="J7694">
        <v>1995</v>
      </c>
    </row>
    <row r="7695" spans="1:10">
      <c r="A7695" t="s">
        <v>194</v>
      </c>
      <c r="B7695" t="s">
        <v>195</v>
      </c>
      <c r="C7695" t="s">
        <v>196</v>
      </c>
      <c r="D7695" t="s">
        <v>257</v>
      </c>
      <c r="E7695" s="3">
        <v>7.1999999999999998E-3</v>
      </c>
      <c r="F7695" s="3">
        <v>1.23E-2</v>
      </c>
      <c r="G7695" s="3">
        <v>3.39E-2</v>
      </c>
      <c r="H7695">
        <v>262</v>
      </c>
      <c r="I7695">
        <v>332</v>
      </c>
      <c r="J7695">
        <v>1995</v>
      </c>
    </row>
    <row r="7696" spans="1:10">
      <c r="A7696" t="s">
        <v>194</v>
      </c>
      <c r="B7696" t="s">
        <v>195</v>
      </c>
      <c r="C7696" t="s">
        <v>196</v>
      </c>
      <c r="D7696" t="s">
        <v>1638</v>
      </c>
      <c r="E7696" s="3">
        <v>2.5000000000000001E-3</v>
      </c>
      <c r="F7696" s="3">
        <v>6.2600000000000003E-2</v>
      </c>
      <c r="G7696" s="3">
        <v>8.6999999999999994E-2</v>
      </c>
      <c r="H7696">
        <v>262</v>
      </c>
      <c r="I7696">
        <v>332</v>
      </c>
      <c r="J7696">
        <v>1995</v>
      </c>
    </row>
    <row r="7697" spans="1:10">
      <c r="A7697" t="s">
        <v>194</v>
      </c>
      <c r="B7697" t="s">
        <v>195</v>
      </c>
      <c r="C7697" t="s">
        <v>196</v>
      </c>
      <c r="D7697" t="s">
        <v>1639</v>
      </c>
      <c r="E7697" s="3">
        <v>7.7000000000000002E-3</v>
      </c>
      <c r="F7697" s="3">
        <v>6.8400000000000002E-2</v>
      </c>
      <c r="G7697" s="3">
        <v>3.6200000000000003E-2</v>
      </c>
      <c r="H7697">
        <v>262</v>
      </c>
      <c r="I7697">
        <v>332</v>
      </c>
      <c r="J7697">
        <v>1995</v>
      </c>
    </row>
    <row r="7698" spans="1:10">
      <c r="A7698" t="s">
        <v>194</v>
      </c>
      <c r="B7698" t="s">
        <v>195</v>
      </c>
      <c r="C7698" t="s">
        <v>196</v>
      </c>
      <c r="D7698" t="s">
        <v>1625</v>
      </c>
      <c r="E7698" s="3">
        <v>6.2700000000000006E-2</v>
      </c>
      <c r="F7698" s="3">
        <v>5.5100000000000003E-2</v>
      </c>
      <c r="G7698" s="3">
        <v>6.3E-2</v>
      </c>
      <c r="H7698">
        <v>262</v>
      </c>
      <c r="I7698">
        <v>332</v>
      </c>
      <c r="J7698">
        <v>1995</v>
      </c>
    </row>
    <row r="7699" spans="1:10">
      <c r="A7699" t="s">
        <v>194</v>
      </c>
      <c r="B7699" t="s">
        <v>195</v>
      </c>
      <c r="C7699" t="s">
        <v>196</v>
      </c>
      <c r="D7699" t="s">
        <v>1626</v>
      </c>
      <c r="E7699" s="3">
        <v>1.2999999999999999E-3</v>
      </c>
      <c r="F7699" s="3">
        <v>1.37E-2</v>
      </c>
      <c r="G7699" s="3">
        <v>4.7999999999999996E-3</v>
      </c>
      <c r="H7699">
        <v>262</v>
      </c>
      <c r="I7699">
        <v>332</v>
      </c>
      <c r="J7699">
        <v>1995</v>
      </c>
    </row>
    <row r="7700" spans="1:10">
      <c r="A7700" t="s">
        <v>194</v>
      </c>
      <c r="B7700" t="s">
        <v>195</v>
      </c>
      <c r="C7700" t="s">
        <v>196</v>
      </c>
      <c r="D7700" t="s">
        <v>1627</v>
      </c>
      <c r="E7700" s="3">
        <v>6.7699999999999996E-2</v>
      </c>
      <c r="F7700" s="3">
        <v>6.5299999999999997E-2</v>
      </c>
      <c r="G7700" s="3">
        <v>0.1278</v>
      </c>
      <c r="H7700">
        <v>262</v>
      </c>
      <c r="I7700">
        <v>332</v>
      </c>
      <c r="J7700">
        <v>1995</v>
      </c>
    </row>
    <row r="7701" spans="1:10">
      <c r="A7701" t="s">
        <v>194</v>
      </c>
      <c r="B7701" t="s">
        <v>195</v>
      </c>
      <c r="C7701" t="s">
        <v>196</v>
      </c>
      <c r="D7701" t="s">
        <v>1628</v>
      </c>
      <c r="E7701" s="3">
        <v>2.1499999999999998E-2</v>
      </c>
      <c r="F7701" s="3">
        <v>4.5199999999999997E-2</v>
      </c>
      <c r="G7701" s="3">
        <v>3.3399999999999999E-2</v>
      </c>
      <c r="H7701">
        <v>262</v>
      </c>
      <c r="I7701">
        <v>332</v>
      </c>
      <c r="J7701">
        <v>1995</v>
      </c>
    </row>
    <row r="7702" spans="1:10">
      <c r="A7702" t="s">
        <v>194</v>
      </c>
      <c r="B7702" t="s">
        <v>195</v>
      </c>
      <c r="C7702" t="s">
        <v>196</v>
      </c>
      <c r="D7702" t="s">
        <v>1629</v>
      </c>
      <c r="E7702" s="3">
        <v>8.2000000000000007E-3</v>
      </c>
      <c r="F7702" s="3">
        <v>4.8999999999999998E-3</v>
      </c>
      <c r="G7702" s="3">
        <v>8.0999999999999996E-3</v>
      </c>
      <c r="H7702">
        <v>262</v>
      </c>
      <c r="I7702">
        <v>332</v>
      </c>
      <c r="J7702">
        <v>1995</v>
      </c>
    </row>
    <row r="7703" spans="1:10">
      <c r="A7703" t="s">
        <v>194</v>
      </c>
      <c r="B7703" t="s">
        <v>195</v>
      </c>
      <c r="C7703" t="s">
        <v>196</v>
      </c>
      <c r="D7703" t="s">
        <v>1640</v>
      </c>
      <c r="E7703" s="3">
        <v>8.0000000000000004E-4</v>
      </c>
      <c r="F7703" s="3">
        <v>2E-3</v>
      </c>
      <c r="H7703">
        <v>262</v>
      </c>
      <c r="I7703">
        <v>332</v>
      </c>
      <c r="J7703">
        <v>1995</v>
      </c>
    </row>
    <row r="7704" spans="1:10">
      <c r="A7704" t="s">
        <v>194</v>
      </c>
      <c r="B7704" t="s">
        <v>195</v>
      </c>
      <c r="C7704" t="s">
        <v>196</v>
      </c>
      <c r="D7704" t="s">
        <v>1630</v>
      </c>
      <c r="E7704" s="3">
        <v>5.3E-3</v>
      </c>
      <c r="F7704" s="3">
        <v>1.8599999999999998E-2</v>
      </c>
      <c r="H7704">
        <v>262</v>
      </c>
      <c r="I7704">
        <v>332</v>
      </c>
      <c r="J7704">
        <v>1995</v>
      </c>
    </row>
    <row r="7705" spans="1:10">
      <c r="A7705" t="s">
        <v>194</v>
      </c>
      <c r="B7705" t="s">
        <v>195</v>
      </c>
      <c r="C7705" t="s">
        <v>196</v>
      </c>
      <c r="D7705" t="s">
        <v>1631</v>
      </c>
      <c r="E7705" s="3">
        <v>4.3400000000000001E-2</v>
      </c>
      <c r="F7705" s="3">
        <v>0.20430000000000001</v>
      </c>
      <c r="G7705" s="3">
        <v>0.12989999999999999</v>
      </c>
      <c r="H7705">
        <v>262</v>
      </c>
      <c r="I7705">
        <v>332</v>
      </c>
      <c r="J7705">
        <v>1995</v>
      </c>
    </row>
    <row r="7706" spans="1:10">
      <c r="A7706" t="s">
        <v>194</v>
      </c>
      <c r="B7706" t="s">
        <v>195</v>
      </c>
      <c r="C7706" t="s">
        <v>196</v>
      </c>
      <c r="D7706" t="s">
        <v>1641</v>
      </c>
      <c r="E7706" s="3">
        <v>3.5999999999999999E-3</v>
      </c>
      <c r="F7706" s="3">
        <v>4.1999999999999997E-3</v>
      </c>
      <c r="G7706" s="3">
        <v>3.49E-2</v>
      </c>
      <c r="H7706">
        <v>262</v>
      </c>
      <c r="I7706">
        <v>332</v>
      </c>
      <c r="J7706">
        <v>1995</v>
      </c>
    </row>
    <row r="7707" spans="1:10">
      <c r="A7707" t="s">
        <v>194</v>
      </c>
      <c r="B7707" t="s">
        <v>195</v>
      </c>
      <c r="C7707" t="s">
        <v>196</v>
      </c>
      <c r="D7707" t="s">
        <v>1632</v>
      </c>
      <c r="E7707" s="3">
        <v>3.4000000000000002E-2</v>
      </c>
      <c r="F7707" s="3">
        <v>4.8300000000000003E-2</v>
      </c>
      <c r="G7707" s="3">
        <v>0.1462</v>
      </c>
      <c r="H7707">
        <v>262</v>
      </c>
      <c r="I7707">
        <v>332</v>
      </c>
      <c r="J7707">
        <v>1995</v>
      </c>
    </row>
    <row r="7708" spans="1:10">
      <c r="A7708" t="s">
        <v>194</v>
      </c>
      <c r="B7708" t="s">
        <v>195</v>
      </c>
      <c r="C7708" t="s">
        <v>196</v>
      </c>
      <c r="D7708" t="s">
        <v>1633</v>
      </c>
      <c r="E7708" s="3">
        <v>7.1000000000000004E-3</v>
      </c>
      <c r="F7708" s="3">
        <v>5.7000000000000002E-3</v>
      </c>
      <c r="G7708" s="3">
        <v>1.7299999999999999E-2</v>
      </c>
      <c r="H7708">
        <v>262</v>
      </c>
      <c r="I7708">
        <v>332</v>
      </c>
      <c r="J7708">
        <v>1995</v>
      </c>
    </row>
    <row r="7709" spans="1:10">
      <c r="A7709" t="s">
        <v>194</v>
      </c>
      <c r="B7709" t="s">
        <v>195</v>
      </c>
      <c r="C7709" t="s">
        <v>196</v>
      </c>
      <c r="D7709" t="s">
        <v>1634</v>
      </c>
      <c r="E7709" s="3">
        <v>1.06E-2</v>
      </c>
      <c r="F7709" s="3">
        <v>3.4500000000000003E-2</v>
      </c>
      <c r="G7709" s="3">
        <v>4.2500000000000003E-2</v>
      </c>
      <c r="H7709">
        <v>262</v>
      </c>
      <c r="I7709">
        <v>332</v>
      </c>
      <c r="J7709">
        <v>1995</v>
      </c>
    </row>
    <row r="7710" spans="1:10">
      <c r="A7710" t="s">
        <v>194</v>
      </c>
      <c r="B7710" t="s">
        <v>195</v>
      </c>
      <c r="C7710" t="s">
        <v>196</v>
      </c>
      <c r="D7710" t="s">
        <v>1635</v>
      </c>
      <c r="E7710" s="3">
        <v>4.8999999999999998E-3</v>
      </c>
      <c r="F7710" s="3">
        <v>1.7000000000000001E-2</v>
      </c>
      <c r="G7710" s="3">
        <v>8.2100000000000006E-2</v>
      </c>
      <c r="H7710">
        <v>262</v>
      </c>
      <c r="I7710">
        <v>332</v>
      </c>
      <c r="J7710">
        <v>1995</v>
      </c>
    </row>
    <row r="7711" spans="1:10">
      <c r="A7711" t="s">
        <v>194</v>
      </c>
      <c r="B7711" t="s">
        <v>195</v>
      </c>
      <c r="C7711" t="s">
        <v>196</v>
      </c>
      <c r="D7711" t="s">
        <v>1636</v>
      </c>
      <c r="E7711" s="3">
        <v>0.48620000000000002</v>
      </c>
      <c r="F7711" s="3">
        <v>0.15079999999999999</v>
      </c>
      <c r="G7711" s="3">
        <v>8.4099999999999994E-2</v>
      </c>
      <c r="H7711">
        <v>262</v>
      </c>
      <c r="I7711">
        <v>332</v>
      </c>
      <c r="J7711">
        <v>1995</v>
      </c>
    </row>
    <row r="7712" spans="1:10">
      <c r="A7712" t="s">
        <v>194</v>
      </c>
      <c r="B7712" t="s">
        <v>195</v>
      </c>
      <c r="C7712" t="s">
        <v>196</v>
      </c>
      <c r="D7712" t="s">
        <v>1637</v>
      </c>
      <c r="E7712" s="3">
        <v>0.20019999999999999</v>
      </c>
      <c r="F7712" s="3">
        <v>0.12230000000000001</v>
      </c>
      <c r="G7712" s="3">
        <v>2.4299999999999999E-2</v>
      </c>
      <c r="H7712">
        <v>262</v>
      </c>
      <c r="I7712">
        <v>332</v>
      </c>
      <c r="J7712">
        <v>1995</v>
      </c>
    </row>
    <row r="7713" spans="1:10">
      <c r="A7713" t="s">
        <v>194</v>
      </c>
      <c r="B7713" t="s">
        <v>195</v>
      </c>
      <c r="C7713" t="s">
        <v>196</v>
      </c>
      <c r="D7713" t="s">
        <v>274</v>
      </c>
      <c r="E7713" s="3">
        <v>8.0000000000000004E-4</v>
      </c>
      <c r="F7713" s="3">
        <v>1.06E-2</v>
      </c>
      <c r="G7713" s="3">
        <v>4.0000000000000001E-3</v>
      </c>
      <c r="H7713">
        <v>262</v>
      </c>
      <c r="I7713">
        <v>332</v>
      </c>
      <c r="J7713">
        <v>1995</v>
      </c>
    </row>
    <row r="7714" spans="1:10">
      <c r="A7714" t="s">
        <v>194</v>
      </c>
      <c r="B7714" t="s">
        <v>195</v>
      </c>
      <c r="C7714" t="s">
        <v>196</v>
      </c>
      <c r="D7714" t="s">
        <v>247</v>
      </c>
      <c r="E7714" s="3">
        <v>2.3699999999999999E-2</v>
      </c>
      <c r="G7714" s="3">
        <v>1.8E-3</v>
      </c>
      <c r="H7714">
        <v>262</v>
      </c>
      <c r="I7714">
        <v>332</v>
      </c>
      <c r="J7714">
        <v>1995</v>
      </c>
    </row>
    <row r="7715" spans="1:10">
      <c r="A7715" t="s">
        <v>194</v>
      </c>
      <c r="B7715" t="s">
        <v>195</v>
      </c>
      <c r="C7715" t="s">
        <v>198</v>
      </c>
      <c r="D7715" t="s">
        <v>1624</v>
      </c>
      <c r="E7715" s="3">
        <v>3.5000000000000001E-3</v>
      </c>
      <c r="F7715" s="3">
        <v>8.5000000000000006E-3</v>
      </c>
      <c r="G7715" s="3">
        <v>2.3400000000000001E-2</v>
      </c>
      <c r="H7715">
        <v>689</v>
      </c>
      <c r="I7715">
        <v>590</v>
      </c>
      <c r="J7715">
        <v>1995</v>
      </c>
    </row>
    <row r="7716" spans="1:10">
      <c r="A7716" t="s">
        <v>194</v>
      </c>
      <c r="B7716" t="s">
        <v>195</v>
      </c>
      <c r="C7716" t="s">
        <v>198</v>
      </c>
      <c r="D7716" t="s">
        <v>257</v>
      </c>
      <c r="E7716" s="3">
        <v>3.0000000000000001E-3</v>
      </c>
      <c r="F7716" s="3">
        <v>3.2800000000000003E-2</v>
      </c>
      <c r="G7716" s="3">
        <v>4.8500000000000001E-2</v>
      </c>
      <c r="H7716">
        <v>689</v>
      </c>
      <c r="I7716">
        <v>590</v>
      </c>
      <c r="J7716">
        <v>1995</v>
      </c>
    </row>
    <row r="7717" spans="1:10">
      <c r="A7717" t="s">
        <v>194</v>
      </c>
      <c r="B7717" t="s">
        <v>195</v>
      </c>
      <c r="C7717" t="s">
        <v>198</v>
      </c>
      <c r="D7717" t="s">
        <v>1638</v>
      </c>
      <c r="E7717" s="3">
        <v>6.1000000000000004E-3</v>
      </c>
      <c r="F7717" s="3">
        <v>7.0699999999999999E-2</v>
      </c>
      <c r="G7717" s="3">
        <v>6.6500000000000004E-2</v>
      </c>
      <c r="H7717">
        <v>689</v>
      </c>
      <c r="I7717">
        <v>590</v>
      </c>
      <c r="J7717">
        <v>1995</v>
      </c>
    </row>
    <row r="7718" spans="1:10">
      <c r="A7718" t="s">
        <v>194</v>
      </c>
      <c r="B7718" t="s">
        <v>195</v>
      </c>
      <c r="C7718" t="s">
        <v>198</v>
      </c>
      <c r="D7718" t="s">
        <v>1639</v>
      </c>
      <c r="E7718" s="3">
        <v>1.2999999999999999E-3</v>
      </c>
      <c r="F7718" s="3">
        <v>1.9300000000000001E-2</v>
      </c>
      <c r="G7718" s="3">
        <v>6.4000000000000003E-3</v>
      </c>
      <c r="H7718">
        <v>689</v>
      </c>
      <c r="I7718">
        <v>590</v>
      </c>
      <c r="J7718">
        <v>1995</v>
      </c>
    </row>
    <row r="7719" spans="1:10">
      <c r="A7719" t="s">
        <v>194</v>
      </c>
      <c r="B7719" t="s">
        <v>195</v>
      </c>
      <c r="C7719" t="s">
        <v>198</v>
      </c>
      <c r="D7719" t="s">
        <v>1625</v>
      </c>
      <c r="E7719" s="3">
        <v>7.7399999999999997E-2</v>
      </c>
      <c r="F7719" s="3">
        <v>8.3500000000000005E-2</v>
      </c>
      <c r="G7719" s="3">
        <v>6.25E-2</v>
      </c>
      <c r="H7719">
        <v>689</v>
      </c>
      <c r="I7719">
        <v>590</v>
      </c>
      <c r="J7719">
        <v>1995</v>
      </c>
    </row>
    <row r="7720" spans="1:10">
      <c r="A7720" t="s">
        <v>194</v>
      </c>
      <c r="B7720" t="s">
        <v>195</v>
      </c>
      <c r="C7720" t="s">
        <v>198</v>
      </c>
      <c r="D7720" t="s">
        <v>1627</v>
      </c>
      <c r="E7720" s="3">
        <v>4.4200000000000003E-2</v>
      </c>
      <c r="F7720" s="3">
        <v>0.1191</v>
      </c>
      <c r="G7720" s="3">
        <v>0.1789</v>
      </c>
      <c r="H7720">
        <v>689</v>
      </c>
      <c r="I7720">
        <v>590</v>
      </c>
      <c r="J7720">
        <v>1995</v>
      </c>
    </row>
    <row r="7721" spans="1:10">
      <c r="A7721" t="s">
        <v>194</v>
      </c>
      <c r="B7721" t="s">
        <v>195</v>
      </c>
      <c r="C7721" t="s">
        <v>198</v>
      </c>
      <c r="D7721" t="s">
        <v>1628</v>
      </c>
      <c r="E7721" s="3">
        <v>1.7500000000000002E-2</v>
      </c>
      <c r="F7721" s="3">
        <v>4.7E-2</v>
      </c>
      <c r="G7721" s="3">
        <v>5.6500000000000002E-2</v>
      </c>
      <c r="H7721">
        <v>689</v>
      </c>
      <c r="I7721">
        <v>590</v>
      </c>
      <c r="J7721">
        <v>1995</v>
      </c>
    </row>
    <row r="7722" spans="1:10">
      <c r="A7722" t="s">
        <v>194</v>
      </c>
      <c r="B7722" t="s">
        <v>195</v>
      </c>
      <c r="C7722" t="s">
        <v>198</v>
      </c>
      <c r="D7722" t="s">
        <v>1629</v>
      </c>
      <c r="E7722" s="3">
        <v>5.1999999999999998E-3</v>
      </c>
      <c r="F7722" s="3">
        <v>2.3999999999999998E-3</v>
      </c>
      <c r="G7722" s="3">
        <v>6.7999999999999996E-3</v>
      </c>
      <c r="H7722">
        <v>689</v>
      </c>
      <c r="I7722">
        <v>590</v>
      </c>
      <c r="J7722">
        <v>1995</v>
      </c>
    </row>
    <row r="7723" spans="1:10">
      <c r="A7723" t="s">
        <v>194</v>
      </c>
      <c r="B7723" t="s">
        <v>195</v>
      </c>
      <c r="C7723" t="s">
        <v>198</v>
      </c>
      <c r="D7723" t="s">
        <v>1640</v>
      </c>
      <c r="E7723" s="3">
        <v>3.0000000000000001E-3</v>
      </c>
      <c r="F7723" s="3">
        <v>4.5999999999999999E-3</v>
      </c>
      <c r="G7723" s="3">
        <v>4.1999999999999997E-3</v>
      </c>
      <c r="H7723">
        <v>689</v>
      </c>
      <c r="I7723">
        <v>590</v>
      </c>
      <c r="J7723">
        <v>1995</v>
      </c>
    </row>
    <row r="7724" spans="1:10">
      <c r="A7724" t="s">
        <v>194</v>
      </c>
      <c r="B7724" t="s">
        <v>195</v>
      </c>
      <c r="C7724" t="s">
        <v>198</v>
      </c>
      <c r="D7724" t="s">
        <v>1630</v>
      </c>
      <c r="E7724" s="3">
        <v>1.14E-2</v>
      </c>
      <c r="F7724" s="3">
        <v>2.8400000000000002E-2</v>
      </c>
      <c r="G7724" s="3">
        <v>2.6200000000000001E-2</v>
      </c>
      <c r="H7724">
        <v>689</v>
      </c>
      <c r="I7724">
        <v>590</v>
      </c>
      <c r="J7724">
        <v>1995</v>
      </c>
    </row>
    <row r="7725" spans="1:10">
      <c r="A7725" t="s">
        <v>194</v>
      </c>
      <c r="B7725" t="s">
        <v>195</v>
      </c>
      <c r="C7725" t="s">
        <v>198</v>
      </c>
      <c r="D7725" t="s">
        <v>1631</v>
      </c>
      <c r="E7725" s="3">
        <v>3.8100000000000002E-2</v>
      </c>
      <c r="F7725" s="3">
        <v>0.14410000000000001</v>
      </c>
      <c r="G7725" s="3">
        <v>0.1236</v>
      </c>
      <c r="H7725">
        <v>689</v>
      </c>
      <c r="I7725">
        <v>590</v>
      </c>
      <c r="J7725">
        <v>1995</v>
      </c>
    </row>
    <row r="7726" spans="1:10">
      <c r="A7726" t="s">
        <v>194</v>
      </c>
      <c r="B7726" t="s">
        <v>195</v>
      </c>
      <c r="C7726" t="s">
        <v>198</v>
      </c>
      <c r="D7726" t="s">
        <v>1641</v>
      </c>
      <c r="E7726" s="3">
        <v>4.4000000000000003E-3</v>
      </c>
      <c r="F7726" s="3">
        <v>9.2999999999999992E-3</v>
      </c>
      <c r="G7726" s="3">
        <v>3.3700000000000001E-2</v>
      </c>
      <c r="H7726">
        <v>689</v>
      </c>
      <c r="I7726">
        <v>590</v>
      </c>
      <c r="J7726">
        <v>1995</v>
      </c>
    </row>
    <row r="7727" spans="1:10">
      <c r="A7727" t="s">
        <v>194</v>
      </c>
      <c r="B7727" t="s">
        <v>195</v>
      </c>
      <c r="C7727" t="s">
        <v>198</v>
      </c>
      <c r="D7727" t="s">
        <v>1632</v>
      </c>
      <c r="E7727" s="3">
        <v>1.5800000000000002E-2</v>
      </c>
      <c r="F7727" s="3">
        <v>5.6500000000000002E-2</v>
      </c>
      <c r="G7727" s="3">
        <v>8.3500000000000005E-2</v>
      </c>
      <c r="H7727">
        <v>689</v>
      </c>
      <c r="I7727">
        <v>590</v>
      </c>
      <c r="J7727">
        <v>1995</v>
      </c>
    </row>
    <row r="7728" spans="1:10">
      <c r="A7728" t="s">
        <v>194</v>
      </c>
      <c r="B7728" t="s">
        <v>195</v>
      </c>
      <c r="C7728" t="s">
        <v>198</v>
      </c>
      <c r="D7728" t="s">
        <v>1633</v>
      </c>
      <c r="E7728" s="3">
        <v>6.1999999999999998E-3</v>
      </c>
      <c r="F7728" s="3">
        <v>2.9999999999999997E-4</v>
      </c>
      <c r="G7728" s="3">
        <v>1.44E-2</v>
      </c>
      <c r="H7728">
        <v>689</v>
      </c>
      <c r="I7728">
        <v>590</v>
      </c>
      <c r="J7728">
        <v>1995</v>
      </c>
    </row>
    <row r="7729" spans="1:10">
      <c r="A7729" t="s">
        <v>194</v>
      </c>
      <c r="B7729" t="s">
        <v>195</v>
      </c>
      <c r="C7729" t="s">
        <v>198</v>
      </c>
      <c r="D7729" t="s">
        <v>1634</v>
      </c>
      <c r="E7729" s="3">
        <v>6.1999999999999998E-3</v>
      </c>
      <c r="F7729" s="3">
        <v>1.8700000000000001E-2</v>
      </c>
      <c r="G7729" s="3">
        <v>2.4500000000000001E-2</v>
      </c>
      <c r="H7729">
        <v>689</v>
      </c>
      <c r="I7729">
        <v>590</v>
      </c>
      <c r="J7729">
        <v>1995</v>
      </c>
    </row>
    <row r="7730" spans="1:10">
      <c r="A7730" t="s">
        <v>194</v>
      </c>
      <c r="B7730" t="s">
        <v>195</v>
      </c>
      <c r="C7730" t="s">
        <v>198</v>
      </c>
      <c r="D7730" t="s">
        <v>1642</v>
      </c>
      <c r="E7730" s="3">
        <v>2.7000000000000001E-3</v>
      </c>
      <c r="G7730" s="3">
        <v>6.1999999999999998E-3</v>
      </c>
      <c r="H7730">
        <v>689</v>
      </c>
      <c r="I7730">
        <v>590</v>
      </c>
      <c r="J7730">
        <v>1995</v>
      </c>
    </row>
    <row r="7731" spans="1:10">
      <c r="A7731" t="s">
        <v>194</v>
      </c>
      <c r="B7731" t="s">
        <v>195</v>
      </c>
      <c r="C7731" t="s">
        <v>198</v>
      </c>
      <c r="D7731" t="s">
        <v>1635</v>
      </c>
      <c r="E7731" s="3">
        <v>1.03E-2</v>
      </c>
      <c r="F7731" s="3">
        <v>1.6400000000000001E-2</v>
      </c>
      <c r="G7731" s="3">
        <v>3.39E-2</v>
      </c>
      <c r="H7731">
        <v>689</v>
      </c>
      <c r="I7731">
        <v>590</v>
      </c>
      <c r="J7731">
        <v>1995</v>
      </c>
    </row>
    <row r="7732" spans="1:10">
      <c r="A7732" t="s">
        <v>194</v>
      </c>
      <c r="B7732" t="s">
        <v>195</v>
      </c>
      <c r="C7732" t="s">
        <v>198</v>
      </c>
      <c r="D7732" t="s">
        <v>1636</v>
      </c>
      <c r="E7732" s="3">
        <v>0.46970000000000001</v>
      </c>
      <c r="F7732" s="3">
        <v>0.21640000000000001</v>
      </c>
      <c r="G7732" s="3">
        <v>0.1106</v>
      </c>
      <c r="H7732">
        <v>689</v>
      </c>
      <c r="I7732">
        <v>590</v>
      </c>
      <c r="J7732">
        <v>1995</v>
      </c>
    </row>
    <row r="7733" spans="1:10">
      <c r="A7733" t="s">
        <v>194</v>
      </c>
      <c r="B7733" t="s">
        <v>195</v>
      </c>
      <c r="C7733" t="s">
        <v>198</v>
      </c>
      <c r="D7733" t="s">
        <v>1637</v>
      </c>
      <c r="E7733" s="3">
        <v>0.26819999999999999</v>
      </c>
      <c r="F7733" s="3">
        <v>0.11020000000000001</v>
      </c>
      <c r="G7733" s="3">
        <v>4.7E-2</v>
      </c>
      <c r="H7733">
        <v>689</v>
      </c>
      <c r="I7733">
        <v>590</v>
      </c>
      <c r="J7733">
        <v>1995</v>
      </c>
    </row>
    <row r="7734" spans="1:10">
      <c r="A7734" t="s">
        <v>194</v>
      </c>
      <c r="B7734" t="s">
        <v>195</v>
      </c>
      <c r="C7734" t="s">
        <v>198</v>
      </c>
      <c r="D7734" t="s">
        <v>274</v>
      </c>
      <c r="E7734" s="3">
        <v>1.4E-3</v>
      </c>
      <c r="F7734" s="3">
        <v>9.9000000000000008E-3</v>
      </c>
      <c r="G7734" s="3">
        <v>1.12E-2</v>
      </c>
      <c r="H7734">
        <v>689</v>
      </c>
      <c r="I7734">
        <v>590</v>
      </c>
      <c r="J7734">
        <v>1995</v>
      </c>
    </row>
    <row r="7735" spans="1:10">
      <c r="A7735" t="s">
        <v>194</v>
      </c>
      <c r="B7735" t="s">
        <v>195</v>
      </c>
      <c r="C7735" t="s">
        <v>198</v>
      </c>
      <c r="D7735" t="s">
        <v>247</v>
      </c>
      <c r="E7735" s="3">
        <v>4.3E-3</v>
      </c>
      <c r="F7735" s="3">
        <v>1E-4</v>
      </c>
      <c r="G7735" s="3">
        <v>1.6999999999999999E-3</v>
      </c>
      <c r="H7735">
        <v>689</v>
      </c>
      <c r="I7735">
        <v>590</v>
      </c>
      <c r="J7735">
        <v>1995</v>
      </c>
    </row>
    <row r="7736" spans="1:10">
      <c r="A7736" t="s">
        <v>194</v>
      </c>
      <c r="B7736" t="s">
        <v>199</v>
      </c>
      <c r="C7736" t="s">
        <v>196</v>
      </c>
      <c r="D7736" t="s">
        <v>1624</v>
      </c>
      <c r="E7736" s="3">
        <v>2.5999999999999999E-3</v>
      </c>
      <c r="F7736" s="3">
        <v>1.9E-2</v>
      </c>
      <c r="G7736" s="3">
        <v>1.2200000000000001E-2</v>
      </c>
      <c r="H7736">
        <v>175</v>
      </c>
      <c r="I7736">
        <v>373</v>
      </c>
      <c r="J7736">
        <v>1995</v>
      </c>
    </row>
    <row r="7737" spans="1:10">
      <c r="A7737" t="s">
        <v>194</v>
      </c>
      <c r="B7737" t="s">
        <v>199</v>
      </c>
      <c r="C7737" t="s">
        <v>196</v>
      </c>
      <c r="D7737" t="s">
        <v>257</v>
      </c>
      <c r="E7737" s="3">
        <v>2.58E-2</v>
      </c>
      <c r="F7737" s="3">
        <v>4.1099999999999998E-2</v>
      </c>
      <c r="G7737" s="3">
        <v>7.6300000000000007E-2</v>
      </c>
      <c r="H7737">
        <v>175</v>
      </c>
      <c r="I7737">
        <v>373</v>
      </c>
      <c r="J7737">
        <v>1995</v>
      </c>
    </row>
    <row r="7738" spans="1:10">
      <c r="A7738" t="s">
        <v>194</v>
      </c>
      <c r="B7738" t="s">
        <v>199</v>
      </c>
      <c r="C7738" t="s">
        <v>196</v>
      </c>
      <c r="D7738" t="s">
        <v>1638</v>
      </c>
      <c r="E7738" s="3">
        <v>3.2099999999999997E-2</v>
      </c>
      <c r="F7738" s="3">
        <v>6.7400000000000002E-2</v>
      </c>
      <c r="G7738" s="3">
        <v>0.1192</v>
      </c>
      <c r="H7738">
        <v>175</v>
      </c>
      <c r="I7738">
        <v>373</v>
      </c>
      <c r="J7738">
        <v>1995</v>
      </c>
    </row>
    <row r="7739" spans="1:10">
      <c r="A7739" t="s">
        <v>194</v>
      </c>
      <c r="B7739" t="s">
        <v>199</v>
      </c>
      <c r="C7739" t="s">
        <v>196</v>
      </c>
      <c r="D7739" t="s">
        <v>1639</v>
      </c>
      <c r="E7739" s="3">
        <v>1.0200000000000001E-2</v>
      </c>
      <c r="F7739" s="3">
        <v>4.0500000000000001E-2</v>
      </c>
      <c r="G7739" s="3">
        <v>2.7E-2</v>
      </c>
      <c r="H7739">
        <v>175</v>
      </c>
      <c r="I7739">
        <v>373</v>
      </c>
      <c r="J7739">
        <v>1995</v>
      </c>
    </row>
    <row r="7740" spans="1:10">
      <c r="A7740" t="s">
        <v>194</v>
      </c>
      <c r="B7740" t="s">
        <v>199</v>
      </c>
      <c r="C7740" t="s">
        <v>196</v>
      </c>
      <c r="D7740" t="s">
        <v>1625</v>
      </c>
      <c r="E7740" s="3">
        <v>2.4299999999999999E-2</v>
      </c>
      <c r="F7740" s="3">
        <v>1.4800000000000001E-2</v>
      </c>
      <c r="G7740" s="3">
        <v>0.06</v>
      </c>
      <c r="H7740">
        <v>175</v>
      </c>
      <c r="I7740">
        <v>373</v>
      </c>
      <c r="J7740">
        <v>1995</v>
      </c>
    </row>
    <row r="7741" spans="1:10">
      <c r="A7741" t="s">
        <v>194</v>
      </c>
      <c r="B7741" t="s">
        <v>199</v>
      </c>
      <c r="C7741" t="s">
        <v>196</v>
      </c>
      <c r="D7741" t="s">
        <v>1626</v>
      </c>
      <c r="E7741" s="3">
        <v>2.5000000000000001E-3</v>
      </c>
      <c r="F7741" s="3">
        <v>2.7000000000000001E-3</v>
      </c>
      <c r="G7741" s="3">
        <v>7.4000000000000003E-3</v>
      </c>
      <c r="H7741">
        <v>175</v>
      </c>
      <c r="I7741">
        <v>373</v>
      </c>
      <c r="J7741">
        <v>1995</v>
      </c>
    </row>
    <row r="7742" spans="1:10">
      <c r="A7742" t="s">
        <v>194</v>
      </c>
      <c r="B7742" t="s">
        <v>199</v>
      </c>
      <c r="C7742" t="s">
        <v>196</v>
      </c>
      <c r="D7742" t="s">
        <v>1627</v>
      </c>
      <c r="E7742" s="3">
        <v>6.6100000000000006E-2</v>
      </c>
      <c r="F7742" s="3">
        <v>0.1115</v>
      </c>
      <c r="G7742" s="3">
        <v>0.1226</v>
      </c>
      <c r="H7742">
        <v>175</v>
      </c>
      <c r="I7742">
        <v>373</v>
      </c>
      <c r="J7742">
        <v>1995</v>
      </c>
    </row>
    <row r="7743" spans="1:10">
      <c r="A7743" t="s">
        <v>194</v>
      </c>
      <c r="B7743" t="s">
        <v>199</v>
      </c>
      <c r="C7743" t="s">
        <v>196</v>
      </c>
      <c r="D7743" t="s">
        <v>1644</v>
      </c>
      <c r="E7743" s="3">
        <v>1.9E-3</v>
      </c>
      <c r="G7743" s="3">
        <v>2.8999999999999998E-3</v>
      </c>
      <c r="H7743">
        <v>175</v>
      </c>
      <c r="I7743">
        <v>373</v>
      </c>
      <c r="J7743">
        <v>1995</v>
      </c>
    </row>
    <row r="7744" spans="1:10">
      <c r="A7744" t="s">
        <v>194</v>
      </c>
      <c r="B7744" t="s">
        <v>199</v>
      </c>
      <c r="C7744" t="s">
        <v>196</v>
      </c>
      <c r="D7744" t="s">
        <v>1628</v>
      </c>
      <c r="E7744" s="3">
        <v>2.8400000000000002E-2</v>
      </c>
      <c r="F7744" s="3">
        <v>9.9599999999999994E-2</v>
      </c>
      <c r="G7744" s="3">
        <v>0.16139999999999999</v>
      </c>
      <c r="H7744">
        <v>175</v>
      </c>
      <c r="I7744">
        <v>373</v>
      </c>
      <c r="J7744">
        <v>1995</v>
      </c>
    </row>
    <row r="7745" spans="1:10">
      <c r="A7745" t="s">
        <v>194</v>
      </c>
      <c r="B7745" t="s">
        <v>199</v>
      </c>
      <c r="C7745" t="s">
        <v>196</v>
      </c>
      <c r="D7745" t="s">
        <v>1629</v>
      </c>
      <c r="E7745" s="3">
        <v>1.5900000000000001E-2</v>
      </c>
      <c r="F7745" s="3">
        <v>4.48E-2</v>
      </c>
      <c r="G7745" s="3">
        <v>2.93E-2</v>
      </c>
      <c r="H7745">
        <v>175</v>
      </c>
      <c r="I7745">
        <v>373</v>
      </c>
      <c r="J7745">
        <v>1995</v>
      </c>
    </row>
    <row r="7746" spans="1:10">
      <c r="A7746" t="s">
        <v>194</v>
      </c>
      <c r="B7746" t="s">
        <v>199</v>
      </c>
      <c r="C7746" t="s">
        <v>196</v>
      </c>
      <c r="D7746" t="s">
        <v>1640</v>
      </c>
      <c r="E7746" s="3">
        <v>5.7000000000000002E-3</v>
      </c>
      <c r="F7746" s="3">
        <v>3.8999999999999998E-3</v>
      </c>
      <c r="G7746" s="3">
        <v>1.9300000000000001E-2</v>
      </c>
      <c r="H7746">
        <v>175</v>
      </c>
      <c r="I7746">
        <v>373</v>
      </c>
      <c r="J7746">
        <v>1995</v>
      </c>
    </row>
    <row r="7747" spans="1:10">
      <c r="A7747" t="s">
        <v>194</v>
      </c>
      <c r="B7747" t="s">
        <v>199</v>
      </c>
      <c r="C7747" t="s">
        <v>196</v>
      </c>
      <c r="D7747" t="s">
        <v>1630</v>
      </c>
      <c r="E7747" s="3">
        <v>3.0000000000000001E-3</v>
      </c>
      <c r="F7747" s="3">
        <v>3.9100000000000003E-2</v>
      </c>
      <c r="G7747" s="3">
        <v>7.6E-3</v>
      </c>
      <c r="H7747">
        <v>175</v>
      </c>
      <c r="I7747">
        <v>373</v>
      </c>
      <c r="J7747">
        <v>1995</v>
      </c>
    </row>
    <row r="7748" spans="1:10">
      <c r="A7748" t="s">
        <v>194</v>
      </c>
      <c r="B7748" t="s">
        <v>199</v>
      </c>
      <c r="C7748" t="s">
        <v>196</v>
      </c>
      <c r="D7748" t="s">
        <v>1631</v>
      </c>
      <c r="E7748" s="3">
        <v>9.2999999999999992E-3</v>
      </c>
      <c r="F7748" s="3">
        <v>8.8999999999999996E-2</v>
      </c>
      <c r="G7748" s="3">
        <v>4.0099999999999997E-2</v>
      </c>
      <c r="H7748">
        <v>175</v>
      </c>
      <c r="I7748">
        <v>373</v>
      </c>
      <c r="J7748">
        <v>1995</v>
      </c>
    </row>
    <row r="7749" spans="1:10">
      <c r="A7749" t="s">
        <v>194</v>
      </c>
      <c r="B7749" t="s">
        <v>199</v>
      </c>
      <c r="C7749" t="s">
        <v>196</v>
      </c>
      <c r="D7749" t="s">
        <v>1641</v>
      </c>
      <c r="E7749" s="3">
        <v>1E-3</v>
      </c>
      <c r="G7749" s="3">
        <v>2.52E-2</v>
      </c>
      <c r="H7749">
        <v>175</v>
      </c>
      <c r="I7749">
        <v>373</v>
      </c>
      <c r="J7749">
        <v>1995</v>
      </c>
    </row>
    <row r="7750" spans="1:10">
      <c r="A7750" t="s">
        <v>194</v>
      </c>
      <c r="B7750" t="s">
        <v>199</v>
      </c>
      <c r="C7750" t="s">
        <v>196</v>
      </c>
      <c r="D7750" t="s">
        <v>1632</v>
      </c>
      <c r="E7750" s="3">
        <v>7.3000000000000001E-3</v>
      </c>
      <c r="F7750" s="3">
        <v>6.3799999999999996E-2</v>
      </c>
      <c r="G7750" s="3">
        <v>4.9000000000000002E-2</v>
      </c>
      <c r="H7750">
        <v>175</v>
      </c>
      <c r="I7750">
        <v>373</v>
      </c>
      <c r="J7750">
        <v>1995</v>
      </c>
    </row>
    <row r="7751" spans="1:10">
      <c r="A7751" t="s">
        <v>194</v>
      </c>
      <c r="B7751" t="s">
        <v>199</v>
      </c>
      <c r="C7751" t="s">
        <v>196</v>
      </c>
      <c r="D7751" t="s">
        <v>1633</v>
      </c>
      <c r="E7751" s="3">
        <v>2.0000000000000001E-4</v>
      </c>
      <c r="F7751" s="3">
        <v>2.7000000000000001E-3</v>
      </c>
      <c r="G7751" s="3">
        <v>1.95E-2</v>
      </c>
      <c r="H7751">
        <v>175</v>
      </c>
      <c r="I7751">
        <v>373</v>
      </c>
      <c r="J7751">
        <v>1995</v>
      </c>
    </row>
    <row r="7752" spans="1:10">
      <c r="A7752" t="s">
        <v>194</v>
      </c>
      <c r="B7752" t="s">
        <v>199</v>
      </c>
      <c r="C7752" t="s">
        <v>196</v>
      </c>
      <c r="D7752" t="s">
        <v>1642</v>
      </c>
      <c r="E7752" s="3">
        <v>1.2999999999999999E-3</v>
      </c>
      <c r="F7752" s="3">
        <v>1.4E-3</v>
      </c>
      <c r="G7752" s="3">
        <v>5.04E-2</v>
      </c>
      <c r="H7752">
        <v>175</v>
      </c>
      <c r="I7752">
        <v>373</v>
      </c>
      <c r="J7752">
        <v>1995</v>
      </c>
    </row>
    <row r="7753" spans="1:10">
      <c r="A7753" t="s">
        <v>194</v>
      </c>
      <c r="B7753" t="s">
        <v>199</v>
      </c>
      <c r="C7753" t="s">
        <v>196</v>
      </c>
      <c r="D7753" t="s">
        <v>1635</v>
      </c>
      <c r="E7753" s="3">
        <v>1.1000000000000001E-3</v>
      </c>
      <c r="F7753" s="3">
        <v>4.0000000000000001E-3</v>
      </c>
      <c r="G7753" s="3">
        <v>7.7600000000000002E-2</v>
      </c>
      <c r="H7753">
        <v>175</v>
      </c>
      <c r="I7753">
        <v>373</v>
      </c>
      <c r="J7753">
        <v>1995</v>
      </c>
    </row>
    <row r="7754" spans="1:10">
      <c r="A7754" t="s">
        <v>194</v>
      </c>
      <c r="B7754" t="s">
        <v>199</v>
      </c>
      <c r="C7754" t="s">
        <v>196</v>
      </c>
      <c r="D7754" t="s">
        <v>1636</v>
      </c>
      <c r="E7754" s="3">
        <v>0.38569999999999999</v>
      </c>
      <c r="F7754" s="3">
        <v>0.1867</v>
      </c>
      <c r="G7754" s="3">
        <v>3.5099999999999999E-2</v>
      </c>
      <c r="H7754">
        <v>175</v>
      </c>
      <c r="I7754">
        <v>373</v>
      </c>
      <c r="J7754">
        <v>1995</v>
      </c>
    </row>
    <row r="7755" spans="1:10">
      <c r="A7755" t="s">
        <v>194</v>
      </c>
      <c r="B7755" t="s">
        <v>199</v>
      </c>
      <c r="C7755" t="s">
        <v>196</v>
      </c>
      <c r="D7755" t="s">
        <v>1637</v>
      </c>
      <c r="E7755" s="3">
        <v>0.37540000000000001</v>
      </c>
      <c r="F7755" s="3">
        <v>0.15040000000000001</v>
      </c>
      <c r="G7755" s="3">
        <v>4.2500000000000003E-2</v>
      </c>
      <c r="H7755">
        <v>175</v>
      </c>
      <c r="I7755">
        <v>373</v>
      </c>
      <c r="J7755">
        <v>1995</v>
      </c>
    </row>
    <row r="7756" spans="1:10">
      <c r="A7756" t="s">
        <v>194</v>
      </c>
      <c r="B7756" t="s">
        <v>199</v>
      </c>
      <c r="C7756" t="s">
        <v>196</v>
      </c>
      <c r="D7756" t="s">
        <v>1643</v>
      </c>
      <c r="E7756" s="3">
        <v>2.0000000000000001E-4</v>
      </c>
      <c r="F7756" s="3">
        <v>5.0000000000000001E-4</v>
      </c>
      <c r="G7756" s="3">
        <v>4.1999999999999997E-3</v>
      </c>
      <c r="H7756">
        <v>175</v>
      </c>
      <c r="I7756">
        <v>373</v>
      </c>
      <c r="J7756">
        <v>1995</v>
      </c>
    </row>
    <row r="7757" spans="1:10">
      <c r="A7757" t="s">
        <v>194</v>
      </c>
      <c r="B7757" t="s">
        <v>199</v>
      </c>
      <c r="C7757" t="s">
        <v>198</v>
      </c>
      <c r="D7757" t="s">
        <v>1624</v>
      </c>
      <c r="E7757" s="3">
        <v>7.1000000000000004E-3</v>
      </c>
      <c r="F7757" s="3">
        <v>1.6500000000000001E-2</v>
      </c>
      <c r="G7757" s="3">
        <v>4.1099999999999998E-2</v>
      </c>
      <c r="H7757">
        <v>777</v>
      </c>
      <c r="I7757">
        <v>666</v>
      </c>
      <c r="J7757">
        <v>1995</v>
      </c>
    </row>
    <row r="7758" spans="1:10">
      <c r="A7758" t="s">
        <v>194</v>
      </c>
      <c r="B7758" t="s">
        <v>199</v>
      </c>
      <c r="C7758" t="s">
        <v>198</v>
      </c>
      <c r="D7758" t="s">
        <v>257</v>
      </c>
      <c r="E7758" s="3">
        <v>5.5999999999999999E-3</v>
      </c>
      <c r="F7758" s="3">
        <v>5.9200000000000003E-2</v>
      </c>
      <c r="G7758" s="3">
        <v>0.11360000000000001</v>
      </c>
      <c r="H7758">
        <v>777</v>
      </c>
      <c r="I7758">
        <v>666</v>
      </c>
      <c r="J7758">
        <v>1995</v>
      </c>
    </row>
    <row r="7759" spans="1:10">
      <c r="A7759" t="s">
        <v>194</v>
      </c>
      <c r="B7759" t="s">
        <v>199</v>
      </c>
      <c r="C7759" t="s">
        <v>198</v>
      </c>
      <c r="D7759" t="s">
        <v>1638</v>
      </c>
      <c r="E7759" s="3">
        <v>2.3300000000000001E-2</v>
      </c>
      <c r="F7759" s="3">
        <v>8.6999999999999994E-2</v>
      </c>
      <c r="G7759" s="3">
        <v>0.16750000000000001</v>
      </c>
      <c r="H7759">
        <v>777</v>
      </c>
      <c r="I7759">
        <v>666</v>
      </c>
      <c r="J7759">
        <v>1995</v>
      </c>
    </row>
    <row r="7760" spans="1:10">
      <c r="A7760" t="s">
        <v>194</v>
      </c>
      <c r="B7760" t="s">
        <v>199</v>
      </c>
      <c r="C7760" t="s">
        <v>198</v>
      </c>
      <c r="D7760" t="s">
        <v>1639</v>
      </c>
      <c r="E7760" s="3">
        <v>5.5999999999999999E-3</v>
      </c>
      <c r="F7760" s="3">
        <v>8.8999999999999999E-3</v>
      </c>
      <c r="G7760" s="3">
        <v>2.8400000000000002E-2</v>
      </c>
      <c r="H7760">
        <v>777</v>
      </c>
      <c r="I7760">
        <v>666</v>
      </c>
      <c r="J7760">
        <v>1995</v>
      </c>
    </row>
    <row r="7761" spans="1:10">
      <c r="A7761" t="s">
        <v>194</v>
      </c>
      <c r="B7761" t="s">
        <v>199</v>
      </c>
      <c r="C7761" t="s">
        <v>198</v>
      </c>
      <c r="D7761" t="s">
        <v>1625</v>
      </c>
      <c r="E7761" s="3">
        <v>9.4999999999999998E-3</v>
      </c>
      <c r="F7761" s="3">
        <v>4.7999999999999996E-3</v>
      </c>
      <c r="G7761" s="3">
        <v>1.61E-2</v>
      </c>
      <c r="H7761">
        <v>777</v>
      </c>
      <c r="I7761">
        <v>666</v>
      </c>
      <c r="J7761">
        <v>1995</v>
      </c>
    </row>
    <row r="7762" spans="1:10">
      <c r="A7762" t="s">
        <v>194</v>
      </c>
      <c r="B7762" t="s">
        <v>199</v>
      </c>
      <c r="C7762" t="s">
        <v>198</v>
      </c>
      <c r="D7762" t="s">
        <v>1627</v>
      </c>
      <c r="E7762" s="3">
        <v>3.6999999999999998E-2</v>
      </c>
      <c r="F7762" s="3">
        <v>7.5700000000000003E-2</v>
      </c>
      <c r="G7762" s="3">
        <v>0.1037</v>
      </c>
      <c r="H7762">
        <v>777</v>
      </c>
      <c r="I7762">
        <v>666</v>
      </c>
      <c r="J7762">
        <v>1995</v>
      </c>
    </row>
    <row r="7763" spans="1:10">
      <c r="A7763" t="s">
        <v>194</v>
      </c>
      <c r="B7763" t="s">
        <v>199</v>
      </c>
      <c r="C7763" t="s">
        <v>198</v>
      </c>
      <c r="D7763" t="s">
        <v>1628</v>
      </c>
      <c r="E7763" s="3">
        <v>5.0599999999999999E-2</v>
      </c>
      <c r="F7763" s="3">
        <v>0.13489999999999999</v>
      </c>
      <c r="G7763" s="3">
        <v>8.4000000000000005E-2</v>
      </c>
      <c r="H7763">
        <v>777</v>
      </c>
      <c r="I7763">
        <v>666</v>
      </c>
      <c r="J7763">
        <v>1995</v>
      </c>
    </row>
    <row r="7764" spans="1:10">
      <c r="A7764" t="s">
        <v>194</v>
      </c>
      <c r="B7764" t="s">
        <v>199</v>
      </c>
      <c r="C7764" t="s">
        <v>198</v>
      </c>
      <c r="D7764" t="s">
        <v>1629</v>
      </c>
      <c r="E7764" s="3">
        <v>3.8999999999999998E-3</v>
      </c>
      <c r="F7764" s="3">
        <v>2.1399999999999999E-2</v>
      </c>
      <c r="G7764" s="3">
        <v>1.7399999999999999E-2</v>
      </c>
      <c r="H7764">
        <v>777</v>
      </c>
      <c r="I7764">
        <v>666</v>
      </c>
      <c r="J7764">
        <v>1995</v>
      </c>
    </row>
    <row r="7765" spans="1:10">
      <c r="A7765" t="s">
        <v>194</v>
      </c>
      <c r="B7765" t="s">
        <v>199</v>
      </c>
      <c r="C7765" t="s">
        <v>198</v>
      </c>
      <c r="D7765" t="s">
        <v>1640</v>
      </c>
      <c r="E7765" s="3">
        <v>1.1999999999999999E-3</v>
      </c>
      <c r="F7765" s="3">
        <v>1.52E-2</v>
      </c>
      <c r="G7765" s="3">
        <v>1.09E-2</v>
      </c>
      <c r="H7765">
        <v>777</v>
      </c>
      <c r="I7765">
        <v>666</v>
      </c>
      <c r="J7765">
        <v>1995</v>
      </c>
    </row>
    <row r="7766" spans="1:10">
      <c r="A7766" t="s">
        <v>194</v>
      </c>
      <c r="B7766" t="s">
        <v>199</v>
      </c>
      <c r="C7766" t="s">
        <v>198</v>
      </c>
      <c r="D7766" t="s">
        <v>1630</v>
      </c>
      <c r="E7766" s="3">
        <v>6.1000000000000004E-3</v>
      </c>
      <c r="F7766" s="3">
        <v>1.2800000000000001E-2</v>
      </c>
      <c r="G7766" s="3">
        <v>8.3000000000000001E-3</v>
      </c>
      <c r="H7766">
        <v>777</v>
      </c>
      <c r="I7766">
        <v>666</v>
      </c>
      <c r="J7766">
        <v>1995</v>
      </c>
    </row>
    <row r="7767" spans="1:10">
      <c r="A7767" t="s">
        <v>194</v>
      </c>
      <c r="B7767" t="s">
        <v>199</v>
      </c>
      <c r="C7767" t="s">
        <v>198</v>
      </c>
      <c r="D7767" t="s">
        <v>1631</v>
      </c>
      <c r="E7767" s="3">
        <v>8.3000000000000001E-3</v>
      </c>
      <c r="F7767" s="3">
        <v>5.1400000000000001E-2</v>
      </c>
      <c r="G7767" s="3">
        <v>0.1216</v>
      </c>
      <c r="H7767">
        <v>777</v>
      </c>
      <c r="I7767">
        <v>666</v>
      </c>
      <c r="J7767">
        <v>1995</v>
      </c>
    </row>
    <row r="7768" spans="1:10">
      <c r="A7768" t="s">
        <v>194</v>
      </c>
      <c r="B7768" t="s">
        <v>199</v>
      </c>
      <c r="C7768" t="s">
        <v>198</v>
      </c>
      <c r="D7768" t="s">
        <v>1641</v>
      </c>
      <c r="E7768" s="3">
        <v>2.0000000000000001E-4</v>
      </c>
      <c r="F7768" s="3">
        <v>1.2999999999999999E-3</v>
      </c>
      <c r="G7768" s="3">
        <v>3.8999999999999998E-3</v>
      </c>
      <c r="H7768">
        <v>777</v>
      </c>
      <c r="I7768">
        <v>666</v>
      </c>
      <c r="J7768">
        <v>1995</v>
      </c>
    </row>
    <row r="7769" spans="1:10">
      <c r="A7769" t="s">
        <v>194</v>
      </c>
      <c r="B7769" t="s">
        <v>199</v>
      </c>
      <c r="C7769" t="s">
        <v>198</v>
      </c>
      <c r="D7769" t="s">
        <v>1632</v>
      </c>
      <c r="E7769" s="3">
        <v>3.2399999999999998E-2</v>
      </c>
      <c r="F7769" s="3">
        <v>7.7499999999999999E-2</v>
      </c>
      <c r="G7769" s="3">
        <v>8.2199999999999995E-2</v>
      </c>
      <c r="H7769">
        <v>777</v>
      </c>
      <c r="I7769">
        <v>666</v>
      </c>
      <c r="J7769">
        <v>1995</v>
      </c>
    </row>
    <row r="7770" spans="1:10">
      <c r="A7770" t="s">
        <v>194</v>
      </c>
      <c r="B7770" t="s">
        <v>199</v>
      </c>
      <c r="C7770" t="s">
        <v>198</v>
      </c>
      <c r="D7770" t="s">
        <v>1634</v>
      </c>
      <c r="E7770" s="3">
        <v>4.0000000000000002E-4</v>
      </c>
      <c r="F7770" s="3">
        <v>6.7999999999999996E-3</v>
      </c>
      <c r="G7770" s="3">
        <v>8.6E-3</v>
      </c>
      <c r="H7770">
        <v>777</v>
      </c>
      <c r="I7770">
        <v>666</v>
      </c>
      <c r="J7770">
        <v>1995</v>
      </c>
    </row>
    <row r="7771" spans="1:10">
      <c r="A7771" t="s">
        <v>194</v>
      </c>
      <c r="B7771" t="s">
        <v>199</v>
      </c>
      <c r="C7771" t="s">
        <v>198</v>
      </c>
      <c r="D7771" t="s">
        <v>1642</v>
      </c>
      <c r="E7771" s="3">
        <v>1E-4</v>
      </c>
      <c r="F7771" s="3">
        <v>2.9999999999999997E-4</v>
      </c>
      <c r="G7771" s="3">
        <v>5.9999999999999995E-4</v>
      </c>
      <c r="H7771">
        <v>777</v>
      </c>
      <c r="I7771">
        <v>666</v>
      </c>
      <c r="J7771">
        <v>1995</v>
      </c>
    </row>
    <row r="7772" spans="1:10">
      <c r="A7772" t="s">
        <v>194</v>
      </c>
      <c r="B7772" t="s">
        <v>199</v>
      </c>
      <c r="C7772" t="s">
        <v>198</v>
      </c>
      <c r="D7772" t="s">
        <v>1635</v>
      </c>
      <c r="E7772" s="3">
        <v>1.1000000000000001E-3</v>
      </c>
      <c r="F7772" s="3">
        <v>1.0999999999999999E-2</v>
      </c>
      <c r="G7772" s="3">
        <v>1.84E-2</v>
      </c>
      <c r="H7772">
        <v>777</v>
      </c>
      <c r="I7772">
        <v>666</v>
      </c>
      <c r="J7772">
        <v>1995</v>
      </c>
    </row>
    <row r="7773" spans="1:10">
      <c r="A7773" t="s">
        <v>194</v>
      </c>
      <c r="B7773" t="s">
        <v>199</v>
      </c>
      <c r="C7773" t="s">
        <v>198</v>
      </c>
      <c r="D7773" t="s">
        <v>1636</v>
      </c>
      <c r="E7773" s="3">
        <v>0.24160000000000001</v>
      </c>
      <c r="F7773" s="3">
        <v>0.27150000000000002</v>
      </c>
      <c r="G7773" s="3">
        <v>4.19E-2</v>
      </c>
      <c r="H7773">
        <v>777</v>
      </c>
      <c r="I7773">
        <v>666</v>
      </c>
      <c r="J7773">
        <v>1995</v>
      </c>
    </row>
    <row r="7774" spans="1:10">
      <c r="A7774" t="s">
        <v>194</v>
      </c>
      <c r="B7774" t="s">
        <v>199</v>
      </c>
      <c r="C7774" t="s">
        <v>198</v>
      </c>
      <c r="D7774" t="s">
        <v>1637</v>
      </c>
      <c r="E7774" s="3">
        <v>0.56530000000000002</v>
      </c>
      <c r="F7774" s="3">
        <v>9.7799999999999998E-2</v>
      </c>
      <c r="G7774" s="3">
        <v>3.1399999999999997E-2</v>
      </c>
      <c r="H7774">
        <v>777</v>
      </c>
      <c r="I7774">
        <v>666</v>
      </c>
      <c r="J7774">
        <v>1995</v>
      </c>
    </row>
    <row r="7775" spans="1:10">
      <c r="A7775" t="s">
        <v>194</v>
      </c>
      <c r="B7775" t="s">
        <v>199</v>
      </c>
      <c r="C7775" t="s">
        <v>198</v>
      </c>
      <c r="D7775" t="s">
        <v>274</v>
      </c>
      <c r="E7775" s="3">
        <v>2.9999999999999997E-4</v>
      </c>
      <c r="F7775" s="3">
        <v>7.4000000000000003E-3</v>
      </c>
      <c r="G7775" s="3">
        <v>2.3300000000000001E-2</v>
      </c>
      <c r="H7775">
        <v>777</v>
      </c>
      <c r="I7775">
        <v>666</v>
      </c>
      <c r="J7775">
        <v>1995</v>
      </c>
    </row>
    <row r="7776" spans="1:10">
      <c r="A7776" t="s">
        <v>194</v>
      </c>
      <c r="B7776" t="s">
        <v>199</v>
      </c>
      <c r="C7776" t="s">
        <v>198</v>
      </c>
      <c r="D7776" t="s">
        <v>247</v>
      </c>
      <c r="E7776" s="3">
        <v>2.9999999999999997E-4</v>
      </c>
      <c r="G7776" s="3">
        <v>2.0000000000000001E-4</v>
      </c>
      <c r="H7776">
        <v>777</v>
      </c>
      <c r="I7776">
        <v>666</v>
      </c>
      <c r="J7776">
        <v>1995</v>
      </c>
    </row>
    <row r="7777" spans="1:10">
      <c r="A7777" t="s">
        <v>194</v>
      </c>
      <c r="B7777" t="s">
        <v>199</v>
      </c>
      <c r="C7777" t="s">
        <v>198</v>
      </c>
      <c r="D7777" t="s">
        <v>1643</v>
      </c>
      <c r="E7777" s="3">
        <v>1E-4</v>
      </c>
      <c r="F7777" s="3">
        <v>2.86E-2</v>
      </c>
      <c r="G7777" s="3">
        <v>3.5200000000000002E-2</v>
      </c>
      <c r="H7777">
        <v>777</v>
      </c>
      <c r="I7777">
        <v>666</v>
      </c>
      <c r="J7777">
        <v>1995</v>
      </c>
    </row>
    <row r="7778" spans="1:10">
      <c r="A7778" t="s">
        <v>200</v>
      </c>
      <c r="B7778" t="s">
        <v>200</v>
      </c>
      <c r="C7778" t="s">
        <v>200</v>
      </c>
      <c r="D7778" t="s">
        <v>1624</v>
      </c>
      <c r="E7778" s="3">
        <v>4.4999999999999997E-3</v>
      </c>
      <c r="F7778" s="3">
        <v>1.54E-2</v>
      </c>
      <c r="G7778" s="3">
        <v>2.52E-2</v>
      </c>
      <c r="H7778">
        <v>1995</v>
      </c>
      <c r="I7778">
        <v>1995</v>
      </c>
      <c r="J7778">
        <v>1995</v>
      </c>
    </row>
    <row r="7779" spans="1:10">
      <c r="A7779" t="s">
        <v>200</v>
      </c>
      <c r="B7779" t="s">
        <v>200</v>
      </c>
      <c r="C7779" t="s">
        <v>200</v>
      </c>
      <c r="D7779" t="s">
        <v>257</v>
      </c>
      <c r="E7779" s="3">
        <v>6.8999999999999999E-3</v>
      </c>
      <c r="F7779" s="3">
        <v>4.1799999999999997E-2</v>
      </c>
      <c r="G7779" s="3">
        <v>6.8900000000000003E-2</v>
      </c>
      <c r="H7779">
        <v>1995</v>
      </c>
      <c r="I7779">
        <v>1995</v>
      </c>
      <c r="J7779">
        <v>1995</v>
      </c>
    </row>
    <row r="7780" spans="1:10">
      <c r="A7780" t="s">
        <v>200</v>
      </c>
      <c r="B7780" t="s">
        <v>200</v>
      </c>
      <c r="C7780" t="s">
        <v>200</v>
      </c>
      <c r="D7780" t="s">
        <v>1638</v>
      </c>
      <c r="E7780" s="3">
        <v>1.4999999999999999E-2</v>
      </c>
      <c r="F7780" s="3">
        <v>7.5200000000000003E-2</v>
      </c>
      <c r="G7780" s="3">
        <v>0.1067</v>
      </c>
      <c r="H7780">
        <v>1995</v>
      </c>
      <c r="I7780">
        <v>1995</v>
      </c>
      <c r="J7780">
        <v>1995</v>
      </c>
    </row>
    <row r="7781" spans="1:10">
      <c r="A7781" t="s">
        <v>200</v>
      </c>
      <c r="B7781" t="s">
        <v>200</v>
      </c>
      <c r="C7781" t="s">
        <v>200</v>
      </c>
      <c r="D7781" t="s">
        <v>1639</v>
      </c>
      <c r="E7781" s="3">
        <v>4.7000000000000002E-3</v>
      </c>
      <c r="F7781" s="3">
        <v>2.41E-2</v>
      </c>
      <c r="G7781" s="3">
        <v>2.0500000000000001E-2</v>
      </c>
      <c r="H7781">
        <v>1995</v>
      </c>
      <c r="I7781">
        <v>1995</v>
      </c>
      <c r="J7781">
        <v>1995</v>
      </c>
    </row>
    <row r="7782" spans="1:10">
      <c r="A7782" t="s">
        <v>200</v>
      </c>
      <c r="B7782" t="s">
        <v>200</v>
      </c>
      <c r="C7782" t="s">
        <v>200</v>
      </c>
      <c r="D7782" t="s">
        <v>1625</v>
      </c>
      <c r="E7782" s="3">
        <v>4.2700000000000002E-2</v>
      </c>
      <c r="F7782" s="3">
        <v>4.3299999999999998E-2</v>
      </c>
      <c r="G7782" s="3">
        <v>4.7500000000000001E-2</v>
      </c>
      <c r="H7782">
        <v>1995</v>
      </c>
      <c r="I7782">
        <v>1995</v>
      </c>
      <c r="J7782">
        <v>1995</v>
      </c>
    </row>
    <row r="7783" spans="1:10">
      <c r="A7783" t="s">
        <v>200</v>
      </c>
      <c r="B7783" t="s">
        <v>200</v>
      </c>
      <c r="C7783" t="s">
        <v>200</v>
      </c>
      <c r="D7783" t="s">
        <v>1626</v>
      </c>
      <c r="E7783" s="3">
        <v>4.0000000000000002E-4</v>
      </c>
      <c r="F7783" s="3">
        <v>2.3E-3</v>
      </c>
      <c r="G7783" s="3">
        <v>1.0999999999999999E-2</v>
      </c>
      <c r="H7783">
        <v>1995</v>
      </c>
      <c r="I7783">
        <v>1995</v>
      </c>
      <c r="J7783">
        <v>1995</v>
      </c>
    </row>
    <row r="7784" spans="1:10">
      <c r="A7784" t="s">
        <v>200</v>
      </c>
      <c r="B7784" t="s">
        <v>200</v>
      </c>
      <c r="C7784" t="s">
        <v>200</v>
      </c>
      <c r="D7784" t="s">
        <v>1627</v>
      </c>
      <c r="E7784" s="3">
        <v>4.7199999999999999E-2</v>
      </c>
      <c r="F7784" s="3">
        <v>9.3700000000000006E-2</v>
      </c>
      <c r="G7784" s="3">
        <v>0.14050000000000001</v>
      </c>
      <c r="H7784">
        <v>1995</v>
      </c>
      <c r="I7784">
        <v>1995</v>
      </c>
      <c r="J7784">
        <v>1995</v>
      </c>
    </row>
    <row r="7785" spans="1:10">
      <c r="A7785" t="s">
        <v>200</v>
      </c>
      <c r="B7785" t="s">
        <v>200</v>
      </c>
      <c r="C7785" t="s">
        <v>200</v>
      </c>
      <c r="D7785" t="s">
        <v>1644</v>
      </c>
      <c r="E7785" s="3">
        <v>2.0000000000000001E-4</v>
      </c>
      <c r="F7785" s="3">
        <v>3.3E-3</v>
      </c>
      <c r="G7785" s="3">
        <v>1.09E-2</v>
      </c>
      <c r="H7785">
        <v>1995</v>
      </c>
      <c r="I7785">
        <v>1995</v>
      </c>
      <c r="J7785">
        <v>1995</v>
      </c>
    </row>
    <row r="7786" spans="1:10">
      <c r="A7786" t="s">
        <v>200</v>
      </c>
      <c r="B7786" t="s">
        <v>200</v>
      </c>
      <c r="C7786" t="s">
        <v>200</v>
      </c>
      <c r="D7786" t="s">
        <v>1628</v>
      </c>
      <c r="E7786" s="3">
        <v>3.2500000000000001E-2</v>
      </c>
      <c r="F7786" s="3">
        <v>8.48E-2</v>
      </c>
      <c r="G7786" s="3">
        <v>7.0499999999999993E-2</v>
      </c>
      <c r="H7786">
        <v>1995</v>
      </c>
      <c r="I7786">
        <v>1995</v>
      </c>
      <c r="J7786">
        <v>1995</v>
      </c>
    </row>
    <row r="7787" spans="1:10">
      <c r="A7787" t="s">
        <v>200</v>
      </c>
      <c r="B7787" t="s">
        <v>200</v>
      </c>
      <c r="C7787" t="s">
        <v>200</v>
      </c>
      <c r="D7787" t="s">
        <v>1629</v>
      </c>
      <c r="E7787" s="3">
        <v>6.0000000000000001E-3</v>
      </c>
      <c r="F7787" s="3">
        <v>1.37E-2</v>
      </c>
      <c r="G7787" s="3">
        <v>1.24E-2</v>
      </c>
      <c r="H7787">
        <v>1995</v>
      </c>
      <c r="I7787">
        <v>1995</v>
      </c>
      <c r="J7787">
        <v>1995</v>
      </c>
    </row>
    <row r="7788" spans="1:10">
      <c r="A7788" t="s">
        <v>200</v>
      </c>
      <c r="B7788" t="s">
        <v>200</v>
      </c>
      <c r="C7788" t="s">
        <v>200</v>
      </c>
      <c r="D7788" t="s">
        <v>1640</v>
      </c>
      <c r="E7788" s="3">
        <v>2.2000000000000001E-3</v>
      </c>
      <c r="F7788" s="3">
        <v>8.3999999999999995E-3</v>
      </c>
      <c r="G7788" s="3">
        <v>7.0000000000000001E-3</v>
      </c>
      <c r="H7788">
        <v>1995</v>
      </c>
      <c r="I7788">
        <v>1995</v>
      </c>
      <c r="J7788">
        <v>1995</v>
      </c>
    </row>
    <row r="7789" spans="1:10">
      <c r="A7789" t="s">
        <v>200</v>
      </c>
      <c r="B7789" t="s">
        <v>200</v>
      </c>
      <c r="C7789" t="s">
        <v>200</v>
      </c>
      <c r="D7789" t="s">
        <v>1630</v>
      </c>
      <c r="E7789" s="3">
        <v>7.6E-3</v>
      </c>
      <c r="F7789" s="3">
        <v>2.18E-2</v>
      </c>
      <c r="G7789" s="3">
        <v>1.41E-2</v>
      </c>
      <c r="H7789">
        <v>1995</v>
      </c>
      <c r="I7789">
        <v>1995</v>
      </c>
      <c r="J7789">
        <v>1995</v>
      </c>
    </row>
    <row r="7790" spans="1:10">
      <c r="A7790" t="s">
        <v>200</v>
      </c>
      <c r="B7790" t="s">
        <v>200</v>
      </c>
      <c r="C7790" t="s">
        <v>200</v>
      </c>
      <c r="D7790" t="s">
        <v>1631</v>
      </c>
      <c r="E7790" s="3">
        <v>2.3900000000000001E-2</v>
      </c>
      <c r="F7790" s="3">
        <v>0.112</v>
      </c>
      <c r="G7790" s="3">
        <v>0.1164</v>
      </c>
      <c r="H7790">
        <v>1995</v>
      </c>
      <c r="I7790">
        <v>1995</v>
      </c>
      <c r="J7790">
        <v>1995</v>
      </c>
    </row>
    <row r="7791" spans="1:10">
      <c r="A7791" t="s">
        <v>200</v>
      </c>
      <c r="B7791" t="s">
        <v>200</v>
      </c>
      <c r="C7791" t="s">
        <v>200</v>
      </c>
      <c r="D7791" t="s">
        <v>1641</v>
      </c>
      <c r="E7791" s="3">
        <v>2.3E-3</v>
      </c>
      <c r="F7791" s="3">
        <v>5.0000000000000001E-3</v>
      </c>
      <c r="G7791" s="3">
        <v>2.3599999999999999E-2</v>
      </c>
      <c r="H7791">
        <v>1995</v>
      </c>
      <c r="I7791">
        <v>1995</v>
      </c>
      <c r="J7791">
        <v>1995</v>
      </c>
    </row>
    <row r="7792" spans="1:10">
      <c r="A7792" t="s">
        <v>200</v>
      </c>
      <c r="B7792" t="s">
        <v>200</v>
      </c>
      <c r="C7792" t="s">
        <v>200</v>
      </c>
      <c r="D7792" t="s">
        <v>1632</v>
      </c>
      <c r="E7792" s="3">
        <v>2.4199999999999999E-2</v>
      </c>
      <c r="F7792" s="3">
        <v>6.3799999999999996E-2</v>
      </c>
      <c r="G7792" s="3">
        <v>9.1399999999999995E-2</v>
      </c>
      <c r="H7792">
        <v>1995</v>
      </c>
      <c r="I7792">
        <v>1995</v>
      </c>
      <c r="J7792">
        <v>1995</v>
      </c>
    </row>
    <row r="7793" spans="1:10">
      <c r="A7793" t="s">
        <v>200</v>
      </c>
      <c r="B7793" t="s">
        <v>200</v>
      </c>
      <c r="C7793" t="s">
        <v>200</v>
      </c>
      <c r="D7793" t="s">
        <v>1633</v>
      </c>
      <c r="E7793" s="3">
        <v>3.2000000000000002E-3</v>
      </c>
      <c r="F7793" s="3">
        <v>4.5999999999999999E-3</v>
      </c>
      <c r="G7793" s="3">
        <v>1.3599999999999999E-2</v>
      </c>
      <c r="H7793">
        <v>1995</v>
      </c>
      <c r="I7793">
        <v>1995</v>
      </c>
      <c r="J7793">
        <v>1995</v>
      </c>
    </row>
    <row r="7794" spans="1:10">
      <c r="A7794" t="s">
        <v>200</v>
      </c>
      <c r="B7794" t="s">
        <v>200</v>
      </c>
      <c r="C7794" t="s">
        <v>200</v>
      </c>
      <c r="D7794" t="s">
        <v>1634</v>
      </c>
      <c r="E7794" s="3">
        <v>3.8999999999999998E-3</v>
      </c>
      <c r="F7794" s="3">
        <v>1.55E-2</v>
      </c>
      <c r="G7794" s="3">
        <v>2.1299999999999999E-2</v>
      </c>
      <c r="H7794">
        <v>1995</v>
      </c>
      <c r="I7794">
        <v>1995</v>
      </c>
      <c r="J7794">
        <v>1995</v>
      </c>
    </row>
    <row r="7795" spans="1:10">
      <c r="A7795" t="s">
        <v>200</v>
      </c>
      <c r="B7795" t="s">
        <v>200</v>
      </c>
      <c r="C7795" t="s">
        <v>200</v>
      </c>
      <c r="D7795" t="s">
        <v>1642</v>
      </c>
      <c r="E7795" s="3">
        <v>1.1000000000000001E-3</v>
      </c>
      <c r="F7795" s="3">
        <v>2.0000000000000001E-4</v>
      </c>
      <c r="G7795" s="3">
        <v>7.3000000000000001E-3</v>
      </c>
      <c r="H7795">
        <v>1995</v>
      </c>
      <c r="I7795">
        <v>1995</v>
      </c>
      <c r="J7795">
        <v>1995</v>
      </c>
    </row>
    <row r="7796" spans="1:10">
      <c r="A7796" t="s">
        <v>200</v>
      </c>
      <c r="B7796" t="s">
        <v>200</v>
      </c>
      <c r="C7796" t="s">
        <v>200</v>
      </c>
      <c r="D7796" t="s">
        <v>1635</v>
      </c>
      <c r="E7796" s="3">
        <v>5.3E-3</v>
      </c>
      <c r="F7796" s="3">
        <v>1.3299999999999999E-2</v>
      </c>
      <c r="G7796" s="3">
        <v>4.1500000000000002E-2</v>
      </c>
      <c r="H7796">
        <v>1995</v>
      </c>
      <c r="I7796">
        <v>1995</v>
      </c>
      <c r="J7796">
        <v>1995</v>
      </c>
    </row>
    <row r="7797" spans="1:10">
      <c r="A7797" t="s">
        <v>200</v>
      </c>
      <c r="B7797" t="s">
        <v>200</v>
      </c>
      <c r="C7797" t="s">
        <v>200</v>
      </c>
      <c r="D7797" t="s">
        <v>1636</v>
      </c>
      <c r="E7797" s="3">
        <v>0.37080000000000002</v>
      </c>
      <c r="F7797" s="3">
        <v>0.2258</v>
      </c>
      <c r="G7797" s="3">
        <v>7.7700000000000005E-2</v>
      </c>
      <c r="H7797">
        <v>1995</v>
      </c>
      <c r="I7797">
        <v>1995</v>
      </c>
      <c r="J7797">
        <v>1995</v>
      </c>
    </row>
    <row r="7798" spans="1:10">
      <c r="A7798" t="s">
        <v>200</v>
      </c>
      <c r="B7798" t="s">
        <v>200</v>
      </c>
      <c r="C7798" t="s">
        <v>200</v>
      </c>
      <c r="D7798" t="s">
        <v>1637</v>
      </c>
      <c r="E7798" s="3">
        <v>0.38950000000000001</v>
      </c>
      <c r="F7798" s="3">
        <v>0.1105</v>
      </c>
      <c r="G7798" s="3">
        <v>3.7499999999999999E-2</v>
      </c>
      <c r="H7798">
        <v>1995</v>
      </c>
      <c r="I7798">
        <v>1995</v>
      </c>
      <c r="J7798">
        <v>1995</v>
      </c>
    </row>
    <row r="7799" spans="1:10">
      <c r="A7799" t="s">
        <v>200</v>
      </c>
      <c r="B7799" t="s">
        <v>200</v>
      </c>
      <c r="C7799" t="s">
        <v>200</v>
      </c>
      <c r="D7799" t="s">
        <v>274</v>
      </c>
      <c r="E7799" s="3">
        <v>6.9999999999999999E-4</v>
      </c>
      <c r="F7799" s="3">
        <v>9.1999999999999998E-3</v>
      </c>
      <c r="G7799" s="3">
        <v>1.32E-2</v>
      </c>
      <c r="H7799">
        <v>1995</v>
      </c>
      <c r="I7799">
        <v>1995</v>
      </c>
      <c r="J7799">
        <v>1995</v>
      </c>
    </row>
    <row r="7800" spans="1:10">
      <c r="A7800" t="s">
        <v>200</v>
      </c>
      <c r="B7800" t="s">
        <v>200</v>
      </c>
      <c r="C7800" t="s">
        <v>200</v>
      </c>
      <c r="D7800" t="s">
        <v>247</v>
      </c>
      <c r="E7800" s="3">
        <v>4.8999999999999998E-3</v>
      </c>
      <c r="F7800" s="3">
        <v>0</v>
      </c>
      <c r="G7800" s="3">
        <v>1.4E-3</v>
      </c>
      <c r="H7800">
        <v>1995</v>
      </c>
      <c r="I7800">
        <v>1995</v>
      </c>
      <c r="J7800">
        <v>1995</v>
      </c>
    </row>
    <row r="7801" spans="1:10">
      <c r="A7801" t="s">
        <v>200</v>
      </c>
      <c r="B7801" t="s">
        <v>200</v>
      </c>
      <c r="C7801" t="s">
        <v>200</v>
      </c>
      <c r="D7801" t="s">
        <v>1643</v>
      </c>
      <c r="E7801" s="3">
        <v>1E-4</v>
      </c>
      <c r="F7801" s="3">
        <v>1.2E-2</v>
      </c>
      <c r="G7801" s="3">
        <v>0.02</v>
      </c>
      <c r="H7801">
        <v>1995</v>
      </c>
      <c r="I7801">
        <v>1995</v>
      </c>
      <c r="J7801">
        <v>1995</v>
      </c>
    </row>
    <row r="7803" spans="1:10" ht="45">
      <c r="A7803" s="22" t="s">
        <v>1647</v>
      </c>
    </row>
    <row r="7804" spans="1:10">
      <c r="A7804" t="s">
        <v>184</v>
      </c>
      <c r="B7804" t="s">
        <v>185</v>
      </c>
      <c r="C7804" t="s">
        <v>186</v>
      </c>
      <c r="D7804" t="s">
        <v>1007</v>
      </c>
      <c r="E7804" t="s">
        <v>1621</v>
      </c>
      <c r="F7804" t="s">
        <v>1622</v>
      </c>
      <c r="G7804" t="s">
        <v>1623</v>
      </c>
      <c r="H7804" t="s">
        <v>1018</v>
      </c>
      <c r="I7804" t="s">
        <v>192</v>
      </c>
      <c r="J7804" t="s">
        <v>193</v>
      </c>
    </row>
    <row r="7805" spans="1:10">
      <c r="A7805" t="s">
        <v>194</v>
      </c>
      <c r="B7805" t="s">
        <v>195</v>
      </c>
      <c r="C7805" t="s">
        <v>202</v>
      </c>
      <c r="D7805" t="s">
        <v>1624</v>
      </c>
      <c r="E7805" s="3">
        <v>2.7000000000000001E-3</v>
      </c>
      <c r="F7805" s="3">
        <v>4.7999999999999996E-3</v>
      </c>
      <c r="G7805" s="3">
        <v>6.3E-3</v>
      </c>
      <c r="H7805">
        <v>607</v>
      </c>
      <c r="I7805">
        <v>411</v>
      </c>
      <c r="J7805">
        <v>1995</v>
      </c>
    </row>
    <row r="7806" spans="1:10">
      <c r="A7806" t="s">
        <v>194</v>
      </c>
      <c r="B7806" t="s">
        <v>195</v>
      </c>
      <c r="C7806" t="s">
        <v>202</v>
      </c>
      <c r="D7806" t="s">
        <v>257</v>
      </c>
      <c r="E7806" s="3">
        <v>3.2000000000000002E-3</v>
      </c>
      <c r="F7806" s="3">
        <v>3.1300000000000001E-2</v>
      </c>
      <c r="G7806" s="3">
        <v>5.16E-2</v>
      </c>
      <c r="H7806">
        <v>607</v>
      </c>
      <c r="I7806">
        <v>411</v>
      </c>
      <c r="J7806">
        <v>1995</v>
      </c>
    </row>
    <row r="7807" spans="1:10">
      <c r="A7807" t="s">
        <v>194</v>
      </c>
      <c r="B7807" t="s">
        <v>195</v>
      </c>
      <c r="C7807" t="s">
        <v>202</v>
      </c>
      <c r="D7807" t="s">
        <v>1638</v>
      </c>
      <c r="E7807" s="3">
        <v>4.4999999999999997E-3</v>
      </c>
      <c r="F7807" s="3">
        <v>6.2100000000000002E-2</v>
      </c>
      <c r="G7807" s="3">
        <v>8.1100000000000005E-2</v>
      </c>
      <c r="H7807">
        <v>607</v>
      </c>
      <c r="I7807">
        <v>411</v>
      </c>
      <c r="J7807">
        <v>1995</v>
      </c>
    </row>
    <row r="7808" spans="1:10">
      <c r="A7808" t="s">
        <v>194</v>
      </c>
      <c r="B7808" t="s">
        <v>195</v>
      </c>
      <c r="C7808" t="s">
        <v>202</v>
      </c>
      <c r="D7808" t="s">
        <v>1639</v>
      </c>
      <c r="E7808" s="3">
        <v>3.0999999999999999E-3</v>
      </c>
      <c r="F7808" s="3">
        <v>4.1300000000000003E-2</v>
      </c>
      <c r="G7808" s="3">
        <v>3.3E-3</v>
      </c>
      <c r="H7808">
        <v>607</v>
      </c>
      <c r="I7808">
        <v>411</v>
      </c>
      <c r="J7808">
        <v>1995</v>
      </c>
    </row>
    <row r="7809" spans="1:10">
      <c r="A7809" t="s">
        <v>194</v>
      </c>
      <c r="B7809" t="s">
        <v>195</v>
      </c>
      <c r="C7809" t="s">
        <v>202</v>
      </c>
      <c r="D7809" t="s">
        <v>1625</v>
      </c>
      <c r="E7809" s="3">
        <v>7.6799999999999993E-2</v>
      </c>
      <c r="F7809" s="3">
        <v>5.5500000000000001E-2</v>
      </c>
      <c r="G7809" s="3">
        <v>5.3900000000000003E-2</v>
      </c>
      <c r="H7809">
        <v>607</v>
      </c>
      <c r="I7809">
        <v>411</v>
      </c>
      <c r="J7809">
        <v>1995</v>
      </c>
    </row>
    <row r="7810" spans="1:10">
      <c r="A7810" t="s">
        <v>194</v>
      </c>
      <c r="B7810" t="s">
        <v>195</v>
      </c>
      <c r="C7810" t="s">
        <v>202</v>
      </c>
      <c r="D7810" t="s">
        <v>1627</v>
      </c>
      <c r="E7810" s="3">
        <v>6.6500000000000004E-2</v>
      </c>
      <c r="F7810" s="3">
        <v>0.1313</v>
      </c>
      <c r="G7810" s="3">
        <v>0.2112</v>
      </c>
      <c r="H7810">
        <v>607</v>
      </c>
      <c r="I7810">
        <v>411</v>
      </c>
      <c r="J7810">
        <v>1995</v>
      </c>
    </row>
    <row r="7811" spans="1:10">
      <c r="A7811" t="s">
        <v>194</v>
      </c>
      <c r="B7811" t="s">
        <v>195</v>
      </c>
      <c r="C7811" t="s">
        <v>202</v>
      </c>
      <c r="D7811" t="s">
        <v>1628</v>
      </c>
      <c r="E7811" s="3">
        <v>2.1600000000000001E-2</v>
      </c>
      <c r="F7811" s="3">
        <v>4.1099999999999998E-2</v>
      </c>
      <c r="G7811" s="3">
        <v>5.5E-2</v>
      </c>
      <c r="H7811">
        <v>607</v>
      </c>
      <c r="I7811">
        <v>411</v>
      </c>
      <c r="J7811">
        <v>1995</v>
      </c>
    </row>
    <row r="7812" spans="1:10">
      <c r="A7812" t="s">
        <v>194</v>
      </c>
      <c r="B7812" t="s">
        <v>195</v>
      </c>
      <c r="C7812" t="s">
        <v>202</v>
      </c>
      <c r="D7812" t="s">
        <v>1629</v>
      </c>
      <c r="E7812" s="3">
        <v>5.4999999999999997E-3</v>
      </c>
      <c r="F7812" s="3">
        <v>4.1000000000000003E-3</v>
      </c>
      <c r="G7812" s="3">
        <v>4.4000000000000003E-3</v>
      </c>
      <c r="H7812">
        <v>607</v>
      </c>
      <c r="I7812">
        <v>411</v>
      </c>
      <c r="J7812">
        <v>1995</v>
      </c>
    </row>
    <row r="7813" spans="1:10">
      <c r="A7813" t="s">
        <v>194</v>
      </c>
      <c r="B7813" t="s">
        <v>195</v>
      </c>
      <c r="C7813" t="s">
        <v>202</v>
      </c>
      <c r="D7813" t="s">
        <v>1630</v>
      </c>
      <c r="E7813" s="3">
        <v>1.46E-2</v>
      </c>
      <c r="F7813" s="3">
        <v>2.3099999999999999E-2</v>
      </c>
      <c r="G7813" s="3">
        <v>1.38E-2</v>
      </c>
      <c r="H7813">
        <v>607</v>
      </c>
      <c r="I7813">
        <v>411</v>
      </c>
      <c r="J7813">
        <v>1995</v>
      </c>
    </row>
    <row r="7814" spans="1:10">
      <c r="A7814" t="s">
        <v>194</v>
      </c>
      <c r="B7814" t="s">
        <v>195</v>
      </c>
      <c r="C7814" t="s">
        <v>202</v>
      </c>
      <c r="D7814" t="s">
        <v>1631</v>
      </c>
      <c r="E7814" s="3">
        <v>5.1299999999999998E-2</v>
      </c>
      <c r="F7814" s="3">
        <v>0.188</v>
      </c>
      <c r="G7814" s="3">
        <v>0.1173</v>
      </c>
      <c r="H7814">
        <v>607</v>
      </c>
      <c r="I7814">
        <v>411</v>
      </c>
      <c r="J7814">
        <v>1995</v>
      </c>
    </row>
    <row r="7815" spans="1:10">
      <c r="A7815" t="s">
        <v>194</v>
      </c>
      <c r="B7815" t="s">
        <v>195</v>
      </c>
      <c r="C7815" t="s">
        <v>202</v>
      </c>
      <c r="D7815" t="s">
        <v>1641</v>
      </c>
      <c r="E7815" s="3">
        <v>5.5999999999999999E-3</v>
      </c>
      <c r="F7815" s="3">
        <v>5.5999999999999999E-3</v>
      </c>
      <c r="G7815" s="3">
        <v>4.7E-2</v>
      </c>
      <c r="H7815">
        <v>607</v>
      </c>
      <c r="I7815">
        <v>411</v>
      </c>
      <c r="J7815">
        <v>1995</v>
      </c>
    </row>
    <row r="7816" spans="1:10">
      <c r="A7816" t="s">
        <v>194</v>
      </c>
      <c r="B7816" t="s">
        <v>195</v>
      </c>
      <c r="C7816" t="s">
        <v>202</v>
      </c>
      <c r="D7816" t="s">
        <v>1632</v>
      </c>
      <c r="E7816" s="3">
        <v>2.1000000000000001E-2</v>
      </c>
      <c r="F7816" s="3">
        <v>6.8000000000000005E-2</v>
      </c>
      <c r="G7816" s="3">
        <v>7.8399999999999997E-2</v>
      </c>
      <c r="H7816">
        <v>607</v>
      </c>
      <c r="I7816">
        <v>411</v>
      </c>
      <c r="J7816">
        <v>1995</v>
      </c>
    </row>
    <row r="7817" spans="1:10">
      <c r="A7817" t="s">
        <v>194</v>
      </c>
      <c r="B7817" t="s">
        <v>195</v>
      </c>
      <c r="C7817" t="s">
        <v>202</v>
      </c>
      <c r="D7817" t="s">
        <v>1633</v>
      </c>
      <c r="E7817" s="3">
        <v>1.01E-2</v>
      </c>
      <c r="F7817" s="3">
        <v>2.2000000000000001E-3</v>
      </c>
      <c r="G7817" s="3">
        <v>1.89E-2</v>
      </c>
      <c r="H7817">
        <v>607</v>
      </c>
      <c r="I7817">
        <v>411</v>
      </c>
      <c r="J7817">
        <v>1995</v>
      </c>
    </row>
    <row r="7818" spans="1:10">
      <c r="A7818" t="s">
        <v>194</v>
      </c>
      <c r="B7818" t="s">
        <v>195</v>
      </c>
      <c r="C7818" t="s">
        <v>202</v>
      </c>
      <c r="D7818" t="s">
        <v>1634</v>
      </c>
      <c r="E7818" s="3">
        <v>4.7999999999999996E-3</v>
      </c>
      <c r="F7818" s="3">
        <v>2.35E-2</v>
      </c>
      <c r="G7818" s="3">
        <v>3.49E-2</v>
      </c>
      <c r="H7818">
        <v>607</v>
      </c>
      <c r="I7818">
        <v>411</v>
      </c>
      <c r="J7818">
        <v>1995</v>
      </c>
    </row>
    <row r="7819" spans="1:10">
      <c r="A7819" t="s">
        <v>194</v>
      </c>
      <c r="B7819" t="s">
        <v>195</v>
      </c>
      <c r="C7819" t="s">
        <v>202</v>
      </c>
      <c r="D7819" t="s">
        <v>1642</v>
      </c>
      <c r="E7819" s="3">
        <v>3.0999999999999999E-3</v>
      </c>
      <c r="G7819" s="3">
        <v>7.3000000000000001E-3</v>
      </c>
      <c r="H7819">
        <v>607</v>
      </c>
      <c r="I7819">
        <v>411</v>
      </c>
      <c r="J7819">
        <v>1995</v>
      </c>
    </row>
    <row r="7820" spans="1:10">
      <c r="A7820" t="s">
        <v>194</v>
      </c>
      <c r="B7820" t="s">
        <v>195</v>
      </c>
      <c r="C7820" t="s">
        <v>202</v>
      </c>
      <c r="D7820" t="s">
        <v>1635</v>
      </c>
      <c r="E7820" s="3">
        <v>1.14E-2</v>
      </c>
      <c r="F7820" s="3">
        <v>1.7299999999999999E-2</v>
      </c>
      <c r="G7820" s="3">
        <v>6.0499999999999998E-2</v>
      </c>
      <c r="H7820">
        <v>607</v>
      </c>
      <c r="I7820">
        <v>411</v>
      </c>
      <c r="J7820">
        <v>1995</v>
      </c>
    </row>
    <row r="7821" spans="1:10">
      <c r="A7821" t="s">
        <v>194</v>
      </c>
      <c r="B7821" t="s">
        <v>195</v>
      </c>
      <c r="C7821" t="s">
        <v>202</v>
      </c>
      <c r="D7821" t="s">
        <v>1636</v>
      </c>
      <c r="E7821" s="3">
        <v>0.50539999999999996</v>
      </c>
      <c r="F7821" s="3">
        <v>0.15809999999999999</v>
      </c>
      <c r="G7821" s="3">
        <v>9.4100000000000003E-2</v>
      </c>
      <c r="H7821">
        <v>607</v>
      </c>
      <c r="I7821">
        <v>411</v>
      </c>
      <c r="J7821">
        <v>1995</v>
      </c>
    </row>
    <row r="7822" spans="1:10">
      <c r="A7822" t="s">
        <v>194</v>
      </c>
      <c r="B7822" t="s">
        <v>195</v>
      </c>
      <c r="C7822" t="s">
        <v>202</v>
      </c>
      <c r="D7822" t="s">
        <v>1637</v>
      </c>
      <c r="E7822" s="3">
        <v>0.17219999999999999</v>
      </c>
      <c r="F7822" s="3">
        <v>0.1099</v>
      </c>
      <c r="G7822" s="3">
        <v>2.8899999999999999E-2</v>
      </c>
      <c r="H7822">
        <v>607</v>
      </c>
      <c r="I7822">
        <v>411</v>
      </c>
      <c r="J7822">
        <v>1995</v>
      </c>
    </row>
    <row r="7823" spans="1:10">
      <c r="A7823" t="s">
        <v>194</v>
      </c>
      <c r="B7823" t="s">
        <v>195</v>
      </c>
      <c r="C7823" t="s">
        <v>202</v>
      </c>
      <c r="D7823" t="s">
        <v>274</v>
      </c>
      <c r="E7823" s="3">
        <v>1.6000000000000001E-3</v>
      </c>
      <c r="F7823" s="3">
        <v>1.5900000000000001E-2</v>
      </c>
      <c r="G7823" s="3">
        <v>1.1599999999999999E-2</v>
      </c>
      <c r="H7823">
        <v>607</v>
      </c>
      <c r="I7823">
        <v>411</v>
      </c>
      <c r="J7823">
        <v>1995</v>
      </c>
    </row>
    <row r="7824" spans="1:10">
      <c r="A7824" t="s">
        <v>194</v>
      </c>
      <c r="B7824" t="s">
        <v>195</v>
      </c>
      <c r="C7824" t="s">
        <v>202</v>
      </c>
      <c r="D7824" t="s">
        <v>247</v>
      </c>
      <c r="E7824" s="3">
        <v>1.4999999999999999E-2</v>
      </c>
      <c r="G7824" s="3">
        <v>1.9E-3</v>
      </c>
      <c r="H7824">
        <v>607</v>
      </c>
      <c r="I7824">
        <v>411</v>
      </c>
      <c r="J7824">
        <v>1995</v>
      </c>
    </row>
    <row r="7825" spans="1:10">
      <c r="A7825" t="s">
        <v>194</v>
      </c>
      <c r="B7825" t="s">
        <v>195</v>
      </c>
      <c r="C7825" t="s">
        <v>204</v>
      </c>
      <c r="D7825" t="s">
        <v>1624</v>
      </c>
      <c r="E7825" s="3">
        <v>1.4E-3</v>
      </c>
      <c r="F7825" s="3">
        <v>4.2700000000000002E-2</v>
      </c>
      <c r="G7825" s="3">
        <v>6.4000000000000003E-3</v>
      </c>
      <c r="H7825">
        <v>204</v>
      </c>
      <c r="I7825">
        <v>244</v>
      </c>
      <c r="J7825">
        <v>1995</v>
      </c>
    </row>
    <row r="7826" spans="1:10">
      <c r="A7826" t="s">
        <v>194</v>
      </c>
      <c r="B7826" t="s">
        <v>195</v>
      </c>
      <c r="C7826" t="s">
        <v>204</v>
      </c>
      <c r="D7826" t="s">
        <v>257</v>
      </c>
      <c r="E7826" s="3">
        <v>8.3999999999999995E-3</v>
      </c>
      <c r="F7826" s="3">
        <v>1.32E-2</v>
      </c>
      <c r="G7826" s="3">
        <v>3.27E-2</v>
      </c>
      <c r="H7826">
        <v>204</v>
      </c>
      <c r="I7826">
        <v>244</v>
      </c>
      <c r="J7826">
        <v>1995</v>
      </c>
    </row>
    <row r="7827" spans="1:10">
      <c r="A7827" t="s">
        <v>194</v>
      </c>
      <c r="B7827" t="s">
        <v>195</v>
      </c>
      <c r="C7827" t="s">
        <v>204</v>
      </c>
      <c r="D7827" t="s">
        <v>1638</v>
      </c>
      <c r="E7827" s="3">
        <v>6.7000000000000002E-3</v>
      </c>
      <c r="F7827" s="3">
        <v>5.0599999999999999E-2</v>
      </c>
      <c r="G7827" s="3">
        <v>7.2599999999999998E-2</v>
      </c>
      <c r="H7827">
        <v>204</v>
      </c>
      <c r="I7827">
        <v>244</v>
      </c>
      <c r="J7827">
        <v>1995</v>
      </c>
    </row>
    <row r="7828" spans="1:10">
      <c r="A7828" t="s">
        <v>194</v>
      </c>
      <c r="B7828" t="s">
        <v>195</v>
      </c>
      <c r="C7828" t="s">
        <v>204</v>
      </c>
      <c r="D7828" t="s">
        <v>1639</v>
      </c>
      <c r="E7828" s="3">
        <v>1E-3</v>
      </c>
      <c r="F7828" s="3">
        <v>2.3199999999999998E-2</v>
      </c>
      <c r="G7828" s="3">
        <v>5.3699999999999998E-2</v>
      </c>
      <c r="H7828">
        <v>204</v>
      </c>
      <c r="I7828">
        <v>244</v>
      </c>
      <c r="J7828">
        <v>1995</v>
      </c>
    </row>
    <row r="7829" spans="1:10">
      <c r="A7829" t="s">
        <v>194</v>
      </c>
      <c r="B7829" t="s">
        <v>195</v>
      </c>
      <c r="C7829" t="s">
        <v>204</v>
      </c>
      <c r="D7829" t="s">
        <v>1625</v>
      </c>
      <c r="E7829" s="3">
        <v>8.5999999999999993E-2</v>
      </c>
      <c r="F7829" s="3">
        <v>0.1515</v>
      </c>
      <c r="G7829" s="3">
        <v>9.8599999999999993E-2</v>
      </c>
      <c r="H7829">
        <v>204</v>
      </c>
      <c r="I7829">
        <v>244</v>
      </c>
      <c r="J7829">
        <v>1995</v>
      </c>
    </row>
    <row r="7830" spans="1:10">
      <c r="A7830" t="s">
        <v>194</v>
      </c>
      <c r="B7830" t="s">
        <v>195</v>
      </c>
      <c r="C7830" t="s">
        <v>204</v>
      </c>
      <c r="D7830" t="s">
        <v>1626</v>
      </c>
      <c r="E7830" s="3">
        <v>1.6999999999999999E-3</v>
      </c>
      <c r="G7830" s="3">
        <v>1.0500000000000001E-2</v>
      </c>
      <c r="H7830">
        <v>204</v>
      </c>
      <c r="I7830">
        <v>244</v>
      </c>
      <c r="J7830">
        <v>1995</v>
      </c>
    </row>
    <row r="7831" spans="1:10">
      <c r="A7831" t="s">
        <v>194</v>
      </c>
      <c r="B7831" t="s">
        <v>195</v>
      </c>
      <c r="C7831" t="s">
        <v>204</v>
      </c>
      <c r="D7831" t="s">
        <v>1627</v>
      </c>
      <c r="E7831" s="3">
        <v>2.9899999999999999E-2</v>
      </c>
      <c r="F7831" s="3">
        <v>3.8199999999999998E-2</v>
      </c>
      <c r="G7831" s="3">
        <v>8.8499999999999995E-2</v>
      </c>
      <c r="H7831">
        <v>204</v>
      </c>
      <c r="I7831">
        <v>244</v>
      </c>
      <c r="J7831">
        <v>1995</v>
      </c>
    </row>
    <row r="7832" spans="1:10">
      <c r="A7832" t="s">
        <v>194</v>
      </c>
      <c r="B7832" t="s">
        <v>195</v>
      </c>
      <c r="C7832" t="s">
        <v>204</v>
      </c>
      <c r="D7832" t="s">
        <v>1628</v>
      </c>
      <c r="E7832" s="3">
        <v>1.0699999999999999E-2</v>
      </c>
      <c r="F7832" s="3">
        <v>5.4100000000000002E-2</v>
      </c>
      <c r="G7832" s="3">
        <v>1.5599999999999999E-2</v>
      </c>
      <c r="H7832">
        <v>204</v>
      </c>
      <c r="I7832">
        <v>244</v>
      </c>
      <c r="J7832">
        <v>1995</v>
      </c>
    </row>
    <row r="7833" spans="1:10">
      <c r="A7833" t="s">
        <v>194</v>
      </c>
      <c r="B7833" t="s">
        <v>195</v>
      </c>
      <c r="C7833" t="s">
        <v>204</v>
      </c>
      <c r="D7833" t="s">
        <v>1629</v>
      </c>
      <c r="E7833" s="3">
        <v>7.3000000000000001E-3</v>
      </c>
      <c r="F7833" s="3">
        <v>2.0999999999999999E-3</v>
      </c>
      <c r="G7833" s="3">
        <v>5.4000000000000003E-3</v>
      </c>
      <c r="H7833">
        <v>204</v>
      </c>
      <c r="I7833">
        <v>244</v>
      </c>
      <c r="J7833">
        <v>1995</v>
      </c>
    </row>
    <row r="7834" spans="1:10">
      <c r="A7834" t="s">
        <v>194</v>
      </c>
      <c r="B7834" t="s">
        <v>195</v>
      </c>
      <c r="C7834" t="s">
        <v>204</v>
      </c>
      <c r="D7834" t="s">
        <v>1640</v>
      </c>
      <c r="E7834" s="3">
        <v>1.09E-2</v>
      </c>
      <c r="F7834" s="3">
        <v>1.4999999999999999E-2</v>
      </c>
      <c r="H7834">
        <v>204</v>
      </c>
      <c r="I7834">
        <v>244</v>
      </c>
      <c r="J7834">
        <v>1995</v>
      </c>
    </row>
    <row r="7835" spans="1:10">
      <c r="A7835" t="s">
        <v>194</v>
      </c>
      <c r="B7835" t="s">
        <v>195</v>
      </c>
      <c r="C7835" t="s">
        <v>204</v>
      </c>
      <c r="D7835" t="s">
        <v>1630</v>
      </c>
      <c r="E7835" s="3">
        <v>1.2999999999999999E-3</v>
      </c>
      <c r="F7835" s="3">
        <v>1.5900000000000001E-2</v>
      </c>
      <c r="H7835">
        <v>204</v>
      </c>
      <c r="I7835">
        <v>244</v>
      </c>
      <c r="J7835">
        <v>1995</v>
      </c>
    </row>
    <row r="7836" spans="1:10">
      <c r="A7836" t="s">
        <v>194</v>
      </c>
      <c r="B7836" t="s">
        <v>195</v>
      </c>
      <c r="C7836" t="s">
        <v>204</v>
      </c>
      <c r="D7836" t="s">
        <v>1631</v>
      </c>
      <c r="E7836" s="3">
        <v>2.3800000000000002E-2</v>
      </c>
      <c r="F7836" s="3">
        <v>0.16569999999999999</v>
      </c>
      <c r="G7836" s="3">
        <v>0.11219999999999999</v>
      </c>
      <c r="H7836">
        <v>204</v>
      </c>
      <c r="I7836">
        <v>244</v>
      </c>
      <c r="J7836">
        <v>1995</v>
      </c>
    </row>
    <row r="7837" spans="1:10">
      <c r="A7837" t="s">
        <v>194</v>
      </c>
      <c r="B7837" t="s">
        <v>195</v>
      </c>
      <c r="C7837" t="s">
        <v>204</v>
      </c>
      <c r="D7837" t="s">
        <v>1641</v>
      </c>
      <c r="E7837" s="3">
        <v>2.8E-3</v>
      </c>
      <c r="F7837" s="3">
        <v>8.0999999999999996E-3</v>
      </c>
      <c r="G7837" s="3">
        <v>1.23E-2</v>
      </c>
      <c r="H7837">
        <v>204</v>
      </c>
      <c r="I7837">
        <v>244</v>
      </c>
      <c r="J7837">
        <v>1995</v>
      </c>
    </row>
    <row r="7838" spans="1:10">
      <c r="A7838" t="s">
        <v>194</v>
      </c>
      <c r="B7838" t="s">
        <v>195</v>
      </c>
      <c r="C7838" t="s">
        <v>204</v>
      </c>
      <c r="D7838" t="s">
        <v>1632</v>
      </c>
      <c r="E7838" s="3">
        <v>2.1000000000000001E-2</v>
      </c>
      <c r="F7838" s="3">
        <v>2.7300000000000001E-2</v>
      </c>
      <c r="G7838" s="3">
        <v>0.21590000000000001</v>
      </c>
      <c r="H7838">
        <v>204</v>
      </c>
      <c r="I7838">
        <v>244</v>
      </c>
      <c r="J7838">
        <v>1995</v>
      </c>
    </row>
    <row r="7839" spans="1:10">
      <c r="A7839" t="s">
        <v>194</v>
      </c>
      <c r="B7839" t="s">
        <v>195</v>
      </c>
      <c r="C7839" t="s">
        <v>204</v>
      </c>
      <c r="D7839" t="s">
        <v>1633</v>
      </c>
      <c r="E7839" s="3">
        <v>2.0000000000000001E-4</v>
      </c>
      <c r="F7839" s="3">
        <v>8.9999999999999998E-4</v>
      </c>
      <c r="G7839" s="3">
        <v>1.6299999999999999E-2</v>
      </c>
      <c r="H7839">
        <v>204</v>
      </c>
      <c r="I7839">
        <v>244</v>
      </c>
      <c r="J7839">
        <v>1995</v>
      </c>
    </row>
    <row r="7840" spans="1:10">
      <c r="A7840" t="s">
        <v>194</v>
      </c>
      <c r="B7840" t="s">
        <v>195</v>
      </c>
      <c r="C7840" t="s">
        <v>204</v>
      </c>
      <c r="D7840" t="s">
        <v>1634</v>
      </c>
      <c r="E7840" s="3">
        <v>1.3599999999999999E-2</v>
      </c>
      <c r="F7840" s="3">
        <v>2.9499999999999998E-2</v>
      </c>
      <c r="G7840" s="3">
        <v>1.46E-2</v>
      </c>
      <c r="H7840">
        <v>204</v>
      </c>
      <c r="I7840">
        <v>244</v>
      </c>
      <c r="J7840">
        <v>1995</v>
      </c>
    </row>
    <row r="7841" spans="1:10">
      <c r="A7841" t="s">
        <v>194</v>
      </c>
      <c r="B7841" t="s">
        <v>195</v>
      </c>
      <c r="C7841" t="s">
        <v>204</v>
      </c>
      <c r="D7841" t="s">
        <v>1635</v>
      </c>
      <c r="E7841" s="3">
        <v>1.4E-3</v>
      </c>
      <c r="F7841" s="3">
        <v>1.55E-2</v>
      </c>
      <c r="G7841" s="3">
        <v>2.41E-2</v>
      </c>
      <c r="H7841">
        <v>204</v>
      </c>
      <c r="I7841">
        <v>244</v>
      </c>
      <c r="J7841">
        <v>1995</v>
      </c>
    </row>
    <row r="7842" spans="1:10">
      <c r="A7842" t="s">
        <v>194</v>
      </c>
      <c r="B7842" t="s">
        <v>195</v>
      </c>
      <c r="C7842" t="s">
        <v>204</v>
      </c>
      <c r="D7842" t="s">
        <v>1636</v>
      </c>
      <c r="E7842" s="3">
        <v>0.43669999999999998</v>
      </c>
      <c r="F7842" s="3">
        <v>0.21190000000000001</v>
      </c>
      <c r="G7842" s="3">
        <v>0.13550000000000001</v>
      </c>
      <c r="H7842">
        <v>204</v>
      </c>
      <c r="I7842">
        <v>244</v>
      </c>
      <c r="J7842">
        <v>1995</v>
      </c>
    </row>
    <row r="7843" spans="1:10">
      <c r="A7843" t="s">
        <v>194</v>
      </c>
      <c r="B7843" t="s">
        <v>195</v>
      </c>
      <c r="C7843" t="s">
        <v>204</v>
      </c>
      <c r="D7843" t="s">
        <v>1637</v>
      </c>
      <c r="E7843" s="3">
        <v>0.33429999999999999</v>
      </c>
      <c r="F7843" s="3">
        <v>0.1318</v>
      </c>
      <c r="G7843" s="3">
        <v>7.5300000000000006E-2</v>
      </c>
      <c r="H7843">
        <v>204</v>
      </c>
      <c r="I7843">
        <v>244</v>
      </c>
      <c r="J7843">
        <v>1995</v>
      </c>
    </row>
    <row r="7844" spans="1:10">
      <c r="A7844" t="s">
        <v>194</v>
      </c>
      <c r="B7844" t="s">
        <v>195</v>
      </c>
      <c r="C7844" t="s">
        <v>204</v>
      </c>
      <c r="D7844" t="s">
        <v>274</v>
      </c>
      <c r="E7844" s="3">
        <v>1E-3</v>
      </c>
      <c r="G7844" s="3">
        <v>3.7000000000000002E-3</v>
      </c>
      <c r="H7844">
        <v>204</v>
      </c>
      <c r="I7844">
        <v>244</v>
      </c>
      <c r="J7844">
        <v>1995</v>
      </c>
    </row>
    <row r="7845" spans="1:10">
      <c r="A7845" t="s">
        <v>194</v>
      </c>
      <c r="B7845" t="s">
        <v>195</v>
      </c>
      <c r="C7845" t="s">
        <v>205</v>
      </c>
      <c r="D7845" t="s">
        <v>1624</v>
      </c>
      <c r="E7845" s="3">
        <v>4.5999999999999999E-3</v>
      </c>
      <c r="F7845" s="3">
        <v>1.0200000000000001E-2</v>
      </c>
      <c r="G7845" s="3">
        <v>7.2300000000000003E-2</v>
      </c>
      <c r="H7845">
        <v>140</v>
      </c>
      <c r="I7845">
        <v>267</v>
      </c>
      <c r="J7845">
        <v>1995</v>
      </c>
    </row>
    <row r="7846" spans="1:10">
      <c r="A7846" t="s">
        <v>194</v>
      </c>
      <c r="B7846" t="s">
        <v>195</v>
      </c>
      <c r="C7846" t="s">
        <v>205</v>
      </c>
      <c r="D7846" t="s">
        <v>257</v>
      </c>
      <c r="E7846" s="3">
        <v>2.0999999999999999E-3</v>
      </c>
      <c r="F7846" s="3">
        <v>3.1300000000000001E-2</v>
      </c>
      <c r="G7846" s="3">
        <v>3.2300000000000002E-2</v>
      </c>
      <c r="H7846">
        <v>140</v>
      </c>
      <c r="I7846">
        <v>267</v>
      </c>
      <c r="J7846">
        <v>1995</v>
      </c>
    </row>
    <row r="7847" spans="1:10">
      <c r="A7847" t="s">
        <v>194</v>
      </c>
      <c r="B7847" t="s">
        <v>195</v>
      </c>
      <c r="C7847" t="s">
        <v>205</v>
      </c>
      <c r="D7847" t="s">
        <v>1638</v>
      </c>
      <c r="E7847" s="3">
        <v>5.4000000000000003E-3</v>
      </c>
      <c r="F7847" s="3">
        <v>0.11940000000000001</v>
      </c>
      <c r="G7847" s="3">
        <v>4.4299999999999999E-2</v>
      </c>
      <c r="H7847">
        <v>140</v>
      </c>
      <c r="I7847">
        <v>267</v>
      </c>
      <c r="J7847">
        <v>1995</v>
      </c>
    </row>
    <row r="7848" spans="1:10">
      <c r="A7848" t="s">
        <v>194</v>
      </c>
      <c r="B7848" t="s">
        <v>195</v>
      </c>
      <c r="C7848" t="s">
        <v>205</v>
      </c>
      <c r="D7848" t="s">
        <v>1639</v>
      </c>
      <c r="E7848" s="3">
        <v>5.8999999999999999E-3</v>
      </c>
      <c r="F7848" s="3">
        <v>1.15E-2</v>
      </c>
      <c r="G7848" s="3">
        <v>0.01</v>
      </c>
      <c r="H7848">
        <v>140</v>
      </c>
      <c r="I7848">
        <v>267</v>
      </c>
      <c r="J7848">
        <v>1995</v>
      </c>
    </row>
    <row r="7849" spans="1:10">
      <c r="A7849" t="s">
        <v>194</v>
      </c>
      <c r="B7849" t="s">
        <v>195</v>
      </c>
      <c r="C7849" t="s">
        <v>205</v>
      </c>
      <c r="D7849" t="s">
        <v>1625</v>
      </c>
      <c r="E7849" s="3">
        <v>3.9899999999999998E-2</v>
      </c>
      <c r="F7849" s="3">
        <v>4.7699999999999999E-2</v>
      </c>
      <c r="G7849" s="3">
        <v>4.8800000000000003E-2</v>
      </c>
      <c r="H7849">
        <v>140</v>
      </c>
      <c r="I7849">
        <v>267</v>
      </c>
      <c r="J7849">
        <v>1995</v>
      </c>
    </row>
    <row r="7850" spans="1:10">
      <c r="A7850" t="s">
        <v>194</v>
      </c>
      <c r="B7850" t="s">
        <v>195</v>
      </c>
      <c r="C7850" t="s">
        <v>205</v>
      </c>
      <c r="D7850" t="s">
        <v>1627</v>
      </c>
      <c r="E7850" s="3">
        <v>1.2500000000000001E-2</v>
      </c>
      <c r="F7850" s="3">
        <v>9.5200000000000007E-2</v>
      </c>
      <c r="G7850" s="3">
        <v>9.1899999999999996E-2</v>
      </c>
      <c r="H7850">
        <v>140</v>
      </c>
      <c r="I7850">
        <v>267</v>
      </c>
      <c r="J7850">
        <v>1995</v>
      </c>
    </row>
    <row r="7851" spans="1:10">
      <c r="A7851" t="s">
        <v>194</v>
      </c>
      <c r="B7851" t="s">
        <v>195</v>
      </c>
      <c r="C7851" t="s">
        <v>205</v>
      </c>
      <c r="D7851" t="s">
        <v>1628</v>
      </c>
      <c r="E7851" s="3">
        <v>1.7000000000000001E-2</v>
      </c>
      <c r="F7851" s="3">
        <v>5.7200000000000001E-2</v>
      </c>
      <c r="G7851" s="3">
        <v>7.1599999999999997E-2</v>
      </c>
      <c r="H7851">
        <v>140</v>
      </c>
      <c r="I7851">
        <v>267</v>
      </c>
      <c r="J7851">
        <v>1995</v>
      </c>
    </row>
    <row r="7852" spans="1:10">
      <c r="A7852" t="s">
        <v>194</v>
      </c>
      <c r="B7852" t="s">
        <v>195</v>
      </c>
      <c r="C7852" t="s">
        <v>205</v>
      </c>
      <c r="D7852" t="s">
        <v>1629</v>
      </c>
      <c r="E7852" s="3">
        <v>6.4000000000000003E-3</v>
      </c>
      <c r="F7852" s="3">
        <v>2.9999999999999997E-4</v>
      </c>
      <c r="G7852" s="3">
        <v>1.9E-2</v>
      </c>
      <c r="H7852">
        <v>140</v>
      </c>
      <c r="I7852">
        <v>267</v>
      </c>
      <c r="J7852">
        <v>1995</v>
      </c>
    </row>
    <row r="7853" spans="1:10">
      <c r="A7853" t="s">
        <v>194</v>
      </c>
      <c r="B7853" t="s">
        <v>195</v>
      </c>
      <c r="C7853" t="s">
        <v>205</v>
      </c>
      <c r="D7853" t="s">
        <v>1640</v>
      </c>
      <c r="E7853" s="3">
        <v>5.0000000000000001E-4</v>
      </c>
      <c r="F7853" s="3">
        <v>3.3E-3</v>
      </c>
      <c r="H7853">
        <v>140</v>
      </c>
      <c r="I7853">
        <v>267</v>
      </c>
      <c r="J7853">
        <v>1995</v>
      </c>
    </row>
    <row r="7854" spans="1:10">
      <c r="A7854" t="s">
        <v>194</v>
      </c>
      <c r="B7854" t="s">
        <v>195</v>
      </c>
      <c r="C7854" t="s">
        <v>205</v>
      </c>
      <c r="D7854" t="s">
        <v>1630</v>
      </c>
      <c r="E7854" s="3">
        <v>8.0000000000000004E-4</v>
      </c>
      <c r="F7854" s="3">
        <v>0.05</v>
      </c>
      <c r="G7854" s="3">
        <v>5.5399999999999998E-2</v>
      </c>
      <c r="H7854">
        <v>140</v>
      </c>
      <c r="I7854">
        <v>267</v>
      </c>
      <c r="J7854">
        <v>1995</v>
      </c>
    </row>
    <row r="7855" spans="1:10">
      <c r="A7855" t="s">
        <v>194</v>
      </c>
      <c r="B7855" t="s">
        <v>195</v>
      </c>
      <c r="C7855" t="s">
        <v>205</v>
      </c>
      <c r="D7855" t="s">
        <v>1631</v>
      </c>
      <c r="E7855" s="3">
        <v>1.1599999999999999E-2</v>
      </c>
      <c r="F7855" s="3">
        <v>4.3700000000000003E-2</v>
      </c>
      <c r="G7855" s="3">
        <v>0.16930000000000001</v>
      </c>
      <c r="H7855">
        <v>140</v>
      </c>
      <c r="I7855">
        <v>267</v>
      </c>
      <c r="J7855">
        <v>1995</v>
      </c>
    </row>
    <row r="7856" spans="1:10">
      <c r="A7856" t="s">
        <v>194</v>
      </c>
      <c r="B7856" t="s">
        <v>195</v>
      </c>
      <c r="C7856" t="s">
        <v>205</v>
      </c>
      <c r="D7856" t="s">
        <v>1632</v>
      </c>
      <c r="E7856" s="3">
        <v>0.02</v>
      </c>
      <c r="F7856" s="3">
        <v>3.9199999999999999E-2</v>
      </c>
      <c r="G7856" s="3">
        <v>4.7399999999999998E-2</v>
      </c>
      <c r="H7856">
        <v>140</v>
      </c>
      <c r="I7856">
        <v>267</v>
      </c>
      <c r="J7856">
        <v>1995</v>
      </c>
    </row>
    <row r="7857" spans="1:10">
      <c r="A7857" t="s">
        <v>194</v>
      </c>
      <c r="B7857" t="s">
        <v>195</v>
      </c>
      <c r="C7857" t="s">
        <v>205</v>
      </c>
      <c r="D7857" t="s">
        <v>1634</v>
      </c>
      <c r="E7857" s="3">
        <v>1.01E-2</v>
      </c>
      <c r="F7857" s="3">
        <v>1.1599999999999999E-2</v>
      </c>
      <c r="G7857" s="3">
        <v>3.1399999999999997E-2</v>
      </c>
      <c r="H7857">
        <v>140</v>
      </c>
      <c r="I7857">
        <v>267</v>
      </c>
      <c r="J7857">
        <v>1995</v>
      </c>
    </row>
    <row r="7858" spans="1:10">
      <c r="A7858" t="s">
        <v>194</v>
      </c>
      <c r="B7858" t="s">
        <v>195</v>
      </c>
      <c r="C7858" t="s">
        <v>205</v>
      </c>
      <c r="D7858" t="s">
        <v>1635</v>
      </c>
      <c r="E7858" s="3">
        <v>8.2000000000000007E-3</v>
      </c>
      <c r="F7858" s="3">
        <v>1.5299999999999999E-2</v>
      </c>
      <c r="G7858" s="3">
        <v>3.6700000000000003E-2</v>
      </c>
      <c r="H7858">
        <v>140</v>
      </c>
      <c r="I7858">
        <v>267</v>
      </c>
      <c r="J7858">
        <v>1995</v>
      </c>
    </row>
    <row r="7859" spans="1:10">
      <c r="A7859" t="s">
        <v>194</v>
      </c>
      <c r="B7859" t="s">
        <v>195</v>
      </c>
      <c r="C7859" t="s">
        <v>205</v>
      </c>
      <c r="D7859" t="s">
        <v>1636</v>
      </c>
      <c r="E7859" s="3">
        <v>0.39429999999999998</v>
      </c>
      <c r="F7859" s="3">
        <v>0.33910000000000001</v>
      </c>
      <c r="G7859" s="3">
        <v>9.1899999999999996E-2</v>
      </c>
      <c r="H7859">
        <v>140</v>
      </c>
      <c r="I7859">
        <v>267</v>
      </c>
      <c r="J7859">
        <v>1995</v>
      </c>
    </row>
    <row r="7860" spans="1:10">
      <c r="A7860" t="s">
        <v>194</v>
      </c>
      <c r="B7860" t="s">
        <v>195</v>
      </c>
      <c r="C7860" t="s">
        <v>205</v>
      </c>
      <c r="D7860" t="s">
        <v>1637</v>
      </c>
      <c r="E7860" s="3">
        <v>0.46010000000000001</v>
      </c>
      <c r="F7860" s="3">
        <v>0.1013</v>
      </c>
      <c r="G7860" s="3">
        <v>3.5799999999999998E-2</v>
      </c>
      <c r="H7860">
        <v>140</v>
      </c>
      <c r="I7860">
        <v>267</v>
      </c>
      <c r="J7860">
        <v>1995</v>
      </c>
    </row>
    <row r="7861" spans="1:10">
      <c r="A7861" t="s">
        <v>194</v>
      </c>
      <c r="B7861" t="s">
        <v>195</v>
      </c>
      <c r="C7861" t="s">
        <v>205</v>
      </c>
      <c r="D7861" t="s">
        <v>247</v>
      </c>
      <c r="E7861" s="3">
        <v>5.9999999999999995E-4</v>
      </c>
      <c r="F7861" s="3">
        <v>2.9999999999999997E-4</v>
      </c>
      <c r="H7861">
        <v>140</v>
      </c>
      <c r="I7861">
        <v>267</v>
      </c>
      <c r="J7861">
        <v>1995</v>
      </c>
    </row>
    <row r="7862" spans="1:10">
      <c r="A7862" t="s">
        <v>194</v>
      </c>
      <c r="B7862" t="s">
        <v>199</v>
      </c>
      <c r="C7862" t="s">
        <v>202</v>
      </c>
      <c r="D7862" t="s">
        <v>1624</v>
      </c>
      <c r="E7862" s="3">
        <v>8.9999999999999998E-4</v>
      </c>
      <c r="F7862" s="3">
        <v>7.4000000000000003E-3</v>
      </c>
      <c r="G7862" s="3">
        <v>3.2000000000000002E-3</v>
      </c>
      <c r="H7862">
        <v>513</v>
      </c>
      <c r="I7862">
        <v>318</v>
      </c>
      <c r="J7862">
        <v>1995</v>
      </c>
    </row>
    <row r="7863" spans="1:10">
      <c r="A7863" t="s">
        <v>194</v>
      </c>
      <c r="B7863" t="s">
        <v>199</v>
      </c>
      <c r="C7863" t="s">
        <v>202</v>
      </c>
      <c r="D7863" t="s">
        <v>257</v>
      </c>
      <c r="E7863" s="3">
        <v>9.4999999999999998E-3</v>
      </c>
      <c r="F7863" s="3">
        <v>7.8200000000000006E-2</v>
      </c>
      <c r="G7863" s="3">
        <v>0.13569999999999999</v>
      </c>
      <c r="H7863">
        <v>513</v>
      </c>
      <c r="I7863">
        <v>318</v>
      </c>
      <c r="J7863">
        <v>1995</v>
      </c>
    </row>
    <row r="7864" spans="1:10">
      <c r="A7864" t="s">
        <v>194</v>
      </c>
      <c r="B7864" t="s">
        <v>199</v>
      </c>
      <c r="C7864" t="s">
        <v>202</v>
      </c>
      <c r="D7864" t="s">
        <v>1638</v>
      </c>
      <c r="E7864" s="3">
        <v>3.4299999999999997E-2</v>
      </c>
      <c r="F7864" s="3">
        <v>4.24E-2</v>
      </c>
      <c r="G7864" s="3">
        <v>0.14910000000000001</v>
      </c>
      <c r="H7864">
        <v>513</v>
      </c>
      <c r="I7864">
        <v>318</v>
      </c>
      <c r="J7864">
        <v>1995</v>
      </c>
    </row>
    <row r="7865" spans="1:10">
      <c r="A7865" t="s">
        <v>194</v>
      </c>
      <c r="B7865" t="s">
        <v>199</v>
      </c>
      <c r="C7865" t="s">
        <v>202</v>
      </c>
      <c r="D7865" t="s">
        <v>1639</v>
      </c>
      <c r="E7865" s="3">
        <v>1.5E-3</v>
      </c>
      <c r="F7865" s="3">
        <v>1.24E-2</v>
      </c>
      <c r="G7865" s="3">
        <v>4.7300000000000002E-2</v>
      </c>
      <c r="H7865">
        <v>513</v>
      </c>
      <c r="I7865">
        <v>318</v>
      </c>
      <c r="J7865">
        <v>1995</v>
      </c>
    </row>
    <row r="7866" spans="1:10">
      <c r="A7866" t="s">
        <v>194</v>
      </c>
      <c r="B7866" t="s">
        <v>199</v>
      </c>
      <c r="C7866" t="s">
        <v>202</v>
      </c>
      <c r="D7866" t="s">
        <v>1625</v>
      </c>
      <c r="E7866" s="3">
        <v>1.21E-2</v>
      </c>
      <c r="F7866" s="3">
        <v>1.8E-3</v>
      </c>
      <c r="G7866" s="3">
        <v>3.0099999999999998E-2</v>
      </c>
      <c r="H7866">
        <v>513</v>
      </c>
      <c r="I7866">
        <v>318</v>
      </c>
      <c r="J7866">
        <v>1995</v>
      </c>
    </row>
    <row r="7867" spans="1:10">
      <c r="A7867" t="s">
        <v>194</v>
      </c>
      <c r="B7867" t="s">
        <v>199</v>
      </c>
      <c r="C7867" t="s">
        <v>202</v>
      </c>
      <c r="D7867" t="s">
        <v>1627</v>
      </c>
      <c r="E7867" s="3">
        <v>4.1700000000000001E-2</v>
      </c>
      <c r="F7867" s="3">
        <v>0.1061</v>
      </c>
      <c r="G7867" s="3">
        <v>0.1363</v>
      </c>
      <c r="H7867">
        <v>513</v>
      </c>
      <c r="I7867">
        <v>318</v>
      </c>
      <c r="J7867">
        <v>1995</v>
      </c>
    </row>
    <row r="7868" spans="1:10">
      <c r="A7868" t="s">
        <v>194</v>
      </c>
      <c r="B7868" t="s">
        <v>199</v>
      </c>
      <c r="C7868" t="s">
        <v>202</v>
      </c>
      <c r="D7868" t="s">
        <v>1644</v>
      </c>
      <c r="E7868" s="3">
        <v>5.9999999999999995E-4</v>
      </c>
      <c r="H7868">
        <v>513</v>
      </c>
      <c r="I7868">
        <v>318</v>
      </c>
      <c r="J7868">
        <v>1995</v>
      </c>
    </row>
    <row r="7869" spans="1:10">
      <c r="A7869" t="s">
        <v>194</v>
      </c>
      <c r="B7869" t="s">
        <v>199</v>
      </c>
      <c r="C7869" t="s">
        <v>202</v>
      </c>
      <c r="D7869" t="s">
        <v>1628</v>
      </c>
      <c r="E7869" s="3">
        <v>6.6000000000000003E-2</v>
      </c>
      <c r="F7869" s="3">
        <v>0.1875</v>
      </c>
      <c r="G7869" s="3">
        <v>0.1321</v>
      </c>
      <c r="H7869">
        <v>513</v>
      </c>
      <c r="I7869">
        <v>318</v>
      </c>
      <c r="J7869">
        <v>1995</v>
      </c>
    </row>
    <row r="7870" spans="1:10">
      <c r="A7870" t="s">
        <v>194</v>
      </c>
      <c r="B7870" t="s">
        <v>199</v>
      </c>
      <c r="C7870" t="s">
        <v>202</v>
      </c>
      <c r="D7870" t="s">
        <v>1629</v>
      </c>
      <c r="E7870" s="3">
        <v>4.0000000000000002E-4</v>
      </c>
      <c r="F7870" s="3">
        <v>9.7999999999999997E-3</v>
      </c>
      <c r="G7870" s="3">
        <v>3.3999999999999998E-3</v>
      </c>
      <c r="H7870">
        <v>513</v>
      </c>
      <c r="I7870">
        <v>318</v>
      </c>
      <c r="J7870">
        <v>1995</v>
      </c>
    </row>
    <row r="7871" spans="1:10">
      <c r="A7871" t="s">
        <v>194</v>
      </c>
      <c r="B7871" t="s">
        <v>199</v>
      </c>
      <c r="C7871" t="s">
        <v>202</v>
      </c>
      <c r="D7871" t="s">
        <v>1630</v>
      </c>
      <c r="E7871" s="3">
        <v>2.2000000000000001E-3</v>
      </c>
      <c r="F7871" s="3">
        <v>6.4000000000000003E-3</v>
      </c>
      <c r="G7871" s="3">
        <v>1.8E-3</v>
      </c>
      <c r="H7871">
        <v>513</v>
      </c>
      <c r="I7871">
        <v>318</v>
      </c>
      <c r="J7871">
        <v>1995</v>
      </c>
    </row>
    <row r="7872" spans="1:10">
      <c r="A7872" t="s">
        <v>194</v>
      </c>
      <c r="B7872" t="s">
        <v>199</v>
      </c>
      <c r="C7872" t="s">
        <v>202</v>
      </c>
      <c r="D7872" t="s">
        <v>1631</v>
      </c>
      <c r="E7872" s="3">
        <v>5.8999999999999999E-3</v>
      </c>
      <c r="F7872" s="3">
        <v>4.9500000000000002E-2</v>
      </c>
      <c r="G7872" s="3">
        <v>7.5300000000000006E-2</v>
      </c>
      <c r="H7872">
        <v>513</v>
      </c>
      <c r="I7872">
        <v>318</v>
      </c>
      <c r="J7872">
        <v>1995</v>
      </c>
    </row>
    <row r="7873" spans="1:10">
      <c r="A7873" t="s">
        <v>194</v>
      </c>
      <c r="B7873" t="s">
        <v>199</v>
      </c>
      <c r="C7873" t="s">
        <v>202</v>
      </c>
      <c r="D7873" t="s">
        <v>1632</v>
      </c>
      <c r="E7873" s="3">
        <v>4.2000000000000003E-2</v>
      </c>
      <c r="F7873" s="3">
        <v>8.9599999999999999E-2</v>
      </c>
      <c r="G7873" s="3">
        <v>7.3599999999999999E-2</v>
      </c>
      <c r="H7873">
        <v>513</v>
      </c>
      <c r="I7873">
        <v>318</v>
      </c>
      <c r="J7873">
        <v>1995</v>
      </c>
    </row>
    <row r="7874" spans="1:10">
      <c r="A7874" t="s">
        <v>194</v>
      </c>
      <c r="B7874" t="s">
        <v>199</v>
      </c>
      <c r="C7874" t="s">
        <v>202</v>
      </c>
      <c r="D7874" t="s">
        <v>1642</v>
      </c>
      <c r="E7874" s="3">
        <v>2.9999999999999997E-4</v>
      </c>
      <c r="G7874" s="3">
        <v>6.1000000000000004E-3</v>
      </c>
      <c r="H7874">
        <v>513</v>
      </c>
      <c r="I7874">
        <v>318</v>
      </c>
      <c r="J7874">
        <v>1995</v>
      </c>
    </row>
    <row r="7875" spans="1:10">
      <c r="A7875" t="s">
        <v>194</v>
      </c>
      <c r="B7875" t="s">
        <v>199</v>
      </c>
      <c r="C7875" t="s">
        <v>202</v>
      </c>
      <c r="D7875" t="s">
        <v>1635</v>
      </c>
      <c r="E7875" s="3">
        <v>4.0000000000000002E-4</v>
      </c>
      <c r="F7875" s="3">
        <v>1.43E-2</v>
      </c>
      <c r="G7875" s="3">
        <v>3.4599999999999999E-2</v>
      </c>
      <c r="H7875">
        <v>513</v>
      </c>
      <c r="I7875">
        <v>318</v>
      </c>
      <c r="J7875">
        <v>1995</v>
      </c>
    </row>
    <row r="7876" spans="1:10">
      <c r="A7876" t="s">
        <v>194</v>
      </c>
      <c r="B7876" t="s">
        <v>199</v>
      </c>
      <c r="C7876" t="s">
        <v>202</v>
      </c>
      <c r="D7876" t="s">
        <v>1636</v>
      </c>
      <c r="E7876" s="3">
        <v>0.2883</v>
      </c>
      <c r="F7876" s="3">
        <v>0.2334</v>
      </c>
      <c r="G7876" s="3">
        <v>2.2100000000000002E-2</v>
      </c>
      <c r="H7876">
        <v>513</v>
      </c>
      <c r="I7876">
        <v>318</v>
      </c>
      <c r="J7876">
        <v>1995</v>
      </c>
    </row>
    <row r="7877" spans="1:10">
      <c r="A7877" t="s">
        <v>194</v>
      </c>
      <c r="B7877" t="s">
        <v>199</v>
      </c>
      <c r="C7877" t="s">
        <v>202</v>
      </c>
      <c r="D7877" t="s">
        <v>1637</v>
      </c>
      <c r="E7877" s="3">
        <v>0.49370000000000003</v>
      </c>
      <c r="F7877" s="3">
        <v>0.1135</v>
      </c>
      <c r="G7877" s="3">
        <v>2.8899999999999999E-2</v>
      </c>
      <c r="H7877">
        <v>513</v>
      </c>
      <c r="I7877">
        <v>318</v>
      </c>
      <c r="J7877">
        <v>1995</v>
      </c>
    </row>
    <row r="7878" spans="1:10">
      <c r="A7878" t="s">
        <v>194</v>
      </c>
      <c r="B7878" t="s">
        <v>199</v>
      </c>
      <c r="C7878" t="s">
        <v>202</v>
      </c>
      <c r="D7878" t="s">
        <v>1643</v>
      </c>
      <c r="E7878" s="3">
        <v>2.0000000000000001E-4</v>
      </c>
      <c r="F7878" s="3">
        <v>6.7000000000000002E-3</v>
      </c>
      <c r="G7878" s="3">
        <v>7.9000000000000008E-3</v>
      </c>
      <c r="H7878">
        <v>513</v>
      </c>
      <c r="I7878">
        <v>318</v>
      </c>
      <c r="J7878">
        <v>1995</v>
      </c>
    </row>
    <row r="7879" spans="1:10">
      <c r="A7879" t="s">
        <v>194</v>
      </c>
      <c r="B7879" t="s">
        <v>199</v>
      </c>
      <c r="C7879" t="s">
        <v>204</v>
      </c>
      <c r="D7879" t="s">
        <v>1624</v>
      </c>
      <c r="E7879" s="3">
        <v>4.4999999999999997E-3</v>
      </c>
      <c r="F7879" s="3">
        <v>7.6E-3</v>
      </c>
      <c r="G7879" s="3">
        <v>1.9900000000000001E-2</v>
      </c>
      <c r="H7879">
        <v>219</v>
      </c>
      <c r="I7879">
        <v>328</v>
      </c>
      <c r="J7879">
        <v>1995</v>
      </c>
    </row>
    <row r="7880" spans="1:10">
      <c r="A7880" t="s">
        <v>194</v>
      </c>
      <c r="B7880" t="s">
        <v>199</v>
      </c>
      <c r="C7880" t="s">
        <v>204</v>
      </c>
      <c r="D7880" t="s">
        <v>257</v>
      </c>
      <c r="E7880" s="3">
        <v>1.15E-2</v>
      </c>
      <c r="F7880" s="3">
        <v>4.4299999999999999E-2</v>
      </c>
      <c r="G7880" s="3">
        <v>9.9400000000000002E-2</v>
      </c>
      <c r="H7880">
        <v>219</v>
      </c>
      <c r="I7880">
        <v>328</v>
      </c>
      <c r="J7880">
        <v>1995</v>
      </c>
    </row>
    <row r="7881" spans="1:10">
      <c r="A7881" t="s">
        <v>194</v>
      </c>
      <c r="B7881" t="s">
        <v>199</v>
      </c>
      <c r="C7881" t="s">
        <v>204</v>
      </c>
      <c r="D7881" t="s">
        <v>1638</v>
      </c>
      <c r="E7881" s="3">
        <v>1.4999999999999999E-2</v>
      </c>
      <c r="F7881" s="3">
        <v>7.85E-2</v>
      </c>
      <c r="G7881" s="3">
        <v>0.16880000000000001</v>
      </c>
      <c r="H7881">
        <v>219</v>
      </c>
      <c r="I7881">
        <v>328</v>
      </c>
      <c r="J7881">
        <v>1995</v>
      </c>
    </row>
    <row r="7882" spans="1:10">
      <c r="A7882" t="s">
        <v>194</v>
      </c>
      <c r="B7882" t="s">
        <v>199</v>
      </c>
      <c r="C7882" t="s">
        <v>204</v>
      </c>
      <c r="D7882" t="s">
        <v>1639</v>
      </c>
      <c r="E7882" s="3">
        <v>1.43E-2</v>
      </c>
      <c r="F7882" s="3">
        <v>3.4799999999999998E-2</v>
      </c>
      <c r="G7882" s="3">
        <v>6.0000000000000001E-3</v>
      </c>
      <c r="H7882">
        <v>219</v>
      </c>
      <c r="I7882">
        <v>328</v>
      </c>
      <c r="J7882">
        <v>1995</v>
      </c>
    </row>
    <row r="7883" spans="1:10">
      <c r="A7883" t="s">
        <v>194</v>
      </c>
      <c r="B7883" t="s">
        <v>199</v>
      </c>
      <c r="C7883" t="s">
        <v>204</v>
      </c>
      <c r="D7883" t="s">
        <v>1625</v>
      </c>
      <c r="E7883" s="3">
        <v>1.1599999999999999E-2</v>
      </c>
      <c r="F7883" s="3">
        <v>2.01E-2</v>
      </c>
      <c r="G7883" s="3">
        <v>6.1999999999999998E-3</v>
      </c>
      <c r="H7883">
        <v>219</v>
      </c>
      <c r="I7883">
        <v>328</v>
      </c>
      <c r="J7883">
        <v>1995</v>
      </c>
    </row>
    <row r="7884" spans="1:10">
      <c r="A7884" t="s">
        <v>194</v>
      </c>
      <c r="B7884" t="s">
        <v>199</v>
      </c>
      <c r="C7884" t="s">
        <v>204</v>
      </c>
      <c r="D7884" t="s">
        <v>1626</v>
      </c>
      <c r="E7884" s="3">
        <v>1E-4</v>
      </c>
      <c r="H7884">
        <v>219</v>
      </c>
      <c r="I7884">
        <v>328</v>
      </c>
      <c r="J7884">
        <v>1995</v>
      </c>
    </row>
    <row r="7885" spans="1:10">
      <c r="A7885" t="s">
        <v>194</v>
      </c>
      <c r="B7885" t="s">
        <v>199</v>
      </c>
      <c r="C7885" t="s">
        <v>204</v>
      </c>
      <c r="D7885" t="s">
        <v>1627</v>
      </c>
      <c r="E7885" s="3">
        <v>7.0099999999999996E-2</v>
      </c>
      <c r="F7885" s="3">
        <v>5.3600000000000002E-2</v>
      </c>
      <c r="G7885" s="3">
        <v>6.9800000000000001E-2</v>
      </c>
      <c r="H7885">
        <v>219</v>
      </c>
      <c r="I7885">
        <v>328</v>
      </c>
      <c r="J7885">
        <v>1995</v>
      </c>
    </row>
    <row r="7886" spans="1:10">
      <c r="A7886" t="s">
        <v>194</v>
      </c>
      <c r="B7886" t="s">
        <v>199</v>
      </c>
      <c r="C7886" t="s">
        <v>204</v>
      </c>
      <c r="D7886" t="s">
        <v>1628</v>
      </c>
      <c r="E7886" s="3">
        <v>1.09E-2</v>
      </c>
      <c r="F7886" s="3">
        <v>3.2399999999999998E-2</v>
      </c>
      <c r="G7886" s="3">
        <v>5.5199999999999999E-2</v>
      </c>
      <c r="H7886">
        <v>219</v>
      </c>
      <c r="I7886">
        <v>328</v>
      </c>
      <c r="J7886">
        <v>1995</v>
      </c>
    </row>
    <row r="7887" spans="1:10">
      <c r="A7887" t="s">
        <v>194</v>
      </c>
      <c r="B7887" t="s">
        <v>199</v>
      </c>
      <c r="C7887" t="s">
        <v>204</v>
      </c>
      <c r="D7887" t="s">
        <v>1629</v>
      </c>
      <c r="E7887" s="3">
        <v>2.1999999999999999E-2</v>
      </c>
      <c r="F7887" s="3">
        <v>0.10100000000000001</v>
      </c>
      <c r="G7887" s="3">
        <v>7.9600000000000004E-2</v>
      </c>
      <c r="H7887">
        <v>219</v>
      </c>
      <c r="I7887">
        <v>328</v>
      </c>
      <c r="J7887">
        <v>1995</v>
      </c>
    </row>
    <row r="7888" spans="1:10">
      <c r="A7888" t="s">
        <v>194</v>
      </c>
      <c r="B7888" t="s">
        <v>199</v>
      </c>
      <c r="C7888" t="s">
        <v>204</v>
      </c>
      <c r="D7888" t="s">
        <v>1640</v>
      </c>
      <c r="E7888" s="3">
        <v>6.1999999999999998E-3</v>
      </c>
      <c r="F7888" s="3">
        <v>2E-3</v>
      </c>
      <c r="G7888" s="3">
        <v>3.3799999999999997E-2</v>
      </c>
      <c r="H7888">
        <v>219</v>
      </c>
      <c r="I7888">
        <v>328</v>
      </c>
      <c r="J7888">
        <v>1995</v>
      </c>
    </row>
    <row r="7889" spans="1:10">
      <c r="A7889" t="s">
        <v>194</v>
      </c>
      <c r="B7889" t="s">
        <v>199</v>
      </c>
      <c r="C7889" t="s">
        <v>204</v>
      </c>
      <c r="D7889" t="s">
        <v>1630</v>
      </c>
      <c r="E7889" s="3">
        <v>1.7600000000000001E-2</v>
      </c>
      <c r="F7889" s="3">
        <v>4.3099999999999999E-2</v>
      </c>
      <c r="G7889" s="3">
        <v>1.5800000000000002E-2</v>
      </c>
      <c r="H7889">
        <v>219</v>
      </c>
      <c r="I7889">
        <v>328</v>
      </c>
      <c r="J7889">
        <v>1995</v>
      </c>
    </row>
    <row r="7890" spans="1:10">
      <c r="A7890" t="s">
        <v>194</v>
      </c>
      <c r="B7890" t="s">
        <v>199</v>
      </c>
      <c r="C7890" t="s">
        <v>204</v>
      </c>
      <c r="D7890" t="s">
        <v>1631</v>
      </c>
      <c r="E7890" s="3">
        <v>1.52E-2</v>
      </c>
      <c r="F7890" s="3">
        <v>0.1138</v>
      </c>
      <c r="G7890" s="3">
        <v>7.6700000000000004E-2</v>
      </c>
      <c r="H7890">
        <v>219</v>
      </c>
      <c r="I7890">
        <v>328</v>
      </c>
      <c r="J7890">
        <v>1995</v>
      </c>
    </row>
    <row r="7891" spans="1:10">
      <c r="A7891" t="s">
        <v>194</v>
      </c>
      <c r="B7891" t="s">
        <v>199</v>
      </c>
      <c r="C7891" t="s">
        <v>204</v>
      </c>
      <c r="D7891" t="s">
        <v>1641</v>
      </c>
      <c r="E7891" s="3">
        <v>8.0000000000000004E-4</v>
      </c>
      <c r="F7891" s="3">
        <v>1.4E-3</v>
      </c>
      <c r="G7891" s="3">
        <v>1.0699999999999999E-2</v>
      </c>
      <c r="H7891">
        <v>219</v>
      </c>
      <c r="I7891">
        <v>328</v>
      </c>
      <c r="J7891">
        <v>1995</v>
      </c>
    </row>
    <row r="7892" spans="1:10">
      <c r="A7892" t="s">
        <v>194</v>
      </c>
      <c r="B7892" t="s">
        <v>199</v>
      </c>
      <c r="C7892" t="s">
        <v>204</v>
      </c>
      <c r="D7892" t="s">
        <v>1632</v>
      </c>
      <c r="E7892" s="3">
        <v>1.3899999999999999E-2</v>
      </c>
      <c r="F7892" s="3">
        <v>3.0099999999999998E-2</v>
      </c>
      <c r="G7892" s="3">
        <v>8.4900000000000003E-2</v>
      </c>
      <c r="H7892">
        <v>219</v>
      </c>
      <c r="I7892">
        <v>328</v>
      </c>
      <c r="J7892">
        <v>1995</v>
      </c>
    </row>
    <row r="7893" spans="1:10">
      <c r="A7893" t="s">
        <v>194</v>
      </c>
      <c r="B7893" t="s">
        <v>199</v>
      </c>
      <c r="C7893" t="s">
        <v>204</v>
      </c>
      <c r="D7893" t="s">
        <v>1633</v>
      </c>
      <c r="E7893" s="3">
        <v>1E-4</v>
      </c>
      <c r="F7893" s="3">
        <v>2.0999999999999999E-3</v>
      </c>
      <c r="G7893" s="3">
        <v>1.7999999999999999E-2</v>
      </c>
      <c r="H7893">
        <v>219</v>
      </c>
      <c r="I7893">
        <v>328</v>
      </c>
      <c r="J7893">
        <v>1995</v>
      </c>
    </row>
    <row r="7894" spans="1:10">
      <c r="A7894" t="s">
        <v>194</v>
      </c>
      <c r="B7894" t="s">
        <v>199</v>
      </c>
      <c r="C7894" t="s">
        <v>204</v>
      </c>
      <c r="D7894" t="s">
        <v>1635</v>
      </c>
      <c r="E7894" s="3">
        <v>3.0000000000000001E-3</v>
      </c>
      <c r="F7894" s="3">
        <v>2.0999999999999999E-3</v>
      </c>
      <c r="G7894" s="3">
        <v>2.12E-2</v>
      </c>
      <c r="H7894">
        <v>219</v>
      </c>
      <c r="I7894">
        <v>328</v>
      </c>
      <c r="J7894">
        <v>1995</v>
      </c>
    </row>
    <row r="7895" spans="1:10">
      <c r="A7895" t="s">
        <v>194</v>
      </c>
      <c r="B7895" t="s">
        <v>199</v>
      </c>
      <c r="C7895" t="s">
        <v>204</v>
      </c>
      <c r="D7895" t="s">
        <v>1636</v>
      </c>
      <c r="E7895" s="3">
        <v>0.31469999999999998</v>
      </c>
      <c r="F7895" s="3">
        <v>0.26879999999999998</v>
      </c>
      <c r="G7895" s="3">
        <v>9.1700000000000004E-2</v>
      </c>
      <c r="H7895">
        <v>219</v>
      </c>
      <c r="I7895">
        <v>328</v>
      </c>
      <c r="J7895">
        <v>1995</v>
      </c>
    </row>
    <row r="7896" spans="1:10">
      <c r="A7896" t="s">
        <v>194</v>
      </c>
      <c r="B7896" t="s">
        <v>199</v>
      </c>
      <c r="C7896" t="s">
        <v>204</v>
      </c>
      <c r="D7896" t="s">
        <v>1637</v>
      </c>
      <c r="E7896" s="3">
        <v>0.46860000000000002</v>
      </c>
      <c r="F7896" s="3">
        <v>0.13320000000000001</v>
      </c>
      <c r="G7896" s="3">
        <v>4.4699999999999997E-2</v>
      </c>
      <c r="H7896">
        <v>219</v>
      </c>
      <c r="I7896">
        <v>328</v>
      </c>
      <c r="J7896">
        <v>1995</v>
      </c>
    </row>
    <row r="7897" spans="1:10">
      <c r="A7897" t="s">
        <v>194</v>
      </c>
      <c r="B7897" t="s">
        <v>199</v>
      </c>
      <c r="C7897" t="s">
        <v>204</v>
      </c>
      <c r="D7897" t="s">
        <v>1643</v>
      </c>
      <c r="E7897" s="3">
        <v>1E-4</v>
      </c>
      <c r="F7897" s="3">
        <v>2.64E-2</v>
      </c>
      <c r="G7897" s="3">
        <v>2.3199999999999998E-2</v>
      </c>
      <c r="H7897">
        <v>219</v>
      </c>
      <c r="I7897">
        <v>328</v>
      </c>
      <c r="J7897">
        <v>1995</v>
      </c>
    </row>
    <row r="7898" spans="1:10">
      <c r="A7898" t="s">
        <v>194</v>
      </c>
      <c r="B7898" t="s">
        <v>199</v>
      </c>
      <c r="C7898" t="s">
        <v>205</v>
      </c>
      <c r="D7898" t="s">
        <v>1624</v>
      </c>
      <c r="E7898" s="3">
        <v>2.06E-2</v>
      </c>
      <c r="F7898" s="3">
        <v>4.41E-2</v>
      </c>
      <c r="G7898" s="3">
        <v>0.1031</v>
      </c>
      <c r="H7898">
        <v>220</v>
      </c>
      <c r="I7898">
        <v>393</v>
      </c>
      <c r="J7898">
        <v>1995</v>
      </c>
    </row>
    <row r="7899" spans="1:10">
      <c r="A7899" t="s">
        <v>194</v>
      </c>
      <c r="B7899" t="s">
        <v>199</v>
      </c>
      <c r="C7899" t="s">
        <v>205</v>
      </c>
      <c r="D7899" t="s">
        <v>257</v>
      </c>
      <c r="E7899" s="3">
        <v>7.0000000000000001E-3</v>
      </c>
      <c r="F7899" s="3">
        <v>1.67E-2</v>
      </c>
      <c r="G7899" s="3">
        <v>5.4899999999999997E-2</v>
      </c>
      <c r="H7899">
        <v>220</v>
      </c>
      <c r="I7899">
        <v>393</v>
      </c>
      <c r="J7899">
        <v>1995</v>
      </c>
    </row>
    <row r="7900" spans="1:10">
      <c r="A7900" t="s">
        <v>194</v>
      </c>
      <c r="B7900" t="s">
        <v>199</v>
      </c>
      <c r="C7900" t="s">
        <v>205</v>
      </c>
      <c r="D7900" t="s">
        <v>1638</v>
      </c>
      <c r="E7900" s="3">
        <v>1.2800000000000001E-2</v>
      </c>
      <c r="F7900" s="3">
        <v>0.1739</v>
      </c>
      <c r="G7900" s="3">
        <v>0.16220000000000001</v>
      </c>
      <c r="H7900">
        <v>220</v>
      </c>
      <c r="I7900">
        <v>393</v>
      </c>
      <c r="J7900">
        <v>1995</v>
      </c>
    </row>
    <row r="7901" spans="1:10">
      <c r="A7901" t="s">
        <v>194</v>
      </c>
      <c r="B7901" t="s">
        <v>199</v>
      </c>
      <c r="C7901" t="s">
        <v>205</v>
      </c>
      <c r="D7901" t="s">
        <v>1639</v>
      </c>
      <c r="E7901" s="3">
        <v>9.9000000000000008E-3</v>
      </c>
      <c r="F7901" s="3">
        <v>5.7000000000000002E-3</v>
      </c>
      <c r="G7901" s="3">
        <v>9.5999999999999992E-3</v>
      </c>
      <c r="H7901">
        <v>220</v>
      </c>
      <c r="I7901">
        <v>393</v>
      </c>
      <c r="J7901">
        <v>1995</v>
      </c>
    </row>
    <row r="7902" spans="1:10">
      <c r="A7902" t="s">
        <v>194</v>
      </c>
      <c r="B7902" t="s">
        <v>199</v>
      </c>
      <c r="C7902" t="s">
        <v>205</v>
      </c>
      <c r="D7902" t="s">
        <v>1625</v>
      </c>
      <c r="E7902" s="3">
        <v>1.2999999999999999E-2</v>
      </c>
      <c r="F7902" s="3">
        <v>7.4999999999999997E-3</v>
      </c>
      <c r="G7902" s="3">
        <v>3.2300000000000002E-2</v>
      </c>
      <c r="H7902">
        <v>220</v>
      </c>
      <c r="I7902">
        <v>393</v>
      </c>
      <c r="J7902">
        <v>1995</v>
      </c>
    </row>
    <row r="7903" spans="1:10">
      <c r="A7903" t="s">
        <v>194</v>
      </c>
      <c r="B7903" t="s">
        <v>199</v>
      </c>
      <c r="C7903" t="s">
        <v>205</v>
      </c>
      <c r="D7903" t="s">
        <v>1626</v>
      </c>
      <c r="E7903" s="3">
        <v>1.9E-3</v>
      </c>
      <c r="G7903" s="3">
        <v>2E-3</v>
      </c>
      <c r="H7903">
        <v>220</v>
      </c>
      <c r="I7903">
        <v>393</v>
      </c>
      <c r="J7903">
        <v>1995</v>
      </c>
    </row>
    <row r="7904" spans="1:10">
      <c r="A7904" t="s">
        <v>194</v>
      </c>
      <c r="B7904" t="s">
        <v>199</v>
      </c>
      <c r="C7904" t="s">
        <v>205</v>
      </c>
      <c r="D7904" t="s">
        <v>1627</v>
      </c>
      <c r="E7904" s="3">
        <v>1.6299999999999999E-2</v>
      </c>
      <c r="F7904" s="3">
        <v>5.2200000000000003E-2</v>
      </c>
      <c r="G7904" s="3">
        <v>8.4400000000000003E-2</v>
      </c>
      <c r="H7904">
        <v>220</v>
      </c>
      <c r="I7904">
        <v>393</v>
      </c>
      <c r="J7904">
        <v>1995</v>
      </c>
    </row>
    <row r="7905" spans="1:10">
      <c r="A7905" t="s">
        <v>194</v>
      </c>
      <c r="B7905" t="s">
        <v>199</v>
      </c>
      <c r="C7905" t="s">
        <v>205</v>
      </c>
      <c r="D7905" t="s">
        <v>1628</v>
      </c>
      <c r="E7905" s="3">
        <v>3.6299999999999999E-2</v>
      </c>
      <c r="F7905" s="3">
        <v>7.0699999999999999E-2</v>
      </c>
      <c r="G7905" s="3">
        <v>7.8600000000000003E-2</v>
      </c>
      <c r="H7905">
        <v>220</v>
      </c>
      <c r="I7905">
        <v>393</v>
      </c>
      <c r="J7905">
        <v>1995</v>
      </c>
    </row>
    <row r="7906" spans="1:10">
      <c r="A7906" t="s">
        <v>194</v>
      </c>
      <c r="B7906" t="s">
        <v>199</v>
      </c>
      <c r="C7906" t="s">
        <v>205</v>
      </c>
      <c r="D7906" t="s">
        <v>1629</v>
      </c>
      <c r="E7906" s="3">
        <v>3.7000000000000002E-3</v>
      </c>
      <c r="F7906" s="3">
        <v>6.0000000000000001E-3</v>
      </c>
      <c r="G7906" s="3">
        <v>5.8999999999999999E-3</v>
      </c>
      <c r="H7906">
        <v>220</v>
      </c>
      <c r="I7906">
        <v>393</v>
      </c>
      <c r="J7906">
        <v>1995</v>
      </c>
    </row>
    <row r="7907" spans="1:10">
      <c r="A7907" t="s">
        <v>194</v>
      </c>
      <c r="B7907" t="s">
        <v>199</v>
      </c>
      <c r="C7907" t="s">
        <v>205</v>
      </c>
      <c r="D7907" t="s">
        <v>1640</v>
      </c>
      <c r="E7907" s="3">
        <v>2.8E-3</v>
      </c>
      <c r="F7907" s="3">
        <v>4.1000000000000003E-3</v>
      </c>
      <c r="G7907" s="3">
        <v>6.0000000000000001E-3</v>
      </c>
      <c r="H7907">
        <v>220</v>
      </c>
      <c r="I7907">
        <v>393</v>
      </c>
      <c r="J7907">
        <v>1995</v>
      </c>
    </row>
    <row r="7908" spans="1:10">
      <c r="A7908" t="s">
        <v>194</v>
      </c>
      <c r="B7908" t="s">
        <v>199</v>
      </c>
      <c r="C7908" t="s">
        <v>205</v>
      </c>
      <c r="D7908" t="s">
        <v>1630</v>
      </c>
      <c r="E7908" s="3">
        <v>1.6000000000000001E-3</v>
      </c>
      <c r="F7908" s="3">
        <v>2.3599999999999999E-2</v>
      </c>
      <c r="G7908" s="3">
        <v>1.41E-2</v>
      </c>
      <c r="H7908">
        <v>220</v>
      </c>
      <c r="I7908">
        <v>393</v>
      </c>
      <c r="J7908">
        <v>1995</v>
      </c>
    </row>
    <row r="7909" spans="1:10">
      <c r="A7909" t="s">
        <v>194</v>
      </c>
      <c r="B7909" t="s">
        <v>199</v>
      </c>
      <c r="C7909" t="s">
        <v>205</v>
      </c>
      <c r="D7909" t="s">
        <v>1631</v>
      </c>
      <c r="E7909" s="3">
        <v>7.7999999999999996E-3</v>
      </c>
      <c r="F7909" s="3">
        <v>3.7699999999999997E-2</v>
      </c>
      <c r="G7909" s="3">
        <v>0.17549999999999999</v>
      </c>
      <c r="H7909">
        <v>220</v>
      </c>
      <c r="I7909">
        <v>393</v>
      </c>
      <c r="J7909">
        <v>1995</v>
      </c>
    </row>
    <row r="7910" spans="1:10">
      <c r="A7910" t="s">
        <v>194</v>
      </c>
      <c r="B7910" t="s">
        <v>199</v>
      </c>
      <c r="C7910" t="s">
        <v>205</v>
      </c>
      <c r="D7910" t="s">
        <v>1641</v>
      </c>
      <c r="E7910" s="3">
        <v>8.0000000000000004E-4</v>
      </c>
      <c r="F7910" s="3">
        <v>3.0000000000000001E-3</v>
      </c>
      <c r="G7910" s="3">
        <v>4.3E-3</v>
      </c>
      <c r="H7910">
        <v>220</v>
      </c>
      <c r="I7910">
        <v>393</v>
      </c>
      <c r="J7910">
        <v>1995</v>
      </c>
    </row>
    <row r="7911" spans="1:10">
      <c r="A7911" t="s">
        <v>194</v>
      </c>
      <c r="B7911" t="s">
        <v>199</v>
      </c>
      <c r="C7911" t="s">
        <v>205</v>
      </c>
      <c r="D7911" t="s">
        <v>1632</v>
      </c>
      <c r="E7911" s="3">
        <v>8.6E-3</v>
      </c>
      <c r="F7911" s="3">
        <v>7.5600000000000001E-2</v>
      </c>
      <c r="G7911" s="3">
        <v>7.0099999999999996E-2</v>
      </c>
      <c r="H7911">
        <v>220</v>
      </c>
      <c r="I7911">
        <v>393</v>
      </c>
      <c r="J7911">
        <v>1995</v>
      </c>
    </row>
    <row r="7912" spans="1:10">
      <c r="A7912" t="s">
        <v>194</v>
      </c>
      <c r="B7912" t="s">
        <v>199</v>
      </c>
      <c r="C7912" t="s">
        <v>205</v>
      </c>
      <c r="D7912" t="s">
        <v>1634</v>
      </c>
      <c r="E7912" s="3">
        <v>1.6000000000000001E-3</v>
      </c>
      <c r="F7912" s="3">
        <v>2.3E-3</v>
      </c>
      <c r="G7912" s="3">
        <v>2E-3</v>
      </c>
      <c r="H7912">
        <v>220</v>
      </c>
      <c r="I7912">
        <v>393</v>
      </c>
      <c r="J7912">
        <v>1995</v>
      </c>
    </row>
    <row r="7913" spans="1:10">
      <c r="A7913" t="s">
        <v>194</v>
      </c>
      <c r="B7913" t="s">
        <v>199</v>
      </c>
      <c r="C7913" t="s">
        <v>205</v>
      </c>
      <c r="D7913" t="s">
        <v>1642</v>
      </c>
      <c r="E7913" s="3">
        <v>8.0000000000000004E-4</v>
      </c>
      <c r="F7913" s="3">
        <v>2E-3</v>
      </c>
      <c r="G7913" s="3">
        <v>1.6999999999999999E-3</v>
      </c>
      <c r="H7913">
        <v>220</v>
      </c>
      <c r="I7913">
        <v>393</v>
      </c>
      <c r="J7913">
        <v>1995</v>
      </c>
    </row>
    <row r="7914" spans="1:10">
      <c r="A7914" t="s">
        <v>194</v>
      </c>
      <c r="B7914" t="s">
        <v>199</v>
      </c>
      <c r="C7914" t="s">
        <v>205</v>
      </c>
      <c r="D7914" t="s">
        <v>1635</v>
      </c>
      <c r="E7914" s="3">
        <v>8.0000000000000004E-4</v>
      </c>
      <c r="F7914" s="3">
        <v>5.3E-3</v>
      </c>
      <c r="G7914" s="3">
        <v>3.2899999999999999E-2</v>
      </c>
      <c r="H7914">
        <v>220</v>
      </c>
      <c r="I7914">
        <v>393</v>
      </c>
      <c r="J7914">
        <v>1995</v>
      </c>
    </row>
    <row r="7915" spans="1:10">
      <c r="A7915" t="s">
        <v>194</v>
      </c>
      <c r="B7915" t="s">
        <v>199</v>
      </c>
      <c r="C7915" t="s">
        <v>205</v>
      </c>
      <c r="D7915" t="s">
        <v>1636</v>
      </c>
      <c r="E7915" s="3">
        <v>0.17449999999999999</v>
      </c>
      <c r="F7915" s="3">
        <v>0.29399999999999998</v>
      </c>
      <c r="G7915" s="3">
        <v>3.56E-2</v>
      </c>
      <c r="H7915">
        <v>220</v>
      </c>
      <c r="I7915">
        <v>393</v>
      </c>
      <c r="J7915">
        <v>1995</v>
      </c>
    </row>
    <row r="7916" spans="1:10">
      <c r="A7916" t="s">
        <v>194</v>
      </c>
      <c r="B7916" t="s">
        <v>199</v>
      </c>
      <c r="C7916" t="s">
        <v>205</v>
      </c>
      <c r="D7916" t="s">
        <v>1637</v>
      </c>
      <c r="E7916" s="3">
        <v>0.6774</v>
      </c>
      <c r="F7916" s="3">
        <v>7.6799999999999993E-2</v>
      </c>
      <c r="G7916" s="3">
        <v>3.4700000000000002E-2</v>
      </c>
      <c r="H7916">
        <v>220</v>
      </c>
      <c r="I7916">
        <v>393</v>
      </c>
      <c r="J7916">
        <v>1995</v>
      </c>
    </row>
    <row r="7917" spans="1:10">
      <c r="A7917" t="s">
        <v>194</v>
      </c>
      <c r="B7917" t="s">
        <v>199</v>
      </c>
      <c r="C7917" t="s">
        <v>205</v>
      </c>
      <c r="D7917" t="s">
        <v>274</v>
      </c>
      <c r="E7917" s="3">
        <v>1.1999999999999999E-3</v>
      </c>
      <c r="F7917" s="3">
        <v>2.3E-2</v>
      </c>
      <c r="G7917" s="3">
        <v>3.7000000000000002E-3</v>
      </c>
      <c r="H7917">
        <v>220</v>
      </c>
      <c r="I7917">
        <v>393</v>
      </c>
      <c r="J7917">
        <v>1995</v>
      </c>
    </row>
    <row r="7918" spans="1:10">
      <c r="A7918" t="s">
        <v>194</v>
      </c>
      <c r="B7918" t="s">
        <v>199</v>
      </c>
      <c r="C7918" t="s">
        <v>205</v>
      </c>
      <c r="D7918" t="s">
        <v>247</v>
      </c>
      <c r="E7918" s="3">
        <v>1E-3</v>
      </c>
      <c r="G7918" s="3">
        <v>8.0000000000000004E-4</v>
      </c>
      <c r="H7918">
        <v>220</v>
      </c>
      <c r="I7918">
        <v>393</v>
      </c>
      <c r="J7918">
        <v>1995</v>
      </c>
    </row>
    <row r="7919" spans="1:10">
      <c r="A7919" t="s">
        <v>200</v>
      </c>
      <c r="B7919" t="s">
        <v>200</v>
      </c>
      <c r="C7919" t="s">
        <v>200</v>
      </c>
      <c r="D7919" t="s">
        <v>1624</v>
      </c>
      <c r="E7919" s="3">
        <v>4.4999999999999997E-3</v>
      </c>
      <c r="F7919" s="3">
        <v>1.54E-2</v>
      </c>
      <c r="G7919" s="3">
        <v>2.52E-2</v>
      </c>
      <c r="H7919">
        <v>1995</v>
      </c>
      <c r="I7919">
        <v>1995</v>
      </c>
      <c r="J7919">
        <v>1995</v>
      </c>
    </row>
    <row r="7920" spans="1:10">
      <c r="A7920" t="s">
        <v>200</v>
      </c>
      <c r="B7920" t="s">
        <v>200</v>
      </c>
      <c r="C7920" t="s">
        <v>200</v>
      </c>
      <c r="D7920" t="s">
        <v>257</v>
      </c>
      <c r="E7920" s="3">
        <v>6.8999999999999999E-3</v>
      </c>
      <c r="F7920" s="3">
        <v>4.1799999999999997E-2</v>
      </c>
      <c r="G7920" s="3">
        <v>6.8900000000000003E-2</v>
      </c>
      <c r="H7920">
        <v>1995</v>
      </c>
      <c r="I7920">
        <v>1995</v>
      </c>
      <c r="J7920">
        <v>1995</v>
      </c>
    </row>
    <row r="7921" spans="1:10">
      <c r="A7921" t="s">
        <v>200</v>
      </c>
      <c r="B7921" t="s">
        <v>200</v>
      </c>
      <c r="C7921" t="s">
        <v>200</v>
      </c>
      <c r="D7921" t="s">
        <v>1638</v>
      </c>
      <c r="E7921" s="3">
        <v>1.4999999999999999E-2</v>
      </c>
      <c r="F7921" s="3">
        <v>7.5200000000000003E-2</v>
      </c>
      <c r="G7921" s="3">
        <v>0.1067</v>
      </c>
      <c r="H7921">
        <v>1995</v>
      </c>
      <c r="I7921">
        <v>1995</v>
      </c>
      <c r="J7921">
        <v>1995</v>
      </c>
    </row>
    <row r="7922" spans="1:10">
      <c r="A7922" t="s">
        <v>200</v>
      </c>
      <c r="B7922" t="s">
        <v>200</v>
      </c>
      <c r="C7922" t="s">
        <v>200</v>
      </c>
      <c r="D7922" t="s">
        <v>1639</v>
      </c>
      <c r="E7922" s="3">
        <v>4.7000000000000002E-3</v>
      </c>
      <c r="F7922" s="3">
        <v>2.41E-2</v>
      </c>
      <c r="G7922" s="3">
        <v>2.0500000000000001E-2</v>
      </c>
      <c r="H7922">
        <v>1995</v>
      </c>
      <c r="I7922">
        <v>1995</v>
      </c>
      <c r="J7922">
        <v>1995</v>
      </c>
    </row>
    <row r="7923" spans="1:10">
      <c r="A7923" t="s">
        <v>200</v>
      </c>
      <c r="B7923" t="s">
        <v>200</v>
      </c>
      <c r="C7923" t="s">
        <v>200</v>
      </c>
      <c r="D7923" t="s">
        <v>1625</v>
      </c>
      <c r="E7923" s="3">
        <v>4.2700000000000002E-2</v>
      </c>
      <c r="F7923" s="3">
        <v>4.3299999999999998E-2</v>
      </c>
      <c r="G7923" s="3">
        <v>4.7500000000000001E-2</v>
      </c>
      <c r="H7923">
        <v>1995</v>
      </c>
      <c r="I7923">
        <v>1995</v>
      </c>
      <c r="J7923">
        <v>1995</v>
      </c>
    </row>
    <row r="7924" spans="1:10">
      <c r="A7924" t="s">
        <v>200</v>
      </c>
      <c r="B7924" t="s">
        <v>200</v>
      </c>
      <c r="C7924" t="s">
        <v>200</v>
      </c>
      <c r="D7924" t="s">
        <v>1626</v>
      </c>
      <c r="E7924" s="3">
        <v>4.0000000000000002E-4</v>
      </c>
      <c r="F7924" s="3">
        <v>2.3E-3</v>
      </c>
      <c r="G7924" s="3">
        <v>1.0999999999999999E-2</v>
      </c>
      <c r="H7924">
        <v>1995</v>
      </c>
      <c r="I7924">
        <v>1995</v>
      </c>
      <c r="J7924">
        <v>1995</v>
      </c>
    </row>
    <row r="7925" spans="1:10">
      <c r="A7925" t="s">
        <v>200</v>
      </c>
      <c r="B7925" t="s">
        <v>200</v>
      </c>
      <c r="C7925" t="s">
        <v>200</v>
      </c>
      <c r="D7925" t="s">
        <v>1627</v>
      </c>
      <c r="E7925" s="3">
        <v>4.7199999999999999E-2</v>
      </c>
      <c r="F7925" s="3">
        <v>9.3700000000000006E-2</v>
      </c>
      <c r="G7925" s="3">
        <v>0.14050000000000001</v>
      </c>
      <c r="H7925">
        <v>1995</v>
      </c>
      <c r="I7925">
        <v>1995</v>
      </c>
      <c r="J7925">
        <v>1995</v>
      </c>
    </row>
    <row r="7926" spans="1:10">
      <c r="A7926" t="s">
        <v>200</v>
      </c>
      <c r="B7926" t="s">
        <v>200</v>
      </c>
      <c r="C7926" t="s">
        <v>200</v>
      </c>
      <c r="D7926" t="s">
        <v>1644</v>
      </c>
      <c r="E7926" s="3">
        <v>2.0000000000000001E-4</v>
      </c>
      <c r="F7926" s="3">
        <v>3.3E-3</v>
      </c>
      <c r="G7926" s="3">
        <v>1.09E-2</v>
      </c>
      <c r="H7926">
        <v>1995</v>
      </c>
      <c r="I7926">
        <v>1995</v>
      </c>
      <c r="J7926">
        <v>1995</v>
      </c>
    </row>
    <row r="7927" spans="1:10">
      <c r="A7927" t="s">
        <v>200</v>
      </c>
      <c r="B7927" t="s">
        <v>200</v>
      </c>
      <c r="C7927" t="s">
        <v>200</v>
      </c>
      <c r="D7927" t="s">
        <v>1628</v>
      </c>
      <c r="E7927" s="3">
        <v>3.2500000000000001E-2</v>
      </c>
      <c r="F7927" s="3">
        <v>8.48E-2</v>
      </c>
      <c r="G7927" s="3">
        <v>7.0499999999999993E-2</v>
      </c>
      <c r="H7927">
        <v>1995</v>
      </c>
      <c r="I7927">
        <v>1995</v>
      </c>
      <c r="J7927">
        <v>1995</v>
      </c>
    </row>
    <row r="7928" spans="1:10">
      <c r="A7928" t="s">
        <v>200</v>
      </c>
      <c r="B7928" t="s">
        <v>200</v>
      </c>
      <c r="C7928" t="s">
        <v>200</v>
      </c>
      <c r="D7928" t="s">
        <v>1629</v>
      </c>
      <c r="E7928" s="3">
        <v>6.0000000000000001E-3</v>
      </c>
      <c r="F7928" s="3">
        <v>1.37E-2</v>
      </c>
      <c r="G7928" s="3">
        <v>1.24E-2</v>
      </c>
      <c r="H7928">
        <v>1995</v>
      </c>
      <c r="I7928">
        <v>1995</v>
      </c>
      <c r="J7928">
        <v>1995</v>
      </c>
    </row>
    <row r="7929" spans="1:10">
      <c r="A7929" t="s">
        <v>200</v>
      </c>
      <c r="B7929" t="s">
        <v>200</v>
      </c>
      <c r="C7929" t="s">
        <v>200</v>
      </c>
      <c r="D7929" t="s">
        <v>1640</v>
      </c>
      <c r="E7929" s="3">
        <v>2.2000000000000001E-3</v>
      </c>
      <c r="F7929" s="3">
        <v>8.3999999999999995E-3</v>
      </c>
      <c r="G7929" s="3">
        <v>7.0000000000000001E-3</v>
      </c>
      <c r="H7929">
        <v>1995</v>
      </c>
      <c r="I7929">
        <v>1995</v>
      </c>
      <c r="J7929">
        <v>1995</v>
      </c>
    </row>
    <row r="7930" spans="1:10">
      <c r="A7930" t="s">
        <v>200</v>
      </c>
      <c r="B7930" t="s">
        <v>200</v>
      </c>
      <c r="C7930" t="s">
        <v>200</v>
      </c>
      <c r="D7930" t="s">
        <v>1630</v>
      </c>
      <c r="E7930" s="3">
        <v>7.6E-3</v>
      </c>
      <c r="F7930" s="3">
        <v>2.18E-2</v>
      </c>
      <c r="G7930" s="3">
        <v>1.41E-2</v>
      </c>
      <c r="H7930">
        <v>1995</v>
      </c>
      <c r="I7930">
        <v>1995</v>
      </c>
      <c r="J7930">
        <v>1995</v>
      </c>
    </row>
    <row r="7931" spans="1:10">
      <c r="A7931" t="s">
        <v>200</v>
      </c>
      <c r="B7931" t="s">
        <v>200</v>
      </c>
      <c r="C7931" t="s">
        <v>200</v>
      </c>
      <c r="D7931" t="s">
        <v>1631</v>
      </c>
      <c r="E7931" s="3">
        <v>2.3900000000000001E-2</v>
      </c>
      <c r="F7931" s="3">
        <v>0.112</v>
      </c>
      <c r="G7931" s="3">
        <v>0.1164</v>
      </c>
      <c r="H7931">
        <v>1995</v>
      </c>
      <c r="I7931">
        <v>1995</v>
      </c>
      <c r="J7931">
        <v>1995</v>
      </c>
    </row>
    <row r="7932" spans="1:10">
      <c r="A7932" t="s">
        <v>200</v>
      </c>
      <c r="B7932" t="s">
        <v>200</v>
      </c>
      <c r="C7932" t="s">
        <v>200</v>
      </c>
      <c r="D7932" t="s">
        <v>1641</v>
      </c>
      <c r="E7932" s="3">
        <v>2.3E-3</v>
      </c>
      <c r="F7932" s="3">
        <v>5.0000000000000001E-3</v>
      </c>
      <c r="G7932" s="3">
        <v>2.3599999999999999E-2</v>
      </c>
      <c r="H7932">
        <v>1995</v>
      </c>
      <c r="I7932">
        <v>1995</v>
      </c>
      <c r="J7932">
        <v>1995</v>
      </c>
    </row>
    <row r="7933" spans="1:10">
      <c r="A7933" t="s">
        <v>200</v>
      </c>
      <c r="B7933" t="s">
        <v>200</v>
      </c>
      <c r="C7933" t="s">
        <v>200</v>
      </c>
      <c r="D7933" t="s">
        <v>1632</v>
      </c>
      <c r="E7933" s="3">
        <v>2.4199999999999999E-2</v>
      </c>
      <c r="F7933" s="3">
        <v>6.3799999999999996E-2</v>
      </c>
      <c r="G7933" s="3">
        <v>9.1399999999999995E-2</v>
      </c>
      <c r="H7933">
        <v>1995</v>
      </c>
      <c r="I7933">
        <v>1995</v>
      </c>
      <c r="J7933">
        <v>1995</v>
      </c>
    </row>
    <row r="7934" spans="1:10">
      <c r="A7934" t="s">
        <v>200</v>
      </c>
      <c r="B7934" t="s">
        <v>200</v>
      </c>
      <c r="C7934" t="s">
        <v>200</v>
      </c>
      <c r="D7934" t="s">
        <v>1633</v>
      </c>
      <c r="E7934" s="3">
        <v>3.2000000000000002E-3</v>
      </c>
      <c r="F7934" s="3">
        <v>4.5999999999999999E-3</v>
      </c>
      <c r="G7934" s="3">
        <v>1.3599999999999999E-2</v>
      </c>
      <c r="H7934">
        <v>1995</v>
      </c>
      <c r="I7934">
        <v>1995</v>
      </c>
      <c r="J7934">
        <v>1995</v>
      </c>
    </row>
    <row r="7935" spans="1:10">
      <c r="A7935" t="s">
        <v>200</v>
      </c>
      <c r="B7935" t="s">
        <v>200</v>
      </c>
      <c r="C7935" t="s">
        <v>200</v>
      </c>
      <c r="D7935" t="s">
        <v>1634</v>
      </c>
      <c r="E7935" s="3">
        <v>3.8999999999999998E-3</v>
      </c>
      <c r="F7935" s="3">
        <v>1.55E-2</v>
      </c>
      <c r="G7935" s="3">
        <v>2.1299999999999999E-2</v>
      </c>
      <c r="H7935">
        <v>1995</v>
      </c>
      <c r="I7935">
        <v>1995</v>
      </c>
      <c r="J7935">
        <v>1995</v>
      </c>
    </row>
    <row r="7936" spans="1:10">
      <c r="A7936" t="s">
        <v>200</v>
      </c>
      <c r="B7936" t="s">
        <v>200</v>
      </c>
      <c r="C7936" t="s">
        <v>200</v>
      </c>
      <c r="D7936" t="s">
        <v>1642</v>
      </c>
      <c r="E7936" s="3">
        <v>1.1000000000000001E-3</v>
      </c>
      <c r="F7936" s="3">
        <v>2.0000000000000001E-4</v>
      </c>
      <c r="G7936" s="3">
        <v>7.3000000000000001E-3</v>
      </c>
      <c r="H7936">
        <v>1995</v>
      </c>
      <c r="I7936">
        <v>1995</v>
      </c>
      <c r="J7936">
        <v>1995</v>
      </c>
    </row>
    <row r="7937" spans="1:10">
      <c r="A7937" t="s">
        <v>200</v>
      </c>
      <c r="B7937" t="s">
        <v>200</v>
      </c>
      <c r="C7937" t="s">
        <v>200</v>
      </c>
      <c r="D7937" t="s">
        <v>1635</v>
      </c>
      <c r="E7937" s="3">
        <v>5.3E-3</v>
      </c>
      <c r="F7937" s="3">
        <v>1.3299999999999999E-2</v>
      </c>
      <c r="G7937" s="3">
        <v>4.1500000000000002E-2</v>
      </c>
      <c r="H7937">
        <v>1995</v>
      </c>
      <c r="I7937">
        <v>1995</v>
      </c>
      <c r="J7937">
        <v>1995</v>
      </c>
    </row>
    <row r="7938" spans="1:10">
      <c r="A7938" t="s">
        <v>200</v>
      </c>
      <c r="B7938" t="s">
        <v>200</v>
      </c>
      <c r="C7938" t="s">
        <v>200</v>
      </c>
      <c r="D7938" t="s">
        <v>1636</v>
      </c>
      <c r="E7938" s="3">
        <v>0.37080000000000002</v>
      </c>
      <c r="F7938" s="3">
        <v>0.2258</v>
      </c>
      <c r="G7938" s="3">
        <v>7.7700000000000005E-2</v>
      </c>
      <c r="H7938">
        <v>1995</v>
      </c>
      <c r="I7938">
        <v>1995</v>
      </c>
      <c r="J7938">
        <v>1995</v>
      </c>
    </row>
    <row r="7939" spans="1:10">
      <c r="A7939" t="s">
        <v>200</v>
      </c>
      <c r="B7939" t="s">
        <v>200</v>
      </c>
      <c r="C7939" t="s">
        <v>200</v>
      </c>
      <c r="D7939" t="s">
        <v>1637</v>
      </c>
      <c r="E7939" s="3">
        <v>0.38950000000000001</v>
      </c>
      <c r="F7939" s="3">
        <v>0.1105</v>
      </c>
      <c r="G7939" s="3">
        <v>3.7499999999999999E-2</v>
      </c>
      <c r="H7939">
        <v>1995</v>
      </c>
      <c r="I7939">
        <v>1995</v>
      </c>
      <c r="J7939">
        <v>1995</v>
      </c>
    </row>
    <row r="7940" spans="1:10">
      <c r="A7940" t="s">
        <v>200</v>
      </c>
      <c r="B7940" t="s">
        <v>200</v>
      </c>
      <c r="C7940" t="s">
        <v>200</v>
      </c>
      <c r="D7940" t="s">
        <v>274</v>
      </c>
      <c r="E7940" s="3">
        <v>6.9999999999999999E-4</v>
      </c>
      <c r="F7940" s="3">
        <v>9.1999999999999998E-3</v>
      </c>
      <c r="G7940" s="3">
        <v>1.32E-2</v>
      </c>
      <c r="H7940">
        <v>1995</v>
      </c>
      <c r="I7940">
        <v>1995</v>
      </c>
      <c r="J7940">
        <v>1995</v>
      </c>
    </row>
    <row r="7941" spans="1:10">
      <c r="A7941" t="s">
        <v>200</v>
      </c>
      <c r="B7941" t="s">
        <v>200</v>
      </c>
      <c r="C7941" t="s">
        <v>200</v>
      </c>
      <c r="D7941" t="s">
        <v>247</v>
      </c>
      <c r="E7941" s="3">
        <v>4.8999999999999998E-3</v>
      </c>
      <c r="F7941" s="3">
        <v>0</v>
      </c>
      <c r="G7941" s="3">
        <v>1.4E-3</v>
      </c>
      <c r="H7941">
        <v>1995</v>
      </c>
      <c r="I7941">
        <v>1995</v>
      </c>
      <c r="J7941">
        <v>1995</v>
      </c>
    </row>
    <row r="7942" spans="1:10">
      <c r="A7942" t="s">
        <v>200</v>
      </c>
      <c r="B7942" t="s">
        <v>200</v>
      </c>
      <c r="C7942" t="s">
        <v>200</v>
      </c>
      <c r="D7942" t="s">
        <v>1643</v>
      </c>
      <c r="E7942" s="3">
        <v>1E-4</v>
      </c>
      <c r="F7942" s="3">
        <v>1.2E-2</v>
      </c>
      <c r="G7942" s="3">
        <v>0.02</v>
      </c>
      <c r="H7942">
        <v>1995</v>
      </c>
      <c r="I7942">
        <v>1995</v>
      </c>
      <c r="J7942">
        <v>1995</v>
      </c>
    </row>
    <row r="7944" spans="1:10" ht="45">
      <c r="A7944" s="22" t="s">
        <v>1648</v>
      </c>
    </row>
    <row r="7945" spans="1:10">
      <c r="A7945" t="s">
        <v>184</v>
      </c>
      <c r="B7945" t="s">
        <v>185</v>
      </c>
      <c r="C7945" t="s">
        <v>186</v>
      </c>
      <c r="D7945" t="s">
        <v>1007</v>
      </c>
      <c r="E7945" t="s">
        <v>1621</v>
      </c>
      <c r="F7945" t="s">
        <v>1622</v>
      </c>
      <c r="G7945" t="s">
        <v>1623</v>
      </c>
      <c r="H7945" t="s">
        <v>1018</v>
      </c>
      <c r="I7945" t="s">
        <v>192</v>
      </c>
      <c r="J7945" t="s">
        <v>193</v>
      </c>
    </row>
    <row r="7946" spans="1:10">
      <c r="A7946" t="s">
        <v>194</v>
      </c>
      <c r="B7946" t="s">
        <v>195</v>
      </c>
      <c r="C7946" t="s">
        <v>207</v>
      </c>
      <c r="D7946" t="s">
        <v>257</v>
      </c>
      <c r="E7946" s="3">
        <v>7.3000000000000001E-3</v>
      </c>
      <c r="F7946" s="3">
        <v>3.78E-2</v>
      </c>
      <c r="G7946" s="3">
        <v>2.93E-2</v>
      </c>
      <c r="H7946">
        <v>249</v>
      </c>
      <c r="I7946">
        <v>265</v>
      </c>
      <c r="J7946">
        <v>1995</v>
      </c>
    </row>
    <row r="7947" spans="1:10">
      <c r="A7947" t="s">
        <v>194</v>
      </c>
      <c r="B7947" t="s">
        <v>195</v>
      </c>
      <c r="C7947" t="s">
        <v>207</v>
      </c>
      <c r="D7947" t="s">
        <v>1638</v>
      </c>
      <c r="E7947" s="3">
        <v>5.1000000000000004E-3</v>
      </c>
      <c r="F7947" s="3">
        <v>7.9799999999999996E-2</v>
      </c>
      <c r="G7947" s="3">
        <v>3.5700000000000003E-2</v>
      </c>
      <c r="H7947">
        <v>249</v>
      </c>
      <c r="I7947">
        <v>265</v>
      </c>
      <c r="J7947">
        <v>1995</v>
      </c>
    </row>
    <row r="7948" spans="1:10">
      <c r="A7948" t="s">
        <v>194</v>
      </c>
      <c r="B7948" t="s">
        <v>195</v>
      </c>
      <c r="C7948" t="s">
        <v>207</v>
      </c>
      <c r="D7948" t="s">
        <v>1639</v>
      </c>
      <c r="E7948" s="3">
        <v>3.0999999999999999E-3</v>
      </c>
      <c r="F7948" s="3">
        <v>6.9099999999999995E-2</v>
      </c>
      <c r="G7948" s="3">
        <v>2.4299999999999999E-2</v>
      </c>
      <c r="H7948">
        <v>249</v>
      </c>
      <c r="I7948">
        <v>265</v>
      </c>
      <c r="J7948">
        <v>1995</v>
      </c>
    </row>
    <row r="7949" spans="1:10">
      <c r="A7949" t="s">
        <v>194</v>
      </c>
      <c r="B7949" t="s">
        <v>195</v>
      </c>
      <c r="C7949" t="s">
        <v>207</v>
      </c>
      <c r="D7949" t="s">
        <v>1625</v>
      </c>
      <c r="E7949" s="3">
        <v>0.111</v>
      </c>
      <c r="F7949" s="3">
        <v>5.6000000000000001E-2</v>
      </c>
      <c r="G7949" s="3">
        <v>7.1099999999999997E-2</v>
      </c>
      <c r="H7949">
        <v>249</v>
      </c>
      <c r="I7949">
        <v>265</v>
      </c>
      <c r="J7949">
        <v>1995</v>
      </c>
    </row>
    <row r="7950" spans="1:10">
      <c r="A7950" t="s">
        <v>194</v>
      </c>
      <c r="B7950" t="s">
        <v>195</v>
      </c>
      <c r="C7950" t="s">
        <v>207</v>
      </c>
      <c r="D7950" t="s">
        <v>1627</v>
      </c>
      <c r="E7950" s="3">
        <v>6.7199999999999996E-2</v>
      </c>
      <c r="F7950" s="3">
        <v>0.10290000000000001</v>
      </c>
      <c r="G7950" s="3">
        <v>0.28549999999999998</v>
      </c>
      <c r="H7950">
        <v>249</v>
      </c>
      <c r="I7950">
        <v>265</v>
      </c>
      <c r="J7950">
        <v>1995</v>
      </c>
    </row>
    <row r="7951" spans="1:10">
      <c r="A7951" t="s">
        <v>194</v>
      </c>
      <c r="B7951" t="s">
        <v>195</v>
      </c>
      <c r="C7951" t="s">
        <v>207</v>
      </c>
      <c r="D7951" t="s">
        <v>1628</v>
      </c>
      <c r="E7951" s="3">
        <v>2.6100000000000002E-2</v>
      </c>
      <c r="F7951" s="3">
        <v>7.1999999999999995E-2</v>
      </c>
      <c r="G7951" s="3">
        <v>5.7299999999999997E-2</v>
      </c>
      <c r="H7951">
        <v>249</v>
      </c>
      <c r="I7951">
        <v>265</v>
      </c>
      <c r="J7951">
        <v>1995</v>
      </c>
    </row>
    <row r="7952" spans="1:10">
      <c r="A7952" t="s">
        <v>194</v>
      </c>
      <c r="B7952" t="s">
        <v>195</v>
      </c>
      <c r="C7952" t="s">
        <v>207</v>
      </c>
      <c r="D7952" t="s">
        <v>1629</v>
      </c>
      <c r="E7952" s="3">
        <v>8.2000000000000007E-3</v>
      </c>
      <c r="F7952" s="3">
        <v>3.2000000000000002E-3</v>
      </c>
      <c r="G7952" s="3">
        <v>8.8999999999999999E-3</v>
      </c>
      <c r="H7952">
        <v>249</v>
      </c>
      <c r="I7952">
        <v>265</v>
      </c>
      <c r="J7952">
        <v>1995</v>
      </c>
    </row>
    <row r="7953" spans="1:10">
      <c r="A7953" t="s">
        <v>194</v>
      </c>
      <c r="B7953" t="s">
        <v>195</v>
      </c>
      <c r="C7953" t="s">
        <v>207</v>
      </c>
      <c r="D7953" t="s">
        <v>1630</v>
      </c>
      <c r="E7953" s="3">
        <v>4.7999999999999996E-3</v>
      </c>
      <c r="F7953" s="3">
        <v>3.1800000000000002E-2</v>
      </c>
      <c r="G7953" s="3">
        <v>3.6900000000000002E-2</v>
      </c>
      <c r="H7953">
        <v>249</v>
      </c>
      <c r="I7953">
        <v>265</v>
      </c>
      <c r="J7953">
        <v>1995</v>
      </c>
    </row>
    <row r="7954" spans="1:10">
      <c r="A7954" t="s">
        <v>194</v>
      </c>
      <c r="B7954" t="s">
        <v>195</v>
      </c>
      <c r="C7954" t="s">
        <v>207</v>
      </c>
      <c r="D7954" t="s">
        <v>1631</v>
      </c>
      <c r="E7954" s="3">
        <v>4.3099999999999999E-2</v>
      </c>
      <c r="F7954" s="3">
        <v>0.1336</v>
      </c>
      <c r="G7954" s="3">
        <v>0.16850000000000001</v>
      </c>
      <c r="H7954">
        <v>249</v>
      </c>
      <c r="I7954">
        <v>265</v>
      </c>
      <c r="J7954">
        <v>1995</v>
      </c>
    </row>
    <row r="7955" spans="1:10">
      <c r="A7955" t="s">
        <v>194</v>
      </c>
      <c r="B7955" t="s">
        <v>195</v>
      </c>
      <c r="C7955" t="s">
        <v>207</v>
      </c>
      <c r="D7955" t="s">
        <v>1641</v>
      </c>
      <c r="E7955" s="3">
        <v>1.1000000000000001E-3</v>
      </c>
      <c r="F7955" s="3">
        <v>1.6000000000000001E-3</v>
      </c>
      <c r="G7955" s="3">
        <v>4.2200000000000001E-2</v>
      </c>
      <c r="H7955">
        <v>249</v>
      </c>
      <c r="I7955">
        <v>265</v>
      </c>
      <c r="J7955">
        <v>1995</v>
      </c>
    </row>
    <row r="7956" spans="1:10">
      <c r="A7956" t="s">
        <v>194</v>
      </c>
      <c r="B7956" t="s">
        <v>195</v>
      </c>
      <c r="C7956" t="s">
        <v>207</v>
      </c>
      <c r="D7956" t="s">
        <v>1632</v>
      </c>
      <c r="E7956" s="3">
        <v>1.8499999999999999E-2</v>
      </c>
      <c r="F7956" s="3">
        <v>4.1799999999999997E-2</v>
      </c>
      <c r="G7956" s="3">
        <v>3.2300000000000002E-2</v>
      </c>
      <c r="H7956">
        <v>249</v>
      </c>
      <c r="I7956">
        <v>265</v>
      </c>
      <c r="J7956">
        <v>1995</v>
      </c>
    </row>
    <row r="7957" spans="1:10">
      <c r="A7957" t="s">
        <v>194</v>
      </c>
      <c r="B7957" t="s">
        <v>195</v>
      </c>
      <c r="C7957" t="s">
        <v>207</v>
      </c>
      <c r="D7957" t="s">
        <v>1634</v>
      </c>
      <c r="E7957" s="3">
        <v>1.1000000000000001E-3</v>
      </c>
      <c r="F7957" s="3">
        <v>2.2200000000000001E-2</v>
      </c>
      <c r="G7957" s="3">
        <v>4.1000000000000002E-2</v>
      </c>
      <c r="H7957">
        <v>249</v>
      </c>
      <c r="I7957">
        <v>265</v>
      </c>
      <c r="J7957">
        <v>1995</v>
      </c>
    </row>
    <row r="7958" spans="1:10">
      <c r="A7958" t="s">
        <v>194</v>
      </c>
      <c r="B7958" t="s">
        <v>195</v>
      </c>
      <c r="C7958" t="s">
        <v>207</v>
      </c>
      <c r="D7958" t="s">
        <v>1636</v>
      </c>
      <c r="E7958" s="3">
        <v>0.496</v>
      </c>
      <c r="F7958" s="3">
        <v>0.23130000000000001</v>
      </c>
      <c r="G7958" s="3">
        <v>6.2300000000000001E-2</v>
      </c>
      <c r="H7958">
        <v>249</v>
      </c>
      <c r="I7958">
        <v>265</v>
      </c>
      <c r="J7958">
        <v>1995</v>
      </c>
    </row>
    <row r="7959" spans="1:10">
      <c r="A7959" t="s">
        <v>194</v>
      </c>
      <c r="B7959" t="s">
        <v>195</v>
      </c>
      <c r="C7959" t="s">
        <v>207</v>
      </c>
      <c r="D7959" t="s">
        <v>1637</v>
      </c>
      <c r="E7959" s="3">
        <v>0.20730000000000001</v>
      </c>
      <c r="F7959" s="3">
        <v>4.8599999999999997E-2</v>
      </c>
      <c r="G7959" s="3">
        <v>2.47E-2</v>
      </c>
      <c r="H7959">
        <v>249</v>
      </c>
      <c r="I7959">
        <v>265</v>
      </c>
      <c r="J7959">
        <v>1995</v>
      </c>
    </row>
    <row r="7960" spans="1:10">
      <c r="A7960" t="s">
        <v>194</v>
      </c>
      <c r="B7960" t="s">
        <v>195</v>
      </c>
      <c r="C7960" t="s">
        <v>209</v>
      </c>
      <c r="D7960" t="s">
        <v>1624</v>
      </c>
      <c r="E7960" s="3">
        <v>3.8E-3</v>
      </c>
      <c r="F7960" s="3">
        <v>1.6E-2</v>
      </c>
      <c r="G7960" s="3">
        <v>2.2599999999999999E-2</v>
      </c>
      <c r="H7960">
        <v>707</v>
      </c>
      <c r="I7960">
        <v>676</v>
      </c>
      <c r="J7960">
        <v>1995</v>
      </c>
    </row>
    <row r="7961" spans="1:10">
      <c r="A7961" t="s">
        <v>194</v>
      </c>
      <c r="B7961" t="s">
        <v>195</v>
      </c>
      <c r="C7961" t="s">
        <v>209</v>
      </c>
      <c r="D7961" t="s">
        <v>257</v>
      </c>
      <c r="E7961" s="3">
        <v>3.3999999999999998E-3</v>
      </c>
      <c r="F7961" s="3">
        <v>2.6100000000000002E-2</v>
      </c>
      <c r="G7961" s="3">
        <v>4.9200000000000001E-2</v>
      </c>
      <c r="H7961">
        <v>707</v>
      </c>
      <c r="I7961">
        <v>676</v>
      </c>
      <c r="J7961">
        <v>1995</v>
      </c>
    </row>
    <row r="7962" spans="1:10">
      <c r="A7962" t="s">
        <v>194</v>
      </c>
      <c r="B7962" t="s">
        <v>195</v>
      </c>
      <c r="C7962" t="s">
        <v>209</v>
      </c>
      <c r="D7962" t="s">
        <v>1638</v>
      </c>
      <c r="E7962" s="3">
        <v>5.1000000000000004E-3</v>
      </c>
      <c r="F7962" s="3">
        <v>6.4000000000000001E-2</v>
      </c>
      <c r="G7962" s="3">
        <v>8.5699999999999998E-2</v>
      </c>
      <c r="H7962">
        <v>707</v>
      </c>
      <c r="I7962">
        <v>676</v>
      </c>
      <c r="J7962">
        <v>1995</v>
      </c>
    </row>
    <row r="7963" spans="1:10">
      <c r="A7963" t="s">
        <v>194</v>
      </c>
      <c r="B7963" t="s">
        <v>195</v>
      </c>
      <c r="C7963" t="s">
        <v>209</v>
      </c>
      <c r="D7963" t="s">
        <v>1639</v>
      </c>
      <c r="E7963" s="3">
        <v>3.0999999999999999E-3</v>
      </c>
      <c r="F7963" s="3">
        <v>1.95E-2</v>
      </c>
      <c r="G7963" s="3">
        <v>1.2E-2</v>
      </c>
      <c r="H7963">
        <v>707</v>
      </c>
      <c r="I7963">
        <v>676</v>
      </c>
      <c r="J7963">
        <v>1995</v>
      </c>
    </row>
    <row r="7964" spans="1:10">
      <c r="A7964" t="s">
        <v>194</v>
      </c>
      <c r="B7964" t="s">
        <v>195</v>
      </c>
      <c r="C7964" t="s">
        <v>209</v>
      </c>
      <c r="D7964" t="s">
        <v>1625</v>
      </c>
      <c r="E7964" s="3">
        <v>5.96E-2</v>
      </c>
      <c r="F7964" s="3">
        <v>8.2799999999999999E-2</v>
      </c>
      <c r="G7964" s="3">
        <v>5.9400000000000001E-2</v>
      </c>
      <c r="H7964">
        <v>707</v>
      </c>
      <c r="I7964">
        <v>676</v>
      </c>
      <c r="J7964">
        <v>1995</v>
      </c>
    </row>
    <row r="7965" spans="1:10">
      <c r="A7965" t="s">
        <v>194</v>
      </c>
      <c r="B7965" t="s">
        <v>195</v>
      </c>
      <c r="C7965" t="s">
        <v>209</v>
      </c>
      <c r="D7965" t="s">
        <v>1626</v>
      </c>
      <c r="E7965" s="3">
        <v>5.0000000000000001E-4</v>
      </c>
      <c r="F7965" s="3">
        <v>4.3E-3</v>
      </c>
      <c r="G7965" s="3">
        <v>3.5999999999999999E-3</v>
      </c>
      <c r="H7965">
        <v>707</v>
      </c>
      <c r="I7965">
        <v>676</v>
      </c>
      <c r="J7965">
        <v>1995</v>
      </c>
    </row>
    <row r="7966" spans="1:10">
      <c r="A7966" t="s">
        <v>194</v>
      </c>
      <c r="B7966" t="s">
        <v>195</v>
      </c>
      <c r="C7966" t="s">
        <v>209</v>
      </c>
      <c r="D7966" t="s">
        <v>1627</v>
      </c>
      <c r="E7966" s="3">
        <v>4.6800000000000001E-2</v>
      </c>
      <c r="F7966" s="3">
        <v>0.10440000000000001</v>
      </c>
      <c r="G7966" s="3">
        <v>0.11890000000000001</v>
      </c>
      <c r="H7966">
        <v>707</v>
      </c>
      <c r="I7966">
        <v>676</v>
      </c>
      <c r="J7966">
        <v>1995</v>
      </c>
    </row>
    <row r="7967" spans="1:10">
      <c r="A7967" t="s">
        <v>194</v>
      </c>
      <c r="B7967" t="s">
        <v>195</v>
      </c>
      <c r="C7967" t="s">
        <v>209</v>
      </c>
      <c r="D7967" t="s">
        <v>1628</v>
      </c>
      <c r="E7967" s="3">
        <v>1.5900000000000001E-2</v>
      </c>
      <c r="F7967" s="3">
        <v>3.73E-2</v>
      </c>
      <c r="G7967" s="3">
        <v>4.65E-2</v>
      </c>
      <c r="H7967">
        <v>707</v>
      </c>
      <c r="I7967">
        <v>676</v>
      </c>
      <c r="J7967">
        <v>1995</v>
      </c>
    </row>
    <row r="7968" spans="1:10">
      <c r="A7968" t="s">
        <v>194</v>
      </c>
      <c r="B7968" t="s">
        <v>195</v>
      </c>
      <c r="C7968" t="s">
        <v>209</v>
      </c>
      <c r="D7968" t="s">
        <v>1629</v>
      </c>
      <c r="E7968" s="3">
        <v>5.1999999999999998E-3</v>
      </c>
      <c r="F7968" s="3">
        <v>3.0000000000000001E-3</v>
      </c>
      <c r="G7968" s="3">
        <v>6.4999999999999997E-3</v>
      </c>
      <c r="H7968">
        <v>707</v>
      </c>
      <c r="I7968">
        <v>676</v>
      </c>
      <c r="J7968">
        <v>1995</v>
      </c>
    </row>
    <row r="7969" spans="1:10">
      <c r="A7969" t="s">
        <v>194</v>
      </c>
      <c r="B7969" t="s">
        <v>195</v>
      </c>
      <c r="C7969" t="s">
        <v>209</v>
      </c>
      <c r="D7969" t="s">
        <v>1640</v>
      </c>
      <c r="E7969" s="3">
        <v>3.2000000000000002E-3</v>
      </c>
      <c r="F7969" s="3">
        <v>4.5999999999999999E-3</v>
      </c>
      <c r="G7969" s="3">
        <v>4.0000000000000001E-3</v>
      </c>
      <c r="H7969">
        <v>707</v>
      </c>
      <c r="I7969">
        <v>676</v>
      </c>
      <c r="J7969">
        <v>1995</v>
      </c>
    </row>
    <row r="7970" spans="1:10">
      <c r="A7970" t="s">
        <v>194</v>
      </c>
      <c r="B7970" t="s">
        <v>195</v>
      </c>
      <c r="C7970" t="s">
        <v>209</v>
      </c>
      <c r="D7970" t="s">
        <v>1630</v>
      </c>
      <c r="E7970" s="3">
        <v>1.14E-2</v>
      </c>
      <c r="F7970" s="3">
        <v>2.3400000000000001E-2</v>
      </c>
      <c r="G7970" s="3">
        <v>1.15E-2</v>
      </c>
      <c r="H7970">
        <v>707</v>
      </c>
      <c r="I7970">
        <v>676</v>
      </c>
      <c r="J7970">
        <v>1995</v>
      </c>
    </row>
    <row r="7971" spans="1:10">
      <c r="A7971" t="s">
        <v>194</v>
      </c>
      <c r="B7971" t="s">
        <v>195</v>
      </c>
      <c r="C7971" t="s">
        <v>209</v>
      </c>
      <c r="D7971" t="s">
        <v>1631</v>
      </c>
      <c r="E7971" s="3">
        <v>3.7999999999999999E-2</v>
      </c>
      <c r="F7971" s="3">
        <v>0.16869999999999999</v>
      </c>
      <c r="G7971" s="3">
        <v>0.1095</v>
      </c>
      <c r="H7971">
        <v>707</v>
      </c>
      <c r="I7971">
        <v>676</v>
      </c>
      <c r="J7971">
        <v>1995</v>
      </c>
    </row>
    <row r="7972" spans="1:10">
      <c r="A7972" t="s">
        <v>194</v>
      </c>
      <c r="B7972" t="s">
        <v>195</v>
      </c>
      <c r="C7972" t="s">
        <v>209</v>
      </c>
      <c r="D7972" t="s">
        <v>1641</v>
      </c>
      <c r="E7972" s="3">
        <v>5.1999999999999998E-3</v>
      </c>
      <c r="F7972" s="3">
        <v>1.0999999999999999E-2</v>
      </c>
      <c r="G7972" s="3">
        <v>3.1E-2</v>
      </c>
      <c r="H7972">
        <v>707</v>
      </c>
      <c r="I7972">
        <v>676</v>
      </c>
      <c r="J7972">
        <v>1995</v>
      </c>
    </row>
    <row r="7973" spans="1:10">
      <c r="A7973" t="s">
        <v>194</v>
      </c>
      <c r="B7973" t="s">
        <v>195</v>
      </c>
      <c r="C7973" t="s">
        <v>209</v>
      </c>
      <c r="D7973" t="s">
        <v>1632</v>
      </c>
      <c r="E7973" s="3">
        <v>2.1499999999999998E-2</v>
      </c>
      <c r="F7973" s="3">
        <v>5.8200000000000002E-2</v>
      </c>
      <c r="G7973" s="3">
        <v>0.12809999999999999</v>
      </c>
      <c r="H7973">
        <v>707</v>
      </c>
      <c r="I7973">
        <v>676</v>
      </c>
      <c r="J7973">
        <v>1995</v>
      </c>
    </row>
    <row r="7974" spans="1:10">
      <c r="A7974" t="s">
        <v>194</v>
      </c>
      <c r="B7974" t="s">
        <v>195</v>
      </c>
      <c r="C7974" t="s">
        <v>209</v>
      </c>
      <c r="D7974" t="s">
        <v>1633</v>
      </c>
      <c r="E7974" s="3">
        <v>8.6999999999999994E-3</v>
      </c>
      <c r="F7974" s="3">
        <v>2.9999999999999997E-4</v>
      </c>
      <c r="G7974" s="3">
        <v>1.6899999999999998E-2</v>
      </c>
      <c r="H7974">
        <v>707</v>
      </c>
      <c r="I7974">
        <v>676</v>
      </c>
      <c r="J7974">
        <v>1995</v>
      </c>
    </row>
    <row r="7975" spans="1:10">
      <c r="A7975" t="s">
        <v>194</v>
      </c>
      <c r="B7975" t="s">
        <v>195</v>
      </c>
      <c r="C7975" t="s">
        <v>209</v>
      </c>
      <c r="D7975" t="s">
        <v>1634</v>
      </c>
      <c r="E7975" s="3">
        <v>9.7999999999999997E-3</v>
      </c>
      <c r="F7975" s="3">
        <v>2.41E-2</v>
      </c>
      <c r="G7975" s="3">
        <v>2.69E-2</v>
      </c>
      <c r="H7975">
        <v>707</v>
      </c>
      <c r="I7975">
        <v>676</v>
      </c>
      <c r="J7975">
        <v>1995</v>
      </c>
    </row>
    <row r="7976" spans="1:10">
      <c r="A7976" t="s">
        <v>194</v>
      </c>
      <c r="B7976" t="s">
        <v>195</v>
      </c>
      <c r="C7976" t="s">
        <v>209</v>
      </c>
      <c r="D7976" t="s">
        <v>1642</v>
      </c>
      <c r="E7976" s="3">
        <v>2.5999999999999999E-3</v>
      </c>
      <c r="G7976" s="3">
        <v>6.0000000000000001E-3</v>
      </c>
      <c r="H7976">
        <v>707</v>
      </c>
      <c r="I7976">
        <v>676</v>
      </c>
      <c r="J7976">
        <v>1995</v>
      </c>
    </row>
    <row r="7977" spans="1:10">
      <c r="A7977" t="s">
        <v>194</v>
      </c>
      <c r="B7977" t="s">
        <v>195</v>
      </c>
      <c r="C7977" t="s">
        <v>209</v>
      </c>
      <c r="D7977" t="s">
        <v>1635</v>
      </c>
      <c r="E7977" s="3">
        <v>1.26E-2</v>
      </c>
      <c r="F7977" s="3">
        <v>1.4200000000000001E-2</v>
      </c>
      <c r="G7977" s="3">
        <v>4.8300000000000003E-2</v>
      </c>
      <c r="H7977">
        <v>707</v>
      </c>
      <c r="I7977">
        <v>676</v>
      </c>
      <c r="J7977">
        <v>1995</v>
      </c>
    </row>
    <row r="7978" spans="1:10">
      <c r="A7978" t="s">
        <v>194</v>
      </c>
      <c r="B7978" t="s">
        <v>195</v>
      </c>
      <c r="C7978" t="s">
        <v>209</v>
      </c>
      <c r="D7978" t="s">
        <v>1636</v>
      </c>
      <c r="E7978" s="3">
        <v>0.46439999999999998</v>
      </c>
      <c r="F7978" s="3">
        <v>0.18820000000000001</v>
      </c>
      <c r="G7978" s="3">
        <v>0.11799999999999999</v>
      </c>
      <c r="H7978">
        <v>707</v>
      </c>
      <c r="I7978">
        <v>676</v>
      </c>
      <c r="J7978">
        <v>1995</v>
      </c>
    </row>
    <row r="7979" spans="1:10">
      <c r="A7979" t="s">
        <v>194</v>
      </c>
      <c r="B7979" t="s">
        <v>195</v>
      </c>
      <c r="C7979" t="s">
        <v>209</v>
      </c>
      <c r="D7979" t="s">
        <v>1637</v>
      </c>
      <c r="E7979" s="3">
        <v>0.26440000000000002</v>
      </c>
      <c r="F7979" s="3">
        <v>0.1353</v>
      </c>
      <c r="G7979" s="3">
        <v>4.5499999999999999E-2</v>
      </c>
      <c r="H7979">
        <v>707</v>
      </c>
      <c r="I7979">
        <v>676</v>
      </c>
      <c r="J7979">
        <v>1995</v>
      </c>
    </row>
    <row r="7980" spans="1:10">
      <c r="A7980" t="s">
        <v>194</v>
      </c>
      <c r="B7980" t="s">
        <v>195</v>
      </c>
      <c r="C7980" t="s">
        <v>209</v>
      </c>
      <c r="D7980" t="s">
        <v>274</v>
      </c>
      <c r="E7980" s="3">
        <v>1.6000000000000001E-3</v>
      </c>
      <c r="F7980" s="3">
        <v>4.1000000000000003E-3</v>
      </c>
      <c r="G7980" s="3">
        <v>1.23E-2</v>
      </c>
      <c r="H7980">
        <v>707</v>
      </c>
      <c r="I7980">
        <v>676</v>
      </c>
      <c r="J7980">
        <v>1995</v>
      </c>
    </row>
    <row r="7981" spans="1:10">
      <c r="A7981" t="s">
        <v>194</v>
      </c>
      <c r="B7981" t="s">
        <v>195</v>
      </c>
      <c r="C7981" t="s">
        <v>209</v>
      </c>
      <c r="D7981" t="s">
        <v>247</v>
      </c>
      <c r="E7981" s="3">
        <v>1.2999999999999999E-2</v>
      </c>
      <c r="F7981" s="3">
        <v>1E-4</v>
      </c>
      <c r="G7981" s="3">
        <v>2.3E-3</v>
      </c>
      <c r="H7981">
        <v>707</v>
      </c>
      <c r="I7981">
        <v>676</v>
      </c>
      <c r="J7981">
        <v>1995</v>
      </c>
    </row>
    <row r="7982" spans="1:10">
      <c r="A7982" t="s">
        <v>194</v>
      </c>
      <c r="B7982" t="s">
        <v>199</v>
      </c>
      <c r="C7982" t="s">
        <v>207</v>
      </c>
      <c r="D7982" t="s">
        <v>1624</v>
      </c>
      <c r="E7982" s="3">
        <v>1.06E-2</v>
      </c>
      <c r="F7982" s="3">
        <v>1.6000000000000001E-3</v>
      </c>
      <c r="G7982" s="3">
        <v>5.5999999999999999E-3</v>
      </c>
      <c r="H7982">
        <v>151</v>
      </c>
      <c r="I7982">
        <v>238</v>
      </c>
      <c r="J7982">
        <v>1995</v>
      </c>
    </row>
    <row r="7983" spans="1:10">
      <c r="A7983" t="s">
        <v>194</v>
      </c>
      <c r="B7983" t="s">
        <v>199</v>
      </c>
      <c r="C7983" t="s">
        <v>207</v>
      </c>
      <c r="D7983" t="s">
        <v>257</v>
      </c>
      <c r="E7983" s="3">
        <v>6.3E-3</v>
      </c>
      <c r="F7983" s="3">
        <v>1.38E-2</v>
      </c>
      <c r="G7983" s="3">
        <v>0.1012</v>
      </c>
      <c r="H7983">
        <v>151</v>
      </c>
      <c r="I7983">
        <v>238</v>
      </c>
      <c r="J7983">
        <v>1995</v>
      </c>
    </row>
    <row r="7984" spans="1:10">
      <c r="A7984" t="s">
        <v>194</v>
      </c>
      <c r="B7984" t="s">
        <v>199</v>
      </c>
      <c r="C7984" t="s">
        <v>207</v>
      </c>
      <c r="D7984" t="s">
        <v>1638</v>
      </c>
      <c r="E7984" s="3">
        <v>5.1999999999999998E-3</v>
      </c>
      <c r="F7984" s="3">
        <v>6.4399999999999999E-2</v>
      </c>
      <c r="G7984" s="3">
        <v>2.8299999999999999E-2</v>
      </c>
      <c r="H7984">
        <v>151</v>
      </c>
      <c r="I7984">
        <v>238</v>
      </c>
      <c r="J7984">
        <v>1995</v>
      </c>
    </row>
    <row r="7985" spans="1:10">
      <c r="A7985" t="s">
        <v>194</v>
      </c>
      <c r="B7985" t="s">
        <v>199</v>
      </c>
      <c r="C7985" t="s">
        <v>207</v>
      </c>
      <c r="D7985" t="s">
        <v>1639</v>
      </c>
      <c r="E7985" s="3">
        <v>3.3999999999999998E-3</v>
      </c>
      <c r="F7985" s="3">
        <v>3.7199999999999997E-2</v>
      </c>
      <c r="G7985" s="3">
        <v>6.4000000000000003E-3</v>
      </c>
      <c r="H7985">
        <v>151</v>
      </c>
      <c r="I7985">
        <v>238</v>
      </c>
      <c r="J7985">
        <v>1995</v>
      </c>
    </row>
    <row r="7986" spans="1:10">
      <c r="A7986" t="s">
        <v>194</v>
      </c>
      <c r="B7986" t="s">
        <v>199</v>
      </c>
      <c r="C7986" t="s">
        <v>207</v>
      </c>
      <c r="D7986" t="s">
        <v>1625</v>
      </c>
      <c r="E7986" s="3">
        <v>9.4999999999999998E-3</v>
      </c>
      <c r="F7986" s="3">
        <v>1.6199999999999999E-2</v>
      </c>
      <c r="G7986" s="3">
        <v>2.3099999999999999E-2</v>
      </c>
      <c r="H7986">
        <v>151</v>
      </c>
      <c r="I7986">
        <v>238</v>
      </c>
      <c r="J7986">
        <v>1995</v>
      </c>
    </row>
    <row r="7987" spans="1:10">
      <c r="A7987" t="s">
        <v>194</v>
      </c>
      <c r="B7987" t="s">
        <v>199</v>
      </c>
      <c r="C7987" t="s">
        <v>207</v>
      </c>
      <c r="D7987" t="s">
        <v>1626</v>
      </c>
      <c r="E7987" s="3">
        <v>2.0000000000000001E-4</v>
      </c>
      <c r="H7987">
        <v>151</v>
      </c>
      <c r="I7987">
        <v>238</v>
      </c>
      <c r="J7987">
        <v>1995</v>
      </c>
    </row>
    <row r="7988" spans="1:10">
      <c r="A7988" t="s">
        <v>194</v>
      </c>
      <c r="B7988" t="s">
        <v>199</v>
      </c>
      <c r="C7988" t="s">
        <v>207</v>
      </c>
      <c r="D7988" t="s">
        <v>1627</v>
      </c>
      <c r="E7988" s="3">
        <v>8.7599999999999997E-2</v>
      </c>
      <c r="F7988" s="3">
        <v>0.1142</v>
      </c>
      <c r="G7988" s="3">
        <v>0.20480000000000001</v>
      </c>
      <c r="H7988">
        <v>151</v>
      </c>
      <c r="I7988">
        <v>238</v>
      </c>
      <c r="J7988">
        <v>1995</v>
      </c>
    </row>
    <row r="7989" spans="1:10">
      <c r="A7989" t="s">
        <v>194</v>
      </c>
      <c r="B7989" t="s">
        <v>199</v>
      </c>
      <c r="C7989" t="s">
        <v>207</v>
      </c>
      <c r="D7989" t="s">
        <v>1628</v>
      </c>
      <c r="E7989" s="3">
        <v>0.01</v>
      </c>
      <c r="F7989" s="3">
        <v>0.21460000000000001</v>
      </c>
      <c r="G7989" s="3">
        <v>0.14050000000000001</v>
      </c>
      <c r="H7989">
        <v>151</v>
      </c>
      <c r="I7989">
        <v>238</v>
      </c>
      <c r="J7989">
        <v>1995</v>
      </c>
    </row>
    <row r="7990" spans="1:10">
      <c r="A7990" t="s">
        <v>194</v>
      </c>
      <c r="B7990" t="s">
        <v>199</v>
      </c>
      <c r="C7990" t="s">
        <v>207</v>
      </c>
      <c r="D7990" t="s">
        <v>1629</v>
      </c>
      <c r="E7990" s="3">
        <v>4.1000000000000003E-3</v>
      </c>
      <c r="F7990" s="3">
        <v>1.0200000000000001E-2</v>
      </c>
      <c r="G7990" s="3">
        <v>2.5499999999999998E-2</v>
      </c>
      <c r="H7990">
        <v>151</v>
      </c>
      <c r="I7990">
        <v>238</v>
      </c>
      <c r="J7990">
        <v>1995</v>
      </c>
    </row>
    <row r="7991" spans="1:10">
      <c r="A7991" t="s">
        <v>194</v>
      </c>
      <c r="B7991" t="s">
        <v>199</v>
      </c>
      <c r="C7991" t="s">
        <v>207</v>
      </c>
      <c r="D7991" t="s">
        <v>1640</v>
      </c>
      <c r="E7991" s="3">
        <v>2.7000000000000001E-3</v>
      </c>
      <c r="F7991" s="3">
        <v>1.6000000000000001E-3</v>
      </c>
      <c r="G7991" s="3">
        <v>5.0000000000000001E-3</v>
      </c>
      <c r="H7991">
        <v>151</v>
      </c>
      <c r="I7991">
        <v>238</v>
      </c>
      <c r="J7991">
        <v>1995</v>
      </c>
    </row>
    <row r="7992" spans="1:10">
      <c r="A7992" t="s">
        <v>194</v>
      </c>
      <c r="B7992" t="s">
        <v>199</v>
      </c>
      <c r="C7992" t="s">
        <v>207</v>
      </c>
      <c r="D7992" t="s">
        <v>1630</v>
      </c>
      <c r="E7992" s="3">
        <v>1.1000000000000001E-3</v>
      </c>
      <c r="F7992" s="3">
        <v>1.7299999999999999E-2</v>
      </c>
      <c r="G7992" s="3">
        <v>2.9999999999999997E-4</v>
      </c>
      <c r="H7992">
        <v>151</v>
      </c>
      <c r="I7992">
        <v>238</v>
      </c>
      <c r="J7992">
        <v>1995</v>
      </c>
    </row>
    <row r="7993" spans="1:10">
      <c r="A7993" t="s">
        <v>194</v>
      </c>
      <c r="B7993" t="s">
        <v>199</v>
      </c>
      <c r="C7993" t="s">
        <v>207</v>
      </c>
      <c r="D7993" t="s">
        <v>1631</v>
      </c>
      <c r="E7993" s="3">
        <v>9.9000000000000008E-3</v>
      </c>
      <c r="F7993" s="3">
        <v>6.54E-2</v>
      </c>
      <c r="G7993" s="3">
        <v>6.8500000000000005E-2</v>
      </c>
      <c r="H7993">
        <v>151</v>
      </c>
      <c r="I7993">
        <v>238</v>
      </c>
      <c r="J7993">
        <v>1995</v>
      </c>
    </row>
    <row r="7994" spans="1:10">
      <c r="A7994" t="s">
        <v>194</v>
      </c>
      <c r="B7994" t="s">
        <v>199</v>
      </c>
      <c r="C7994" t="s">
        <v>207</v>
      </c>
      <c r="D7994" t="s">
        <v>1641</v>
      </c>
      <c r="E7994" s="3">
        <v>1.1000000000000001E-3</v>
      </c>
      <c r="F7994" s="3">
        <v>3.0000000000000001E-3</v>
      </c>
      <c r="G7994" s="3">
        <v>2.6499999999999999E-2</v>
      </c>
      <c r="H7994">
        <v>151</v>
      </c>
      <c r="I7994">
        <v>238</v>
      </c>
      <c r="J7994">
        <v>1995</v>
      </c>
    </row>
    <row r="7995" spans="1:10">
      <c r="A7995" t="s">
        <v>194</v>
      </c>
      <c r="B7995" t="s">
        <v>199</v>
      </c>
      <c r="C7995" t="s">
        <v>207</v>
      </c>
      <c r="D7995" t="s">
        <v>1632</v>
      </c>
      <c r="E7995" s="3">
        <v>3.5999999999999999E-3</v>
      </c>
      <c r="F7995" s="3">
        <v>3.2599999999999997E-2</v>
      </c>
      <c r="G7995" s="3">
        <v>0.1386</v>
      </c>
      <c r="H7995">
        <v>151</v>
      </c>
      <c r="I7995">
        <v>238</v>
      </c>
      <c r="J7995">
        <v>1995</v>
      </c>
    </row>
    <row r="7996" spans="1:10">
      <c r="A7996" t="s">
        <v>194</v>
      </c>
      <c r="B7996" t="s">
        <v>199</v>
      </c>
      <c r="C7996" t="s">
        <v>207</v>
      </c>
      <c r="D7996" t="s">
        <v>1635</v>
      </c>
      <c r="E7996" s="3">
        <v>1.8E-3</v>
      </c>
      <c r="F7996" s="3">
        <v>1.55E-2</v>
      </c>
      <c r="G7996" s="3">
        <v>4.0899999999999999E-2</v>
      </c>
      <c r="H7996">
        <v>151</v>
      </c>
      <c r="I7996">
        <v>238</v>
      </c>
      <c r="J7996">
        <v>1995</v>
      </c>
    </row>
    <row r="7997" spans="1:10">
      <c r="A7997" t="s">
        <v>194</v>
      </c>
      <c r="B7997" t="s">
        <v>199</v>
      </c>
      <c r="C7997" t="s">
        <v>207</v>
      </c>
      <c r="D7997" t="s">
        <v>1636</v>
      </c>
      <c r="E7997" s="3">
        <v>0.46949999999999997</v>
      </c>
      <c r="F7997" s="3">
        <v>0.2482</v>
      </c>
      <c r="G7997" s="3">
        <v>4.9000000000000002E-2</v>
      </c>
      <c r="H7997">
        <v>151</v>
      </c>
      <c r="I7997">
        <v>238</v>
      </c>
      <c r="J7997">
        <v>1995</v>
      </c>
    </row>
    <row r="7998" spans="1:10">
      <c r="A7998" t="s">
        <v>194</v>
      </c>
      <c r="B7998" t="s">
        <v>199</v>
      </c>
      <c r="C7998" t="s">
        <v>207</v>
      </c>
      <c r="D7998" t="s">
        <v>1637</v>
      </c>
      <c r="E7998" s="3">
        <v>0.37219999999999998</v>
      </c>
      <c r="F7998" s="3">
        <v>0.1104</v>
      </c>
      <c r="G7998" s="3">
        <v>9.2999999999999999E-2</v>
      </c>
      <c r="H7998">
        <v>151</v>
      </c>
      <c r="I7998">
        <v>238</v>
      </c>
      <c r="J7998">
        <v>1995</v>
      </c>
    </row>
    <row r="7999" spans="1:10">
      <c r="A7999" t="s">
        <v>194</v>
      </c>
      <c r="B7999" t="s">
        <v>199</v>
      </c>
      <c r="C7999" t="s">
        <v>207</v>
      </c>
      <c r="D7999" t="s">
        <v>274</v>
      </c>
      <c r="E7999" s="3">
        <v>1.1000000000000001E-3</v>
      </c>
      <c r="F7999" s="3">
        <v>7.0000000000000001E-3</v>
      </c>
      <c r="G7999" s="3">
        <v>7.4999999999999997E-3</v>
      </c>
      <c r="H7999">
        <v>151</v>
      </c>
      <c r="I7999">
        <v>238</v>
      </c>
      <c r="J7999">
        <v>1995</v>
      </c>
    </row>
    <row r="8000" spans="1:10">
      <c r="A8000" t="s">
        <v>194</v>
      </c>
      <c r="B8000" t="s">
        <v>199</v>
      </c>
      <c r="C8000" t="s">
        <v>209</v>
      </c>
      <c r="D8000" t="s">
        <v>1624</v>
      </c>
      <c r="E8000" s="3">
        <v>5.4000000000000003E-3</v>
      </c>
      <c r="F8000" s="3">
        <v>2.0400000000000001E-2</v>
      </c>
      <c r="G8000" s="3">
        <v>4.2799999999999998E-2</v>
      </c>
      <c r="H8000">
        <v>803</v>
      </c>
      <c r="I8000">
        <v>816</v>
      </c>
      <c r="J8000">
        <v>1995</v>
      </c>
    </row>
    <row r="8001" spans="1:10">
      <c r="A8001" t="s">
        <v>194</v>
      </c>
      <c r="B8001" t="s">
        <v>199</v>
      </c>
      <c r="C8001" t="s">
        <v>209</v>
      </c>
      <c r="D8001" t="s">
        <v>257</v>
      </c>
      <c r="E8001" s="3">
        <v>9.9000000000000008E-3</v>
      </c>
      <c r="F8001" s="3">
        <v>6.54E-2</v>
      </c>
      <c r="G8001" s="3">
        <v>0.1065</v>
      </c>
      <c r="H8001">
        <v>803</v>
      </c>
      <c r="I8001">
        <v>816</v>
      </c>
      <c r="J8001">
        <v>1995</v>
      </c>
    </row>
    <row r="8002" spans="1:10">
      <c r="A8002" t="s">
        <v>194</v>
      </c>
      <c r="B8002" t="s">
        <v>199</v>
      </c>
      <c r="C8002" t="s">
        <v>209</v>
      </c>
      <c r="D8002" t="s">
        <v>1638</v>
      </c>
      <c r="E8002" s="3">
        <v>2.86E-2</v>
      </c>
      <c r="F8002" s="3">
        <v>8.7400000000000005E-2</v>
      </c>
      <c r="G8002" s="3">
        <v>0.19209999999999999</v>
      </c>
      <c r="H8002">
        <v>803</v>
      </c>
      <c r="I8002">
        <v>816</v>
      </c>
      <c r="J8002">
        <v>1995</v>
      </c>
    </row>
    <row r="8003" spans="1:10">
      <c r="A8003" t="s">
        <v>194</v>
      </c>
      <c r="B8003" t="s">
        <v>199</v>
      </c>
      <c r="C8003" t="s">
        <v>209</v>
      </c>
      <c r="D8003" t="s">
        <v>1639</v>
      </c>
      <c r="E8003" s="3">
        <v>7.0000000000000001E-3</v>
      </c>
      <c r="F8003" s="3">
        <v>9.7999999999999997E-3</v>
      </c>
      <c r="G8003" s="3">
        <v>3.4000000000000002E-2</v>
      </c>
      <c r="H8003">
        <v>803</v>
      </c>
      <c r="I8003">
        <v>816</v>
      </c>
      <c r="J8003">
        <v>1995</v>
      </c>
    </row>
    <row r="8004" spans="1:10">
      <c r="A8004" t="s">
        <v>194</v>
      </c>
      <c r="B8004" t="s">
        <v>199</v>
      </c>
      <c r="C8004" t="s">
        <v>209</v>
      </c>
      <c r="D8004" t="s">
        <v>1625</v>
      </c>
      <c r="E8004" s="3">
        <v>1.2800000000000001E-2</v>
      </c>
      <c r="F8004" s="3">
        <v>4.5999999999999999E-3</v>
      </c>
      <c r="G8004" s="3">
        <v>2.6499999999999999E-2</v>
      </c>
      <c r="H8004">
        <v>803</v>
      </c>
      <c r="I8004">
        <v>816</v>
      </c>
      <c r="J8004">
        <v>1995</v>
      </c>
    </row>
    <row r="8005" spans="1:10">
      <c r="A8005" t="s">
        <v>194</v>
      </c>
      <c r="B8005" t="s">
        <v>199</v>
      </c>
      <c r="C8005" t="s">
        <v>209</v>
      </c>
      <c r="D8005" t="s">
        <v>1626</v>
      </c>
      <c r="E8005" s="3">
        <v>5.0000000000000001E-4</v>
      </c>
      <c r="F8005" s="3">
        <v>1E-3</v>
      </c>
      <c r="G8005" s="3">
        <v>2.8000000000000001E-2</v>
      </c>
      <c r="H8005">
        <v>803</v>
      </c>
      <c r="I8005">
        <v>816</v>
      </c>
      <c r="J8005">
        <v>1995</v>
      </c>
    </row>
    <row r="8006" spans="1:10">
      <c r="A8006" t="s">
        <v>194</v>
      </c>
      <c r="B8006" t="s">
        <v>199</v>
      </c>
      <c r="C8006" t="s">
        <v>209</v>
      </c>
      <c r="D8006" t="s">
        <v>1627</v>
      </c>
      <c r="E8006" s="3">
        <v>3.3700000000000001E-2</v>
      </c>
      <c r="F8006" s="3">
        <v>7.5200000000000003E-2</v>
      </c>
      <c r="G8006" s="3">
        <v>8.1000000000000003E-2</v>
      </c>
      <c r="H8006">
        <v>803</v>
      </c>
      <c r="I8006">
        <v>816</v>
      </c>
      <c r="J8006">
        <v>1995</v>
      </c>
    </row>
    <row r="8007" spans="1:10">
      <c r="A8007" t="s">
        <v>194</v>
      </c>
      <c r="B8007" t="s">
        <v>199</v>
      </c>
      <c r="C8007" t="s">
        <v>209</v>
      </c>
      <c r="D8007" t="s">
        <v>1644</v>
      </c>
      <c r="E8007" s="3">
        <v>4.0000000000000002E-4</v>
      </c>
      <c r="G8007" s="3">
        <v>2.2000000000000001E-3</v>
      </c>
      <c r="H8007">
        <v>803</v>
      </c>
      <c r="I8007">
        <v>816</v>
      </c>
      <c r="J8007">
        <v>1995</v>
      </c>
    </row>
    <row r="8008" spans="1:10">
      <c r="A8008" t="s">
        <v>194</v>
      </c>
      <c r="B8008" t="s">
        <v>199</v>
      </c>
      <c r="C8008" t="s">
        <v>209</v>
      </c>
      <c r="D8008" t="s">
        <v>1628</v>
      </c>
      <c r="E8008" s="3">
        <v>5.33E-2</v>
      </c>
      <c r="F8008" s="3">
        <v>0.1091</v>
      </c>
      <c r="G8008" s="3">
        <v>9.0499999999999997E-2</v>
      </c>
      <c r="H8008">
        <v>803</v>
      </c>
      <c r="I8008">
        <v>816</v>
      </c>
      <c r="J8008">
        <v>1995</v>
      </c>
    </row>
    <row r="8009" spans="1:10">
      <c r="A8009" t="s">
        <v>194</v>
      </c>
      <c r="B8009" t="s">
        <v>199</v>
      </c>
      <c r="C8009" t="s">
        <v>209</v>
      </c>
      <c r="D8009" t="s">
        <v>1629</v>
      </c>
      <c r="E8009" s="3">
        <v>6.4999999999999997E-3</v>
      </c>
      <c r="F8009" s="3">
        <v>2.9100000000000001E-2</v>
      </c>
      <c r="G8009" s="3">
        <v>1.8499999999999999E-2</v>
      </c>
      <c r="H8009">
        <v>803</v>
      </c>
      <c r="I8009">
        <v>816</v>
      </c>
      <c r="J8009">
        <v>1995</v>
      </c>
    </row>
    <row r="8010" spans="1:10">
      <c r="A8010" t="s">
        <v>194</v>
      </c>
      <c r="B8010" t="s">
        <v>199</v>
      </c>
      <c r="C8010" t="s">
        <v>209</v>
      </c>
      <c r="D8010" t="s">
        <v>1640</v>
      </c>
      <c r="E8010" s="3">
        <v>1.9E-3</v>
      </c>
      <c r="F8010" s="3">
        <v>1.6E-2</v>
      </c>
      <c r="G8010" s="3">
        <v>1.4999999999999999E-2</v>
      </c>
      <c r="H8010">
        <v>803</v>
      </c>
      <c r="I8010">
        <v>816</v>
      </c>
      <c r="J8010">
        <v>1995</v>
      </c>
    </row>
    <row r="8011" spans="1:10">
      <c r="A8011" t="s">
        <v>194</v>
      </c>
      <c r="B8011" t="s">
        <v>199</v>
      </c>
      <c r="C8011" t="s">
        <v>209</v>
      </c>
      <c r="D8011" t="s">
        <v>1630</v>
      </c>
      <c r="E8011" s="3">
        <v>6.4000000000000003E-3</v>
      </c>
      <c r="F8011" s="3">
        <v>1.77E-2</v>
      </c>
      <c r="G8011" s="3">
        <v>1.03E-2</v>
      </c>
      <c r="H8011">
        <v>803</v>
      </c>
      <c r="I8011">
        <v>816</v>
      </c>
      <c r="J8011">
        <v>1995</v>
      </c>
    </row>
    <row r="8012" spans="1:10">
      <c r="A8012" t="s">
        <v>194</v>
      </c>
      <c r="B8012" t="s">
        <v>199</v>
      </c>
      <c r="C8012" t="s">
        <v>209</v>
      </c>
      <c r="D8012" t="s">
        <v>1631</v>
      </c>
      <c r="E8012" s="3">
        <v>8.2000000000000007E-3</v>
      </c>
      <c r="F8012" s="3">
        <v>5.7000000000000002E-2</v>
      </c>
      <c r="G8012" s="3">
        <v>0.1133</v>
      </c>
      <c r="H8012">
        <v>803</v>
      </c>
      <c r="I8012">
        <v>816</v>
      </c>
      <c r="J8012">
        <v>1995</v>
      </c>
    </row>
    <row r="8013" spans="1:10">
      <c r="A8013" t="s">
        <v>194</v>
      </c>
      <c r="B8013" t="s">
        <v>199</v>
      </c>
      <c r="C8013" t="s">
        <v>209</v>
      </c>
      <c r="D8013" t="s">
        <v>1641</v>
      </c>
      <c r="E8013" s="3">
        <v>2.0000000000000001E-4</v>
      </c>
      <c r="F8013" s="3">
        <v>5.9999999999999995E-4</v>
      </c>
      <c r="G8013" s="3">
        <v>3.5999999999999999E-3</v>
      </c>
      <c r="H8013">
        <v>803</v>
      </c>
      <c r="I8013">
        <v>816</v>
      </c>
      <c r="J8013">
        <v>1995</v>
      </c>
    </row>
    <row r="8014" spans="1:10">
      <c r="A8014" t="s">
        <v>194</v>
      </c>
      <c r="B8014" t="s">
        <v>199</v>
      </c>
      <c r="C8014" t="s">
        <v>209</v>
      </c>
      <c r="D8014" t="s">
        <v>1632</v>
      </c>
      <c r="E8014" s="3">
        <v>3.2300000000000002E-2</v>
      </c>
      <c r="F8014" s="3">
        <v>8.4199999999999997E-2</v>
      </c>
      <c r="G8014" s="3">
        <v>5.7299999999999997E-2</v>
      </c>
      <c r="H8014">
        <v>803</v>
      </c>
      <c r="I8014">
        <v>816</v>
      </c>
      <c r="J8014">
        <v>1995</v>
      </c>
    </row>
    <row r="8015" spans="1:10">
      <c r="A8015" t="s">
        <v>194</v>
      </c>
      <c r="B8015" t="s">
        <v>199</v>
      </c>
      <c r="C8015" t="s">
        <v>209</v>
      </c>
      <c r="D8015" t="s">
        <v>1633</v>
      </c>
      <c r="E8015" s="3">
        <v>0</v>
      </c>
      <c r="F8015" s="3">
        <v>9.2999999999999992E-3</v>
      </c>
      <c r="G8015" s="3">
        <v>1.03E-2</v>
      </c>
      <c r="H8015">
        <v>803</v>
      </c>
      <c r="I8015">
        <v>816</v>
      </c>
      <c r="J8015">
        <v>1995</v>
      </c>
    </row>
    <row r="8016" spans="1:10">
      <c r="A8016" t="s">
        <v>194</v>
      </c>
      <c r="B8016" t="s">
        <v>199</v>
      </c>
      <c r="C8016" t="s">
        <v>209</v>
      </c>
      <c r="D8016" t="s">
        <v>1634</v>
      </c>
      <c r="E8016" s="3">
        <v>4.0000000000000002E-4</v>
      </c>
      <c r="F8016" s="3">
        <v>5.5999999999999999E-3</v>
      </c>
      <c r="G8016" s="3">
        <v>9.7999999999999997E-3</v>
      </c>
      <c r="H8016">
        <v>803</v>
      </c>
      <c r="I8016">
        <v>816</v>
      </c>
      <c r="J8016">
        <v>1995</v>
      </c>
    </row>
    <row r="8017" spans="1:10">
      <c r="A8017" t="s">
        <v>194</v>
      </c>
      <c r="B8017" t="s">
        <v>199</v>
      </c>
      <c r="C8017" t="s">
        <v>209</v>
      </c>
      <c r="D8017" t="s">
        <v>1642</v>
      </c>
      <c r="E8017" s="3">
        <v>4.0000000000000002E-4</v>
      </c>
      <c r="F8017" s="3">
        <v>5.9999999999999995E-4</v>
      </c>
      <c r="G8017" s="3">
        <v>1.47E-2</v>
      </c>
      <c r="H8017">
        <v>803</v>
      </c>
      <c r="I8017">
        <v>816</v>
      </c>
      <c r="J8017">
        <v>1995</v>
      </c>
    </row>
    <row r="8018" spans="1:10">
      <c r="A8018" t="s">
        <v>194</v>
      </c>
      <c r="B8018" t="s">
        <v>199</v>
      </c>
      <c r="C8018" t="s">
        <v>209</v>
      </c>
      <c r="D8018" t="s">
        <v>1635</v>
      </c>
      <c r="E8018" s="3">
        <v>1.1999999999999999E-3</v>
      </c>
      <c r="F8018" s="3">
        <v>8.3999999999999995E-3</v>
      </c>
      <c r="G8018" s="3">
        <v>2.87E-2</v>
      </c>
      <c r="H8018">
        <v>803</v>
      </c>
      <c r="I8018">
        <v>816</v>
      </c>
      <c r="J8018">
        <v>1995</v>
      </c>
    </row>
    <row r="8019" spans="1:10">
      <c r="A8019" t="s">
        <v>194</v>
      </c>
      <c r="B8019" t="s">
        <v>199</v>
      </c>
      <c r="C8019" t="s">
        <v>209</v>
      </c>
      <c r="D8019" t="s">
        <v>1636</v>
      </c>
      <c r="E8019" s="3">
        <v>0.23069999999999999</v>
      </c>
      <c r="F8019" s="3">
        <v>0.2571</v>
      </c>
      <c r="G8019" s="3">
        <v>3.7999999999999999E-2</v>
      </c>
      <c r="H8019">
        <v>803</v>
      </c>
      <c r="I8019">
        <v>816</v>
      </c>
      <c r="J8019">
        <v>1995</v>
      </c>
    </row>
    <row r="8020" spans="1:10">
      <c r="A8020" t="s">
        <v>194</v>
      </c>
      <c r="B8020" t="s">
        <v>199</v>
      </c>
      <c r="C8020" t="s">
        <v>209</v>
      </c>
      <c r="D8020" t="s">
        <v>1637</v>
      </c>
      <c r="E8020" s="3">
        <v>0.55969999999999998</v>
      </c>
      <c r="F8020" s="3">
        <v>0.1072</v>
      </c>
      <c r="G8020" s="3">
        <v>1.7399999999999999E-2</v>
      </c>
      <c r="H8020">
        <v>803</v>
      </c>
      <c r="I8020">
        <v>816</v>
      </c>
      <c r="J8020">
        <v>1995</v>
      </c>
    </row>
    <row r="8021" spans="1:10">
      <c r="A8021" t="s">
        <v>194</v>
      </c>
      <c r="B8021" t="s">
        <v>199</v>
      </c>
      <c r="C8021" t="s">
        <v>209</v>
      </c>
      <c r="D8021" t="s">
        <v>274</v>
      </c>
      <c r="E8021" s="3">
        <v>1E-4</v>
      </c>
      <c r="F8021" s="3">
        <v>8.6999999999999994E-3</v>
      </c>
      <c r="G8021" s="3">
        <v>2.2499999999999999E-2</v>
      </c>
      <c r="H8021">
        <v>803</v>
      </c>
      <c r="I8021">
        <v>816</v>
      </c>
      <c r="J8021">
        <v>1995</v>
      </c>
    </row>
    <row r="8022" spans="1:10">
      <c r="A8022" t="s">
        <v>194</v>
      </c>
      <c r="B8022" t="s">
        <v>199</v>
      </c>
      <c r="C8022" t="s">
        <v>209</v>
      </c>
      <c r="D8022" t="s">
        <v>247</v>
      </c>
      <c r="E8022" s="3">
        <v>2.9999999999999997E-4</v>
      </c>
      <c r="G8022" s="3">
        <v>1.1000000000000001E-3</v>
      </c>
      <c r="H8022">
        <v>803</v>
      </c>
      <c r="I8022">
        <v>816</v>
      </c>
      <c r="J8022">
        <v>1995</v>
      </c>
    </row>
    <row r="8023" spans="1:10">
      <c r="A8023" t="s">
        <v>194</v>
      </c>
      <c r="B8023" t="s">
        <v>199</v>
      </c>
      <c r="C8023" t="s">
        <v>209</v>
      </c>
      <c r="D8023" t="s">
        <v>1643</v>
      </c>
      <c r="E8023" s="3">
        <v>2.0000000000000001E-4</v>
      </c>
      <c r="F8023" s="3">
        <v>2.5600000000000001E-2</v>
      </c>
      <c r="G8023" s="3">
        <v>3.5999999999999997E-2</v>
      </c>
      <c r="H8023">
        <v>803</v>
      </c>
      <c r="I8023">
        <v>816</v>
      </c>
      <c r="J8023">
        <v>1995</v>
      </c>
    </row>
    <row r="8024" spans="1:10">
      <c r="A8024" t="s">
        <v>200</v>
      </c>
      <c r="B8024" t="s">
        <v>200</v>
      </c>
      <c r="C8024" t="s">
        <v>200</v>
      </c>
      <c r="D8024" t="s">
        <v>1624</v>
      </c>
      <c r="E8024" s="3">
        <v>4.4999999999999997E-3</v>
      </c>
      <c r="F8024" s="3">
        <v>1.54E-2</v>
      </c>
      <c r="G8024" s="3">
        <v>2.52E-2</v>
      </c>
      <c r="H8024">
        <v>1995</v>
      </c>
      <c r="I8024">
        <v>1995</v>
      </c>
      <c r="J8024">
        <v>1995</v>
      </c>
    </row>
    <row r="8025" spans="1:10">
      <c r="A8025" t="s">
        <v>200</v>
      </c>
      <c r="B8025" t="s">
        <v>200</v>
      </c>
      <c r="C8025" t="s">
        <v>200</v>
      </c>
      <c r="D8025" t="s">
        <v>257</v>
      </c>
      <c r="E8025" s="3">
        <v>6.8999999999999999E-3</v>
      </c>
      <c r="F8025" s="3">
        <v>4.1799999999999997E-2</v>
      </c>
      <c r="G8025" s="3">
        <v>6.8900000000000003E-2</v>
      </c>
      <c r="H8025">
        <v>1995</v>
      </c>
      <c r="I8025">
        <v>1995</v>
      </c>
      <c r="J8025">
        <v>1995</v>
      </c>
    </row>
    <row r="8026" spans="1:10">
      <c r="A8026" t="s">
        <v>200</v>
      </c>
      <c r="B8026" t="s">
        <v>200</v>
      </c>
      <c r="C8026" t="s">
        <v>200</v>
      </c>
      <c r="D8026" t="s">
        <v>1638</v>
      </c>
      <c r="E8026" s="3">
        <v>1.4999999999999999E-2</v>
      </c>
      <c r="F8026" s="3">
        <v>7.5200000000000003E-2</v>
      </c>
      <c r="G8026" s="3">
        <v>0.1067</v>
      </c>
      <c r="H8026">
        <v>1995</v>
      </c>
      <c r="I8026">
        <v>1995</v>
      </c>
      <c r="J8026">
        <v>1995</v>
      </c>
    </row>
    <row r="8027" spans="1:10">
      <c r="A8027" t="s">
        <v>200</v>
      </c>
      <c r="B8027" t="s">
        <v>200</v>
      </c>
      <c r="C8027" t="s">
        <v>200</v>
      </c>
      <c r="D8027" t="s">
        <v>1639</v>
      </c>
      <c r="E8027" s="3">
        <v>4.7000000000000002E-3</v>
      </c>
      <c r="F8027" s="3">
        <v>2.41E-2</v>
      </c>
      <c r="G8027" s="3">
        <v>2.0500000000000001E-2</v>
      </c>
      <c r="H8027">
        <v>1995</v>
      </c>
      <c r="I8027">
        <v>1995</v>
      </c>
      <c r="J8027">
        <v>1995</v>
      </c>
    </row>
    <row r="8028" spans="1:10">
      <c r="A8028" t="s">
        <v>200</v>
      </c>
      <c r="B8028" t="s">
        <v>200</v>
      </c>
      <c r="C8028" t="s">
        <v>200</v>
      </c>
      <c r="D8028" t="s">
        <v>1625</v>
      </c>
      <c r="E8028" s="3">
        <v>4.2700000000000002E-2</v>
      </c>
      <c r="F8028" s="3">
        <v>4.3299999999999998E-2</v>
      </c>
      <c r="G8028" s="3">
        <v>4.7500000000000001E-2</v>
      </c>
      <c r="H8028">
        <v>1995</v>
      </c>
      <c r="I8028">
        <v>1995</v>
      </c>
      <c r="J8028">
        <v>1995</v>
      </c>
    </row>
    <row r="8029" spans="1:10">
      <c r="A8029" t="s">
        <v>200</v>
      </c>
      <c r="B8029" t="s">
        <v>200</v>
      </c>
      <c r="C8029" t="s">
        <v>200</v>
      </c>
      <c r="D8029" t="s">
        <v>1626</v>
      </c>
      <c r="E8029" s="3">
        <v>4.0000000000000002E-4</v>
      </c>
      <c r="F8029" s="3">
        <v>2.3E-3</v>
      </c>
      <c r="G8029" s="3">
        <v>1.0999999999999999E-2</v>
      </c>
      <c r="H8029">
        <v>1995</v>
      </c>
      <c r="I8029">
        <v>1995</v>
      </c>
      <c r="J8029">
        <v>1995</v>
      </c>
    </row>
    <row r="8030" spans="1:10">
      <c r="A8030" t="s">
        <v>200</v>
      </c>
      <c r="B8030" t="s">
        <v>200</v>
      </c>
      <c r="C8030" t="s">
        <v>200</v>
      </c>
      <c r="D8030" t="s">
        <v>1627</v>
      </c>
      <c r="E8030" s="3">
        <v>4.7199999999999999E-2</v>
      </c>
      <c r="F8030" s="3">
        <v>9.3700000000000006E-2</v>
      </c>
      <c r="G8030" s="3">
        <v>0.14050000000000001</v>
      </c>
      <c r="H8030">
        <v>1995</v>
      </c>
      <c r="I8030">
        <v>1995</v>
      </c>
      <c r="J8030">
        <v>1995</v>
      </c>
    </row>
    <row r="8031" spans="1:10">
      <c r="A8031" t="s">
        <v>200</v>
      </c>
      <c r="B8031" t="s">
        <v>200</v>
      </c>
      <c r="C8031" t="s">
        <v>200</v>
      </c>
      <c r="D8031" t="s">
        <v>1644</v>
      </c>
      <c r="E8031" s="3">
        <v>2.0000000000000001E-4</v>
      </c>
      <c r="F8031" s="3">
        <v>3.3E-3</v>
      </c>
      <c r="G8031" s="3">
        <v>1.09E-2</v>
      </c>
      <c r="H8031">
        <v>1995</v>
      </c>
      <c r="I8031">
        <v>1995</v>
      </c>
      <c r="J8031">
        <v>1995</v>
      </c>
    </row>
    <row r="8032" spans="1:10">
      <c r="A8032" t="s">
        <v>200</v>
      </c>
      <c r="B8032" t="s">
        <v>200</v>
      </c>
      <c r="C8032" t="s">
        <v>200</v>
      </c>
      <c r="D8032" t="s">
        <v>1628</v>
      </c>
      <c r="E8032" s="3">
        <v>3.2500000000000001E-2</v>
      </c>
      <c r="F8032" s="3">
        <v>8.48E-2</v>
      </c>
      <c r="G8032" s="3">
        <v>7.0499999999999993E-2</v>
      </c>
      <c r="H8032">
        <v>1995</v>
      </c>
      <c r="I8032">
        <v>1995</v>
      </c>
      <c r="J8032">
        <v>1995</v>
      </c>
    </row>
    <row r="8033" spans="1:10">
      <c r="A8033" t="s">
        <v>200</v>
      </c>
      <c r="B8033" t="s">
        <v>200</v>
      </c>
      <c r="C8033" t="s">
        <v>200</v>
      </c>
      <c r="D8033" t="s">
        <v>1629</v>
      </c>
      <c r="E8033" s="3">
        <v>6.0000000000000001E-3</v>
      </c>
      <c r="F8033" s="3">
        <v>1.37E-2</v>
      </c>
      <c r="G8033" s="3">
        <v>1.24E-2</v>
      </c>
      <c r="H8033">
        <v>1995</v>
      </c>
      <c r="I8033">
        <v>1995</v>
      </c>
      <c r="J8033">
        <v>1995</v>
      </c>
    </row>
    <row r="8034" spans="1:10">
      <c r="A8034" t="s">
        <v>200</v>
      </c>
      <c r="B8034" t="s">
        <v>200</v>
      </c>
      <c r="C8034" t="s">
        <v>200</v>
      </c>
      <c r="D8034" t="s">
        <v>1640</v>
      </c>
      <c r="E8034" s="3">
        <v>2.2000000000000001E-3</v>
      </c>
      <c r="F8034" s="3">
        <v>8.3999999999999995E-3</v>
      </c>
      <c r="G8034" s="3">
        <v>7.0000000000000001E-3</v>
      </c>
      <c r="H8034">
        <v>1995</v>
      </c>
      <c r="I8034">
        <v>1995</v>
      </c>
      <c r="J8034">
        <v>1995</v>
      </c>
    </row>
    <row r="8035" spans="1:10">
      <c r="A8035" t="s">
        <v>200</v>
      </c>
      <c r="B8035" t="s">
        <v>200</v>
      </c>
      <c r="C8035" t="s">
        <v>200</v>
      </c>
      <c r="D8035" t="s">
        <v>1630</v>
      </c>
      <c r="E8035" s="3">
        <v>7.6E-3</v>
      </c>
      <c r="F8035" s="3">
        <v>2.18E-2</v>
      </c>
      <c r="G8035" s="3">
        <v>1.41E-2</v>
      </c>
      <c r="H8035">
        <v>1995</v>
      </c>
      <c r="I8035">
        <v>1995</v>
      </c>
      <c r="J8035">
        <v>1995</v>
      </c>
    </row>
    <row r="8036" spans="1:10">
      <c r="A8036" t="s">
        <v>200</v>
      </c>
      <c r="B8036" t="s">
        <v>200</v>
      </c>
      <c r="C8036" t="s">
        <v>200</v>
      </c>
      <c r="D8036" t="s">
        <v>1631</v>
      </c>
      <c r="E8036" s="3">
        <v>2.3900000000000001E-2</v>
      </c>
      <c r="F8036" s="3">
        <v>0.112</v>
      </c>
      <c r="G8036" s="3">
        <v>0.1164</v>
      </c>
      <c r="H8036">
        <v>1995</v>
      </c>
      <c r="I8036">
        <v>1995</v>
      </c>
      <c r="J8036">
        <v>1995</v>
      </c>
    </row>
    <row r="8037" spans="1:10">
      <c r="A8037" t="s">
        <v>200</v>
      </c>
      <c r="B8037" t="s">
        <v>200</v>
      </c>
      <c r="C8037" t="s">
        <v>200</v>
      </c>
      <c r="D8037" t="s">
        <v>1641</v>
      </c>
      <c r="E8037" s="3">
        <v>2.3E-3</v>
      </c>
      <c r="F8037" s="3">
        <v>5.0000000000000001E-3</v>
      </c>
      <c r="G8037" s="3">
        <v>2.3599999999999999E-2</v>
      </c>
      <c r="H8037">
        <v>1995</v>
      </c>
      <c r="I8037">
        <v>1995</v>
      </c>
      <c r="J8037">
        <v>1995</v>
      </c>
    </row>
    <row r="8038" spans="1:10">
      <c r="A8038" t="s">
        <v>200</v>
      </c>
      <c r="B8038" t="s">
        <v>200</v>
      </c>
      <c r="C8038" t="s">
        <v>200</v>
      </c>
      <c r="D8038" t="s">
        <v>1632</v>
      </c>
      <c r="E8038" s="3">
        <v>2.4199999999999999E-2</v>
      </c>
      <c r="F8038" s="3">
        <v>6.3799999999999996E-2</v>
      </c>
      <c r="G8038" s="3">
        <v>9.1399999999999995E-2</v>
      </c>
      <c r="H8038">
        <v>1995</v>
      </c>
      <c r="I8038">
        <v>1995</v>
      </c>
      <c r="J8038">
        <v>1995</v>
      </c>
    </row>
    <row r="8039" spans="1:10">
      <c r="A8039" t="s">
        <v>200</v>
      </c>
      <c r="B8039" t="s">
        <v>200</v>
      </c>
      <c r="C8039" t="s">
        <v>200</v>
      </c>
      <c r="D8039" t="s">
        <v>1633</v>
      </c>
      <c r="E8039" s="3">
        <v>3.2000000000000002E-3</v>
      </c>
      <c r="F8039" s="3">
        <v>4.5999999999999999E-3</v>
      </c>
      <c r="G8039" s="3">
        <v>1.3599999999999999E-2</v>
      </c>
      <c r="H8039">
        <v>1995</v>
      </c>
      <c r="I8039">
        <v>1995</v>
      </c>
      <c r="J8039">
        <v>1995</v>
      </c>
    </row>
    <row r="8040" spans="1:10">
      <c r="A8040" t="s">
        <v>200</v>
      </c>
      <c r="B8040" t="s">
        <v>200</v>
      </c>
      <c r="C8040" t="s">
        <v>200</v>
      </c>
      <c r="D8040" t="s">
        <v>1634</v>
      </c>
      <c r="E8040" s="3">
        <v>3.8999999999999998E-3</v>
      </c>
      <c r="F8040" s="3">
        <v>1.55E-2</v>
      </c>
      <c r="G8040" s="3">
        <v>2.1299999999999999E-2</v>
      </c>
      <c r="H8040">
        <v>1995</v>
      </c>
      <c r="I8040">
        <v>1995</v>
      </c>
      <c r="J8040">
        <v>1995</v>
      </c>
    </row>
    <row r="8041" spans="1:10">
      <c r="A8041" t="s">
        <v>200</v>
      </c>
      <c r="B8041" t="s">
        <v>200</v>
      </c>
      <c r="C8041" t="s">
        <v>200</v>
      </c>
      <c r="D8041" t="s">
        <v>1642</v>
      </c>
      <c r="E8041" s="3">
        <v>1.1000000000000001E-3</v>
      </c>
      <c r="F8041" s="3">
        <v>2.0000000000000001E-4</v>
      </c>
      <c r="G8041" s="3">
        <v>7.3000000000000001E-3</v>
      </c>
      <c r="H8041">
        <v>1995</v>
      </c>
      <c r="I8041">
        <v>1995</v>
      </c>
      <c r="J8041">
        <v>1995</v>
      </c>
    </row>
    <row r="8042" spans="1:10">
      <c r="A8042" t="s">
        <v>200</v>
      </c>
      <c r="B8042" t="s">
        <v>200</v>
      </c>
      <c r="C8042" t="s">
        <v>200</v>
      </c>
      <c r="D8042" t="s">
        <v>1635</v>
      </c>
      <c r="E8042" s="3">
        <v>5.3E-3</v>
      </c>
      <c r="F8042" s="3">
        <v>1.3299999999999999E-2</v>
      </c>
      <c r="G8042" s="3">
        <v>4.1500000000000002E-2</v>
      </c>
      <c r="H8042">
        <v>1995</v>
      </c>
      <c r="I8042">
        <v>1995</v>
      </c>
      <c r="J8042">
        <v>1995</v>
      </c>
    </row>
    <row r="8043" spans="1:10">
      <c r="A8043" t="s">
        <v>200</v>
      </c>
      <c r="B8043" t="s">
        <v>200</v>
      </c>
      <c r="C8043" t="s">
        <v>200</v>
      </c>
      <c r="D8043" t="s">
        <v>1636</v>
      </c>
      <c r="E8043" s="3">
        <v>0.37080000000000002</v>
      </c>
      <c r="F8043" s="3">
        <v>0.2258</v>
      </c>
      <c r="G8043" s="3">
        <v>7.7700000000000005E-2</v>
      </c>
      <c r="H8043">
        <v>1995</v>
      </c>
      <c r="I8043">
        <v>1995</v>
      </c>
      <c r="J8043">
        <v>1995</v>
      </c>
    </row>
    <row r="8044" spans="1:10">
      <c r="A8044" t="s">
        <v>200</v>
      </c>
      <c r="B8044" t="s">
        <v>200</v>
      </c>
      <c r="C8044" t="s">
        <v>200</v>
      </c>
      <c r="D8044" t="s">
        <v>1637</v>
      </c>
      <c r="E8044" s="3">
        <v>0.38950000000000001</v>
      </c>
      <c r="F8044" s="3">
        <v>0.1105</v>
      </c>
      <c r="G8044" s="3">
        <v>3.7499999999999999E-2</v>
      </c>
      <c r="H8044">
        <v>1995</v>
      </c>
      <c r="I8044">
        <v>1995</v>
      </c>
      <c r="J8044">
        <v>1995</v>
      </c>
    </row>
    <row r="8045" spans="1:10">
      <c r="A8045" t="s">
        <v>200</v>
      </c>
      <c r="B8045" t="s">
        <v>200</v>
      </c>
      <c r="C8045" t="s">
        <v>200</v>
      </c>
      <c r="D8045" t="s">
        <v>274</v>
      </c>
      <c r="E8045" s="3">
        <v>6.9999999999999999E-4</v>
      </c>
      <c r="F8045" s="3">
        <v>9.1999999999999998E-3</v>
      </c>
      <c r="G8045" s="3">
        <v>1.32E-2</v>
      </c>
      <c r="H8045">
        <v>1995</v>
      </c>
      <c r="I8045">
        <v>1995</v>
      </c>
      <c r="J8045">
        <v>1995</v>
      </c>
    </row>
    <row r="8046" spans="1:10">
      <c r="A8046" t="s">
        <v>200</v>
      </c>
      <c r="B8046" t="s">
        <v>200</v>
      </c>
      <c r="C8046" t="s">
        <v>200</v>
      </c>
      <c r="D8046" t="s">
        <v>247</v>
      </c>
      <c r="E8046" s="3">
        <v>4.8999999999999998E-3</v>
      </c>
      <c r="F8046" s="3">
        <v>0</v>
      </c>
      <c r="G8046" s="3">
        <v>1.4E-3</v>
      </c>
      <c r="H8046">
        <v>1995</v>
      </c>
      <c r="I8046">
        <v>1995</v>
      </c>
      <c r="J8046">
        <v>1995</v>
      </c>
    </row>
    <row r="8047" spans="1:10">
      <c r="A8047" t="s">
        <v>200</v>
      </c>
      <c r="B8047" t="s">
        <v>200</v>
      </c>
      <c r="C8047" t="s">
        <v>200</v>
      </c>
      <c r="D8047" t="s">
        <v>1643</v>
      </c>
      <c r="E8047" s="3">
        <v>1E-4</v>
      </c>
      <c r="F8047" s="3">
        <v>1.2E-2</v>
      </c>
      <c r="G8047" s="3">
        <v>0.02</v>
      </c>
      <c r="H8047">
        <v>1995</v>
      </c>
      <c r="I8047">
        <v>1995</v>
      </c>
      <c r="J8047">
        <v>1995</v>
      </c>
    </row>
    <row r="8049" spans="1:9" ht="45">
      <c r="A8049" s="22" t="s">
        <v>1649</v>
      </c>
    </row>
    <row r="8050" spans="1:9">
      <c r="A8050" t="s">
        <v>184</v>
      </c>
      <c r="B8050" t="s">
        <v>185</v>
      </c>
      <c r="C8050" t="s">
        <v>1007</v>
      </c>
      <c r="D8050" t="s">
        <v>1621</v>
      </c>
      <c r="E8050" t="s">
        <v>1622</v>
      </c>
      <c r="F8050" t="s">
        <v>1623</v>
      </c>
      <c r="G8050" t="s">
        <v>1018</v>
      </c>
      <c r="H8050" t="s">
        <v>192</v>
      </c>
      <c r="I8050" t="s">
        <v>193</v>
      </c>
    </row>
    <row r="8051" spans="1:9">
      <c r="A8051" t="s">
        <v>194</v>
      </c>
      <c r="B8051" t="s">
        <v>195</v>
      </c>
      <c r="C8051" t="s">
        <v>1624</v>
      </c>
      <c r="D8051" s="3">
        <v>2.8E-3</v>
      </c>
      <c r="E8051" s="3">
        <v>1.41E-2</v>
      </c>
      <c r="F8051" s="3">
        <v>1.8599999999999998E-2</v>
      </c>
      <c r="G8051">
        <v>957</v>
      </c>
      <c r="H8051">
        <v>941</v>
      </c>
      <c r="I8051">
        <v>1995</v>
      </c>
    </row>
    <row r="8052" spans="1:9">
      <c r="A8052" t="s">
        <v>194</v>
      </c>
      <c r="B8052" t="s">
        <v>195</v>
      </c>
      <c r="C8052" t="s">
        <v>257</v>
      </c>
      <c r="D8052" s="3">
        <v>4.4000000000000003E-3</v>
      </c>
      <c r="E8052" s="3">
        <v>2.9100000000000001E-2</v>
      </c>
      <c r="F8052" s="3">
        <v>4.3900000000000002E-2</v>
      </c>
      <c r="G8052">
        <v>957</v>
      </c>
      <c r="H8052">
        <v>941</v>
      </c>
      <c r="I8052">
        <v>1995</v>
      </c>
    </row>
    <row r="8053" spans="1:9">
      <c r="A8053" t="s">
        <v>194</v>
      </c>
      <c r="B8053" t="s">
        <v>195</v>
      </c>
      <c r="C8053" t="s">
        <v>1638</v>
      </c>
      <c r="D8053" s="3">
        <v>5.1000000000000004E-3</v>
      </c>
      <c r="E8053" s="3">
        <v>6.8099999999999994E-2</v>
      </c>
      <c r="F8053" s="3">
        <v>7.2499999999999995E-2</v>
      </c>
      <c r="G8053">
        <v>957</v>
      </c>
      <c r="H8053">
        <v>941</v>
      </c>
      <c r="I8053">
        <v>1995</v>
      </c>
    </row>
    <row r="8054" spans="1:9">
      <c r="A8054" t="s">
        <v>194</v>
      </c>
      <c r="B8054" t="s">
        <v>195</v>
      </c>
      <c r="C8054" t="s">
        <v>1639</v>
      </c>
      <c r="D8054" s="3">
        <v>3.0999999999999999E-3</v>
      </c>
      <c r="E8054" s="3">
        <v>3.2300000000000002E-2</v>
      </c>
      <c r="F8054" s="3">
        <v>1.5299999999999999E-2</v>
      </c>
      <c r="G8054">
        <v>957</v>
      </c>
      <c r="H8054">
        <v>941</v>
      </c>
      <c r="I8054">
        <v>1995</v>
      </c>
    </row>
    <row r="8055" spans="1:9">
      <c r="A8055" t="s">
        <v>194</v>
      </c>
      <c r="B8055" t="s">
        <v>195</v>
      </c>
      <c r="C8055" t="s">
        <v>1625</v>
      </c>
      <c r="D8055" s="3">
        <v>7.2999999999999995E-2</v>
      </c>
      <c r="E8055" s="3">
        <v>7.5800000000000006E-2</v>
      </c>
      <c r="F8055" s="3">
        <v>6.25E-2</v>
      </c>
      <c r="G8055">
        <v>957</v>
      </c>
      <c r="H8055">
        <v>941</v>
      </c>
      <c r="I8055">
        <v>1995</v>
      </c>
    </row>
    <row r="8056" spans="1:9">
      <c r="A8056" t="s">
        <v>194</v>
      </c>
      <c r="B8056" t="s">
        <v>195</v>
      </c>
      <c r="C8056" t="s">
        <v>1626</v>
      </c>
      <c r="D8056" s="3">
        <v>4.0000000000000002E-4</v>
      </c>
      <c r="E8056" s="3">
        <v>3.7000000000000002E-3</v>
      </c>
      <c r="F8056" s="3">
        <v>3.3999999999999998E-3</v>
      </c>
      <c r="G8056">
        <v>957</v>
      </c>
      <c r="H8056">
        <v>941</v>
      </c>
      <c r="I8056">
        <v>1995</v>
      </c>
    </row>
    <row r="8057" spans="1:9">
      <c r="A8057" t="s">
        <v>194</v>
      </c>
      <c r="B8057" t="s">
        <v>195</v>
      </c>
      <c r="C8057" t="s">
        <v>1627</v>
      </c>
      <c r="D8057" s="3">
        <v>5.21E-2</v>
      </c>
      <c r="E8057" s="3">
        <v>0.104</v>
      </c>
      <c r="F8057" s="3">
        <v>0.16300000000000001</v>
      </c>
      <c r="G8057">
        <v>957</v>
      </c>
      <c r="H8057">
        <v>941</v>
      </c>
      <c r="I8057">
        <v>1995</v>
      </c>
    </row>
    <row r="8058" spans="1:9">
      <c r="A8058" t="s">
        <v>194</v>
      </c>
      <c r="B8058" t="s">
        <v>195</v>
      </c>
      <c r="C8058" t="s">
        <v>1628</v>
      </c>
      <c r="D8058" s="3">
        <v>1.8599999999999998E-2</v>
      </c>
      <c r="E8058" s="3">
        <v>4.6199999999999998E-2</v>
      </c>
      <c r="F8058" s="3">
        <v>4.9299999999999997E-2</v>
      </c>
      <c r="G8058">
        <v>957</v>
      </c>
      <c r="H8058">
        <v>941</v>
      </c>
      <c r="I8058">
        <v>1995</v>
      </c>
    </row>
    <row r="8059" spans="1:9">
      <c r="A8059" t="s">
        <v>194</v>
      </c>
      <c r="B8059" t="s">
        <v>195</v>
      </c>
      <c r="C8059" t="s">
        <v>1629</v>
      </c>
      <c r="D8059" s="3">
        <v>6.0000000000000001E-3</v>
      </c>
      <c r="E8059" s="3">
        <v>3.0000000000000001E-3</v>
      </c>
      <c r="F8059" s="3">
        <v>7.1999999999999998E-3</v>
      </c>
      <c r="G8059">
        <v>957</v>
      </c>
      <c r="H8059">
        <v>941</v>
      </c>
      <c r="I8059">
        <v>1995</v>
      </c>
    </row>
    <row r="8060" spans="1:9">
      <c r="A8060" t="s">
        <v>194</v>
      </c>
      <c r="B8060" t="s">
        <v>195</v>
      </c>
      <c r="C8060" t="s">
        <v>1640</v>
      </c>
      <c r="D8060" s="3">
        <v>2.3999999999999998E-3</v>
      </c>
      <c r="E8060" s="3">
        <v>3.8999999999999998E-3</v>
      </c>
      <c r="F8060" s="3">
        <v>2.8999999999999998E-3</v>
      </c>
      <c r="G8060">
        <v>957</v>
      </c>
      <c r="H8060">
        <v>941</v>
      </c>
      <c r="I8060">
        <v>1995</v>
      </c>
    </row>
    <row r="8061" spans="1:9">
      <c r="A8061" t="s">
        <v>194</v>
      </c>
      <c r="B8061" t="s">
        <v>195</v>
      </c>
      <c r="C8061" t="s">
        <v>1630</v>
      </c>
      <c r="D8061" s="3">
        <v>9.7000000000000003E-3</v>
      </c>
      <c r="E8061" s="3">
        <v>2.5600000000000001E-2</v>
      </c>
      <c r="F8061" s="3">
        <v>1.8200000000000001E-2</v>
      </c>
      <c r="G8061">
        <v>957</v>
      </c>
      <c r="H8061">
        <v>941</v>
      </c>
      <c r="I8061">
        <v>1995</v>
      </c>
    </row>
    <row r="8062" spans="1:9">
      <c r="A8062" t="s">
        <v>194</v>
      </c>
      <c r="B8062" t="s">
        <v>195</v>
      </c>
      <c r="C8062" t="s">
        <v>1631</v>
      </c>
      <c r="D8062" s="3">
        <v>3.9300000000000002E-2</v>
      </c>
      <c r="E8062" s="3">
        <v>0.15959999999999999</v>
      </c>
      <c r="F8062" s="3">
        <v>0.12509999999999999</v>
      </c>
      <c r="G8062">
        <v>957</v>
      </c>
      <c r="H8062">
        <v>941</v>
      </c>
      <c r="I8062">
        <v>1995</v>
      </c>
    </row>
    <row r="8063" spans="1:9">
      <c r="A8063" t="s">
        <v>194</v>
      </c>
      <c r="B8063" t="s">
        <v>195</v>
      </c>
      <c r="C8063" t="s">
        <v>1641</v>
      </c>
      <c r="D8063" s="3">
        <v>4.1999999999999997E-3</v>
      </c>
      <c r="E8063" s="3">
        <v>8.6E-3</v>
      </c>
      <c r="F8063" s="3">
        <v>3.39E-2</v>
      </c>
      <c r="G8063">
        <v>957</v>
      </c>
      <c r="H8063">
        <v>941</v>
      </c>
      <c r="I8063">
        <v>1995</v>
      </c>
    </row>
    <row r="8064" spans="1:9">
      <c r="A8064" t="s">
        <v>194</v>
      </c>
      <c r="B8064" t="s">
        <v>195</v>
      </c>
      <c r="C8064" t="s">
        <v>1632</v>
      </c>
      <c r="D8064" s="3">
        <v>2.07E-2</v>
      </c>
      <c r="E8064" s="3">
        <v>5.3900000000000003E-2</v>
      </c>
      <c r="F8064" s="3">
        <v>0.1028</v>
      </c>
      <c r="G8064">
        <v>957</v>
      </c>
      <c r="H8064">
        <v>941</v>
      </c>
      <c r="I8064">
        <v>1995</v>
      </c>
    </row>
    <row r="8065" spans="1:9">
      <c r="A8065" t="s">
        <v>194</v>
      </c>
      <c r="B8065" t="s">
        <v>195</v>
      </c>
      <c r="C8065" t="s">
        <v>1633</v>
      </c>
      <c r="D8065" s="3">
        <v>6.4000000000000003E-3</v>
      </c>
      <c r="E8065" s="3">
        <v>1.6999999999999999E-3</v>
      </c>
      <c r="F8065" s="3">
        <v>1.52E-2</v>
      </c>
      <c r="G8065">
        <v>957</v>
      </c>
      <c r="H8065">
        <v>941</v>
      </c>
      <c r="I8065">
        <v>1995</v>
      </c>
    </row>
    <row r="8066" spans="1:9">
      <c r="A8066" t="s">
        <v>194</v>
      </c>
      <c r="B8066" t="s">
        <v>195</v>
      </c>
      <c r="C8066" t="s">
        <v>1634</v>
      </c>
      <c r="D8066" s="3">
        <v>7.4999999999999997E-3</v>
      </c>
      <c r="E8066" s="3">
        <v>2.3599999999999999E-2</v>
      </c>
      <c r="F8066" s="3">
        <v>3.0700000000000002E-2</v>
      </c>
      <c r="G8066">
        <v>957</v>
      </c>
      <c r="H8066">
        <v>941</v>
      </c>
      <c r="I8066">
        <v>1995</v>
      </c>
    </row>
    <row r="8067" spans="1:9">
      <c r="A8067" t="s">
        <v>194</v>
      </c>
      <c r="B8067" t="s">
        <v>195</v>
      </c>
      <c r="C8067" t="s">
        <v>1642</v>
      </c>
      <c r="D8067" s="3">
        <v>2E-3</v>
      </c>
      <c r="F8067" s="3">
        <v>4.4000000000000003E-3</v>
      </c>
      <c r="G8067">
        <v>957</v>
      </c>
      <c r="H8067">
        <v>941</v>
      </c>
      <c r="I8067">
        <v>1995</v>
      </c>
    </row>
    <row r="8068" spans="1:9">
      <c r="A8068" t="s">
        <v>194</v>
      </c>
      <c r="B8068" t="s">
        <v>195</v>
      </c>
      <c r="C8068" t="s">
        <v>1635</v>
      </c>
      <c r="D8068" s="3">
        <v>9.2999999999999992E-3</v>
      </c>
      <c r="E8068" s="3">
        <v>1.6500000000000001E-2</v>
      </c>
      <c r="F8068" s="3">
        <v>4.8500000000000001E-2</v>
      </c>
      <c r="G8068">
        <v>957</v>
      </c>
      <c r="H8068">
        <v>941</v>
      </c>
      <c r="I8068">
        <v>1995</v>
      </c>
    </row>
    <row r="8069" spans="1:9">
      <c r="A8069" t="s">
        <v>194</v>
      </c>
      <c r="B8069" t="s">
        <v>195</v>
      </c>
      <c r="C8069" t="s">
        <v>1636</v>
      </c>
      <c r="D8069" s="3">
        <v>0.47260000000000002</v>
      </c>
      <c r="E8069" s="3">
        <v>0.19939999999999999</v>
      </c>
      <c r="F8069" s="3">
        <v>0.1033</v>
      </c>
      <c r="G8069">
        <v>957</v>
      </c>
      <c r="H8069">
        <v>941</v>
      </c>
      <c r="I8069">
        <v>1995</v>
      </c>
    </row>
    <row r="8070" spans="1:9">
      <c r="A8070" t="s">
        <v>194</v>
      </c>
      <c r="B8070" t="s">
        <v>195</v>
      </c>
      <c r="C8070" t="s">
        <v>1637</v>
      </c>
      <c r="D8070" s="3">
        <v>0.2495</v>
      </c>
      <c r="E8070" s="3">
        <v>0.1129</v>
      </c>
      <c r="F8070" s="3">
        <v>0.04</v>
      </c>
      <c r="G8070">
        <v>957</v>
      </c>
      <c r="H8070">
        <v>941</v>
      </c>
      <c r="I8070">
        <v>1995</v>
      </c>
    </row>
    <row r="8071" spans="1:9">
      <c r="A8071" t="s">
        <v>194</v>
      </c>
      <c r="B8071" t="s">
        <v>195</v>
      </c>
      <c r="C8071" t="s">
        <v>274</v>
      </c>
      <c r="D8071" s="3">
        <v>1.1999999999999999E-3</v>
      </c>
      <c r="E8071" s="3">
        <v>0.01</v>
      </c>
      <c r="F8071" s="3">
        <v>8.9999999999999993E-3</v>
      </c>
      <c r="G8071">
        <v>957</v>
      </c>
      <c r="H8071">
        <v>941</v>
      </c>
      <c r="I8071">
        <v>1995</v>
      </c>
    </row>
    <row r="8072" spans="1:9">
      <c r="A8072" t="s">
        <v>194</v>
      </c>
      <c r="B8072" t="s">
        <v>195</v>
      </c>
      <c r="C8072" t="s">
        <v>247</v>
      </c>
      <c r="D8072" s="3">
        <v>9.5999999999999992E-3</v>
      </c>
      <c r="E8072" s="3">
        <v>0</v>
      </c>
      <c r="F8072" s="3">
        <v>1.6999999999999999E-3</v>
      </c>
      <c r="G8072">
        <v>957</v>
      </c>
      <c r="H8072">
        <v>941</v>
      </c>
      <c r="I8072">
        <v>1995</v>
      </c>
    </row>
    <row r="8073" spans="1:9">
      <c r="A8073" t="s">
        <v>194</v>
      </c>
      <c r="B8073" t="s">
        <v>199</v>
      </c>
      <c r="C8073" t="s">
        <v>1624</v>
      </c>
      <c r="D8073" s="3">
        <v>6.1999999999999998E-3</v>
      </c>
      <c r="E8073" s="3">
        <v>1.7000000000000001E-2</v>
      </c>
      <c r="F8073" s="3">
        <v>3.4700000000000002E-2</v>
      </c>
      <c r="G8073">
        <v>954</v>
      </c>
      <c r="H8073">
        <v>1054</v>
      </c>
      <c r="I8073">
        <v>1995</v>
      </c>
    </row>
    <row r="8074" spans="1:9">
      <c r="A8074" t="s">
        <v>194</v>
      </c>
      <c r="B8074" t="s">
        <v>199</v>
      </c>
      <c r="C8074" t="s">
        <v>257</v>
      </c>
      <c r="D8074" s="3">
        <v>9.2999999999999992E-3</v>
      </c>
      <c r="E8074" s="3">
        <v>5.6099999999999997E-2</v>
      </c>
      <c r="F8074" s="3">
        <v>0.10539999999999999</v>
      </c>
      <c r="G8074">
        <v>954</v>
      </c>
      <c r="H8074">
        <v>1054</v>
      </c>
      <c r="I8074">
        <v>1995</v>
      </c>
    </row>
    <row r="8075" spans="1:9">
      <c r="A8075" t="s">
        <v>194</v>
      </c>
      <c r="B8075" t="s">
        <v>199</v>
      </c>
      <c r="C8075" t="s">
        <v>1638</v>
      </c>
      <c r="D8075" s="3">
        <v>2.4799999999999999E-2</v>
      </c>
      <c r="E8075" s="3">
        <v>8.3199999999999996E-2</v>
      </c>
      <c r="F8075" s="3">
        <v>0.15670000000000001</v>
      </c>
      <c r="G8075">
        <v>954</v>
      </c>
      <c r="H8075">
        <v>1054</v>
      </c>
      <c r="I8075">
        <v>1995</v>
      </c>
    </row>
    <row r="8076" spans="1:9">
      <c r="A8076" t="s">
        <v>194</v>
      </c>
      <c r="B8076" t="s">
        <v>199</v>
      </c>
      <c r="C8076" t="s">
        <v>1639</v>
      </c>
      <c r="D8076" s="3">
        <v>6.4000000000000003E-3</v>
      </c>
      <c r="E8076" s="3">
        <v>1.4800000000000001E-2</v>
      </c>
      <c r="F8076" s="3">
        <v>2.8000000000000001E-2</v>
      </c>
      <c r="G8076">
        <v>954</v>
      </c>
      <c r="H8076">
        <v>1054</v>
      </c>
      <c r="I8076">
        <v>1995</v>
      </c>
    </row>
    <row r="8077" spans="1:9">
      <c r="A8077" t="s">
        <v>194</v>
      </c>
      <c r="B8077" t="s">
        <v>199</v>
      </c>
      <c r="C8077" t="s">
        <v>1625</v>
      </c>
      <c r="D8077" s="3">
        <v>1.23E-2</v>
      </c>
      <c r="E8077" s="3">
        <v>6.7000000000000002E-3</v>
      </c>
      <c r="F8077" s="3">
        <v>2.58E-2</v>
      </c>
      <c r="G8077">
        <v>954</v>
      </c>
      <c r="H8077">
        <v>1054</v>
      </c>
      <c r="I8077">
        <v>1995</v>
      </c>
    </row>
    <row r="8078" spans="1:9">
      <c r="A8078" t="s">
        <v>194</v>
      </c>
      <c r="B8078" t="s">
        <v>199</v>
      </c>
      <c r="C8078" t="s">
        <v>1626</v>
      </c>
      <c r="D8078" s="3">
        <v>5.0000000000000001E-4</v>
      </c>
      <c r="E8078" s="3">
        <v>8.0000000000000004E-4</v>
      </c>
      <c r="F8078" s="3">
        <v>2.1999999999999999E-2</v>
      </c>
      <c r="G8078">
        <v>954</v>
      </c>
      <c r="H8078">
        <v>1054</v>
      </c>
      <c r="I8078">
        <v>1995</v>
      </c>
    </row>
    <row r="8079" spans="1:9">
      <c r="A8079" t="s">
        <v>194</v>
      </c>
      <c r="B8079" t="s">
        <v>199</v>
      </c>
      <c r="C8079" t="s">
        <v>1627</v>
      </c>
      <c r="D8079" s="3">
        <v>4.2299999999999997E-2</v>
      </c>
      <c r="E8079" s="3">
        <v>8.2199999999999995E-2</v>
      </c>
      <c r="F8079" s="3">
        <v>0.1077</v>
      </c>
      <c r="G8079">
        <v>954</v>
      </c>
      <c r="H8079">
        <v>1054</v>
      </c>
      <c r="I8079">
        <v>1995</v>
      </c>
    </row>
    <row r="8080" spans="1:9">
      <c r="A8080" t="s">
        <v>194</v>
      </c>
      <c r="B8080" t="s">
        <v>199</v>
      </c>
      <c r="C8080" t="s">
        <v>1644</v>
      </c>
      <c r="D8080" s="3">
        <v>2.9999999999999997E-4</v>
      </c>
      <c r="E8080" s="3">
        <v>2.9999999999999997E-4</v>
      </c>
      <c r="F8080" s="3">
        <v>5.7000000000000002E-3</v>
      </c>
      <c r="G8080">
        <v>954</v>
      </c>
      <c r="H8080">
        <v>1054</v>
      </c>
      <c r="I8080">
        <v>1995</v>
      </c>
    </row>
    <row r="8081" spans="1:9">
      <c r="A8081" t="s">
        <v>194</v>
      </c>
      <c r="B8081" t="s">
        <v>199</v>
      </c>
      <c r="C8081" t="s">
        <v>1628</v>
      </c>
      <c r="D8081" s="3">
        <v>4.6399999999999997E-2</v>
      </c>
      <c r="E8081" s="3">
        <v>0.12820000000000001</v>
      </c>
      <c r="F8081" s="3">
        <v>0.1013</v>
      </c>
      <c r="G8081">
        <v>954</v>
      </c>
      <c r="H8081">
        <v>1054</v>
      </c>
      <c r="I8081">
        <v>1995</v>
      </c>
    </row>
    <row r="8082" spans="1:9">
      <c r="A8082" t="s">
        <v>194</v>
      </c>
      <c r="B8082" t="s">
        <v>199</v>
      </c>
      <c r="C8082" t="s">
        <v>1629</v>
      </c>
      <c r="D8082" s="3">
        <v>6.1000000000000004E-3</v>
      </c>
      <c r="E8082" s="3">
        <v>2.5700000000000001E-2</v>
      </c>
      <c r="F8082" s="3">
        <v>0.02</v>
      </c>
      <c r="G8082">
        <v>954</v>
      </c>
      <c r="H8082">
        <v>1054</v>
      </c>
      <c r="I8082">
        <v>1995</v>
      </c>
    </row>
    <row r="8083" spans="1:9">
      <c r="A8083" t="s">
        <v>194</v>
      </c>
      <c r="B8083" t="s">
        <v>199</v>
      </c>
      <c r="C8083" t="s">
        <v>1640</v>
      </c>
      <c r="D8083" s="3">
        <v>2E-3</v>
      </c>
      <c r="E8083" s="3">
        <v>1.34E-2</v>
      </c>
      <c r="F8083" s="3">
        <v>1.2800000000000001E-2</v>
      </c>
      <c r="G8083">
        <v>954</v>
      </c>
      <c r="H8083">
        <v>1054</v>
      </c>
      <c r="I8083">
        <v>1995</v>
      </c>
    </row>
    <row r="8084" spans="1:9">
      <c r="A8084" t="s">
        <v>194</v>
      </c>
      <c r="B8084" t="s">
        <v>199</v>
      </c>
      <c r="C8084" t="s">
        <v>1630</v>
      </c>
      <c r="D8084" s="3">
        <v>5.5999999999999999E-3</v>
      </c>
      <c r="E8084" s="3">
        <v>1.77E-2</v>
      </c>
      <c r="F8084" s="3">
        <v>8.2000000000000007E-3</v>
      </c>
      <c r="G8084">
        <v>954</v>
      </c>
      <c r="H8084">
        <v>1054</v>
      </c>
      <c r="I8084">
        <v>1995</v>
      </c>
    </row>
    <row r="8085" spans="1:9">
      <c r="A8085" t="s">
        <v>194</v>
      </c>
      <c r="B8085" t="s">
        <v>199</v>
      </c>
      <c r="C8085" t="s">
        <v>1631</v>
      </c>
      <c r="D8085" s="3">
        <v>8.5000000000000006E-3</v>
      </c>
      <c r="E8085" s="3">
        <v>5.8599999999999999E-2</v>
      </c>
      <c r="F8085" s="3">
        <v>0.1036</v>
      </c>
      <c r="G8085">
        <v>954</v>
      </c>
      <c r="H8085">
        <v>1054</v>
      </c>
      <c r="I8085">
        <v>1995</v>
      </c>
    </row>
    <row r="8086" spans="1:9">
      <c r="A8086" t="s">
        <v>194</v>
      </c>
      <c r="B8086" t="s">
        <v>199</v>
      </c>
      <c r="C8086" t="s">
        <v>1641</v>
      </c>
      <c r="D8086" s="3">
        <v>4.0000000000000002E-4</v>
      </c>
      <c r="E8086" s="3">
        <v>1E-3</v>
      </c>
      <c r="F8086" s="3">
        <v>8.5000000000000006E-3</v>
      </c>
      <c r="G8086">
        <v>954</v>
      </c>
      <c r="H8086">
        <v>1054</v>
      </c>
      <c r="I8086">
        <v>1995</v>
      </c>
    </row>
    <row r="8087" spans="1:9">
      <c r="A8087" t="s">
        <v>194</v>
      </c>
      <c r="B8087" t="s">
        <v>199</v>
      </c>
      <c r="C8087" t="s">
        <v>1632</v>
      </c>
      <c r="D8087" s="3">
        <v>2.7799999999999998E-2</v>
      </c>
      <c r="E8087" s="3">
        <v>7.4899999999999994E-2</v>
      </c>
      <c r="F8087" s="3">
        <v>7.4899999999999994E-2</v>
      </c>
      <c r="G8087">
        <v>954</v>
      </c>
      <c r="H8087">
        <v>1054</v>
      </c>
      <c r="I8087">
        <v>1995</v>
      </c>
    </row>
    <row r="8088" spans="1:9">
      <c r="A8088" t="s">
        <v>194</v>
      </c>
      <c r="B8088" t="s">
        <v>199</v>
      </c>
      <c r="C8088" t="s">
        <v>1633</v>
      </c>
      <c r="D8088" s="3">
        <v>0</v>
      </c>
      <c r="E8088" s="3">
        <v>7.9000000000000008E-3</v>
      </c>
      <c r="F8088" s="3">
        <v>1.14E-2</v>
      </c>
      <c r="G8088">
        <v>954</v>
      </c>
      <c r="H8088">
        <v>1054</v>
      </c>
      <c r="I8088">
        <v>1995</v>
      </c>
    </row>
    <row r="8089" spans="1:9">
      <c r="A8089" t="s">
        <v>194</v>
      </c>
      <c r="B8089" t="s">
        <v>199</v>
      </c>
      <c r="C8089" t="s">
        <v>1634</v>
      </c>
      <c r="D8089" s="3">
        <v>4.0000000000000002E-4</v>
      </c>
      <c r="E8089" s="3">
        <v>6.4000000000000003E-3</v>
      </c>
      <c r="F8089" s="3">
        <v>7.7999999999999996E-3</v>
      </c>
      <c r="G8089">
        <v>954</v>
      </c>
      <c r="H8089">
        <v>1054</v>
      </c>
      <c r="I8089">
        <v>1995</v>
      </c>
    </row>
    <row r="8090" spans="1:9">
      <c r="A8090" t="s">
        <v>194</v>
      </c>
      <c r="B8090" t="s">
        <v>199</v>
      </c>
      <c r="C8090" t="s">
        <v>1642</v>
      </c>
      <c r="D8090" s="3">
        <v>2.9999999999999997E-4</v>
      </c>
      <c r="E8090" s="3">
        <v>5.0000000000000001E-4</v>
      </c>
      <c r="F8090" s="3">
        <v>1.15E-2</v>
      </c>
      <c r="G8090">
        <v>954</v>
      </c>
      <c r="H8090">
        <v>1054</v>
      </c>
      <c r="I8090">
        <v>1995</v>
      </c>
    </row>
    <row r="8091" spans="1:9">
      <c r="A8091" t="s">
        <v>194</v>
      </c>
      <c r="B8091" t="s">
        <v>199</v>
      </c>
      <c r="C8091" t="s">
        <v>1635</v>
      </c>
      <c r="D8091" s="3">
        <v>1.2999999999999999E-3</v>
      </c>
      <c r="E8091" s="3">
        <v>9.7000000000000003E-3</v>
      </c>
      <c r="F8091" s="3">
        <v>3.1300000000000001E-2</v>
      </c>
      <c r="G8091">
        <v>954</v>
      </c>
      <c r="H8091">
        <v>1054</v>
      </c>
      <c r="I8091">
        <v>1995</v>
      </c>
    </row>
    <row r="8092" spans="1:9">
      <c r="A8092" t="s">
        <v>194</v>
      </c>
      <c r="B8092" t="s">
        <v>199</v>
      </c>
      <c r="C8092" t="s">
        <v>1636</v>
      </c>
      <c r="D8092" s="3">
        <v>0.26860000000000001</v>
      </c>
      <c r="E8092" s="3">
        <v>0.2555</v>
      </c>
      <c r="F8092" s="3">
        <v>4.0399999999999998E-2</v>
      </c>
      <c r="G8092">
        <v>954</v>
      </c>
      <c r="H8092">
        <v>1054</v>
      </c>
      <c r="I8092">
        <v>1995</v>
      </c>
    </row>
    <row r="8093" spans="1:9">
      <c r="A8093" t="s">
        <v>194</v>
      </c>
      <c r="B8093" t="s">
        <v>199</v>
      </c>
      <c r="C8093" t="s">
        <v>1637</v>
      </c>
      <c r="D8093" s="3">
        <v>0.52990000000000004</v>
      </c>
      <c r="E8093" s="3">
        <v>0.10780000000000001</v>
      </c>
      <c r="F8093" s="3">
        <v>3.3799999999999997E-2</v>
      </c>
      <c r="G8093">
        <v>954</v>
      </c>
      <c r="H8093">
        <v>1054</v>
      </c>
      <c r="I8093">
        <v>1995</v>
      </c>
    </row>
    <row r="8094" spans="1:9">
      <c r="A8094" t="s">
        <v>194</v>
      </c>
      <c r="B8094" t="s">
        <v>199</v>
      </c>
      <c r="C8094" t="s">
        <v>274</v>
      </c>
      <c r="D8094" s="3">
        <v>2.9999999999999997E-4</v>
      </c>
      <c r="E8094" s="3">
        <v>8.3999999999999995E-3</v>
      </c>
      <c r="F8094" s="3">
        <v>1.9300000000000001E-2</v>
      </c>
      <c r="G8094">
        <v>954</v>
      </c>
      <c r="H8094">
        <v>1054</v>
      </c>
      <c r="I8094">
        <v>1995</v>
      </c>
    </row>
    <row r="8095" spans="1:9">
      <c r="A8095" t="s">
        <v>194</v>
      </c>
      <c r="B8095" t="s">
        <v>199</v>
      </c>
      <c r="C8095" t="s">
        <v>247</v>
      </c>
      <c r="D8095" s="3">
        <v>2.0000000000000001E-4</v>
      </c>
      <c r="F8095" s="3">
        <v>1E-3</v>
      </c>
      <c r="G8095">
        <v>954</v>
      </c>
      <c r="H8095">
        <v>1054</v>
      </c>
      <c r="I8095">
        <v>1995</v>
      </c>
    </row>
    <row r="8096" spans="1:9">
      <c r="A8096" t="s">
        <v>194</v>
      </c>
      <c r="B8096" t="s">
        <v>199</v>
      </c>
      <c r="C8096" t="s">
        <v>1643</v>
      </c>
      <c r="D8096" s="3">
        <v>1E-4</v>
      </c>
      <c r="E8096" s="3">
        <v>2.3400000000000001E-2</v>
      </c>
      <c r="F8096" s="3">
        <v>2.8400000000000002E-2</v>
      </c>
      <c r="G8096">
        <v>954</v>
      </c>
      <c r="H8096">
        <v>1054</v>
      </c>
      <c r="I8096">
        <v>1995</v>
      </c>
    </row>
    <row r="8097" spans="1:9">
      <c r="A8097" t="s">
        <v>200</v>
      </c>
      <c r="B8097" t="s">
        <v>200</v>
      </c>
      <c r="C8097" t="s">
        <v>1624</v>
      </c>
      <c r="D8097" s="3">
        <v>4.4999999999999997E-3</v>
      </c>
      <c r="E8097" s="3">
        <v>1.54E-2</v>
      </c>
      <c r="F8097" s="3">
        <v>2.52E-2</v>
      </c>
      <c r="G8097">
        <v>1995</v>
      </c>
      <c r="H8097">
        <v>1995</v>
      </c>
      <c r="I8097">
        <v>1995</v>
      </c>
    </row>
    <row r="8098" spans="1:9">
      <c r="A8098" t="s">
        <v>200</v>
      </c>
      <c r="B8098" t="s">
        <v>200</v>
      </c>
      <c r="C8098" t="s">
        <v>257</v>
      </c>
      <c r="D8098" s="3">
        <v>6.8999999999999999E-3</v>
      </c>
      <c r="E8098" s="3">
        <v>4.1799999999999997E-2</v>
      </c>
      <c r="F8098" s="3">
        <v>6.8900000000000003E-2</v>
      </c>
      <c r="G8098">
        <v>1995</v>
      </c>
      <c r="H8098">
        <v>1995</v>
      </c>
      <c r="I8098">
        <v>1995</v>
      </c>
    </row>
    <row r="8099" spans="1:9">
      <c r="A8099" t="s">
        <v>200</v>
      </c>
      <c r="B8099" t="s">
        <v>200</v>
      </c>
      <c r="C8099" t="s">
        <v>1638</v>
      </c>
      <c r="D8099" s="3">
        <v>1.4999999999999999E-2</v>
      </c>
      <c r="E8099" s="3">
        <v>7.5200000000000003E-2</v>
      </c>
      <c r="F8099" s="3">
        <v>0.1067</v>
      </c>
      <c r="G8099">
        <v>1995</v>
      </c>
      <c r="H8099">
        <v>1995</v>
      </c>
      <c r="I8099">
        <v>1995</v>
      </c>
    </row>
    <row r="8100" spans="1:9">
      <c r="A8100" t="s">
        <v>200</v>
      </c>
      <c r="B8100" t="s">
        <v>200</v>
      </c>
      <c r="C8100" t="s">
        <v>1639</v>
      </c>
      <c r="D8100" s="3">
        <v>4.7000000000000002E-3</v>
      </c>
      <c r="E8100" s="3">
        <v>2.41E-2</v>
      </c>
      <c r="F8100" s="3">
        <v>2.0500000000000001E-2</v>
      </c>
      <c r="G8100">
        <v>1995</v>
      </c>
      <c r="H8100">
        <v>1995</v>
      </c>
      <c r="I8100">
        <v>1995</v>
      </c>
    </row>
    <row r="8101" spans="1:9">
      <c r="A8101" t="s">
        <v>200</v>
      </c>
      <c r="B8101" t="s">
        <v>200</v>
      </c>
      <c r="C8101" t="s">
        <v>1625</v>
      </c>
      <c r="D8101" s="3">
        <v>4.2700000000000002E-2</v>
      </c>
      <c r="E8101" s="3">
        <v>4.3299999999999998E-2</v>
      </c>
      <c r="F8101" s="3">
        <v>4.7500000000000001E-2</v>
      </c>
      <c r="G8101">
        <v>1995</v>
      </c>
      <c r="H8101">
        <v>1995</v>
      </c>
      <c r="I8101">
        <v>1995</v>
      </c>
    </row>
    <row r="8102" spans="1:9">
      <c r="A8102" t="s">
        <v>200</v>
      </c>
      <c r="B8102" t="s">
        <v>200</v>
      </c>
      <c r="C8102" t="s">
        <v>1626</v>
      </c>
      <c r="D8102" s="3">
        <v>4.0000000000000002E-4</v>
      </c>
      <c r="E8102" s="3">
        <v>2.3E-3</v>
      </c>
      <c r="F8102" s="3">
        <v>1.0999999999999999E-2</v>
      </c>
      <c r="G8102">
        <v>1995</v>
      </c>
      <c r="H8102">
        <v>1995</v>
      </c>
      <c r="I8102">
        <v>1995</v>
      </c>
    </row>
    <row r="8103" spans="1:9">
      <c r="A8103" t="s">
        <v>200</v>
      </c>
      <c r="B8103" t="s">
        <v>200</v>
      </c>
      <c r="C8103" t="s">
        <v>1627</v>
      </c>
      <c r="D8103" s="3">
        <v>4.7199999999999999E-2</v>
      </c>
      <c r="E8103" s="3">
        <v>9.3700000000000006E-2</v>
      </c>
      <c r="F8103" s="3">
        <v>0.14050000000000001</v>
      </c>
      <c r="G8103">
        <v>1995</v>
      </c>
      <c r="H8103">
        <v>1995</v>
      </c>
      <c r="I8103">
        <v>1995</v>
      </c>
    </row>
    <row r="8104" spans="1:9">
      <c r="A8104" t="s">
        <v>200</v>
      </c>
      <c r="B8104" t="s">
        <v>200</v>
      </c>
      <c r="C8104" t="s">
        <v>1644</v>
      </c>
      <c r="D8104" s="3">
        <v>2.0000000000000001E-4</v>
      </c>
      <c r="E8104" s="3">
        <v>3.3E-3</v>
      </c>
      <c r="F8104" s="3">
        <v>1.09E-2</v>
      </c>
      <c r="G8104">
        <v>1995</v>
      </c>
      <c r="H8104">
        <v>1995</v>
      </c>
      <c r="I8104">
        <v>1995</v>
      </c>
    </row>
    <row r="8105" spans="1:9">
      <c r="A8105" t="s">
        <v>200</v>
      </c>
      <c r="B8105" t="s">
        <v>200</v>
      </c>
      <c r="C8105" t="s">
        <v>1628</v>
      </c>
      <c r="D8105" s="3">
        <v>3.2500000000000001E-2</v>
      </c>
      <c r="E8105" s="3">
        <v>8.48E-2</v>
      </c>
      <c r="F8105" s="3">
        <v>7.0499999999999993E-2</v>
      </c>
      <c r="G8105">
        <v>1995</v>
      </c>
      <c r="H8105">
        <v>1995</v>
      </c>
      <c r="I8105">
        <v>1995</v>
      </c>
    </row>
    <row r="8106" spans="1:9">
      <c r="A8106" t="s">
        <v>200</v>
      </c>
      <c r="B8106" t="s">
        <v>200</v>
      </c>
      <c r="C8106" t="s">
        <v>1629</v>
      </c>
      <c r="D8106" s="3">
        <v>6.0000000000000001E-3</v>
      </c>
      <c r="E8106" s="3">
        <v>1.37E-2</v>
      </c>
      <c r="F8106" s="3">
        <v>1.24E-2</v>
      </c>
      <c r="G8106">
        <v>1995</v>
      </c>
      <c r="H8106">
        <v>1995</v>
      </c>
      <c r="I8106">
        <v>1995</v>
      </c>
    </row>
    <row r="8107" spans="1:9">
      <c r="A8107" t="s">
        <v>200</v>
      </c>
      <c r="B8107" t="s">
        <v>200</v>
      </c>
      <c r="C8107" t="s">
        <v>1640</v>
      </c>
      <c r="D8107" s="3">
        <v>2.2000000000000001E-3</v>
      </c>
      <c r="E8107" s="3">
        <v>8.3999999999999995E-3</v>
      </c>
      <c r="F8107" s="3">
        <v>7.0000000000000001E-3</v>
      </c>
      <c r="G8107">
        <v>1995</v>
      </c>
      <c r="H8107">
        <v>1995</v>
      </c>
      <c r="I8107">
        <v>1995</v>
      </c>
    </row>
    <row r="8108" spans="1:9">
      <c r="A8108" t="s">
        <v>200</v>
      </c>
      <c r="B8108" t="s">
        <v>200</v>
      </c>
      <c r="C8108" t="s">
        <v>1630</v>
      </c>
      <c r="D8108" s="3">
        <v>7.6E-3</v>
      </c>
      <c r="E8108" s="3">
        <v>2.18E-2</v>
      </c>
      <c r="F8108" s="3">
        <v>1.41E-2</v>
      </c>
      <c r="G8108">
        <v>1995</v>
      </c>
      <c r="H8108">
        <v>1995</v>
      </c>
      <c r="I8108">
        <v>1995</v>
      </c>
    </row>
    <row r="8109" spans="1:9">
      <c r="A8109" t="s">
        <v>200</v>
      </c>
      <c r="B8109" t="s">
        <v>200</v>
      </c>
      <c r="C8109" t="s">
        <v>1631</v>
      </c>
      <c r="D8109" s="3">
        <v>2.3900000000000001E-2</v>
      </c>
      <c r="E8109" s="3">
        <v>0.112</v>
      </c>
      <c r="F8109" s="3">
        <v>0.1164</v>
      </c>
      <c r="G8109">
        <v>1995</v>
      </c>
      <c r="H8109">
        <v>1995</v>
      </c>
      <c r="I8109">
        <v>1995</v>
      </c>
    </row>
    <row r="8110" spans="1:9">
      <c r="A8110" t="s">
        <v>200</v>
      </c>
      <c r="B8110" t="s">
        <v>200</v>
      </c>
      <c r="C8110" t="s">
        <v>1641</v>
      </c>
      <c r="D8110" s="3">
        <v>2.3E-3</v>
      </c>
      <c r="E8110" s="3">
        <v>5.0000000000000001E-3</v>
      </c>
      <c r="F8110" s="3">
        <v>2.3599999999999999E-2</v>
      </c>
      <c r="G8110">
        <v>1995</v>
      </c>
      <c r="H8110">
        <v>1995</v>
      </c>
      <c r="I8110">
        <v>1995</v>
      </c>
    </row>
    <row r="8111" spans="1:9">
      <c r="A8111" t="s">
        <v>200</v>
      </c>
      <c r="B8111" t="s">
        <v>200</v>
      </c>
      <c r="C8111" t="s">
        <v>1632</v>
      </c>
      <c r="D8111" s="3">
        <v>2.4199999999999999E-2</v>
      </c>
      <c r="E8111" s="3">
        <v>6.3799999999999996E-2</v>
      </c>
      <c r="F8111" s="3">
        <v>9.1399999999999995E-2</v>
      </c>
      <c r="G8111">
        <v>1995</v>
      </c>
      <c r="H8111">
        <v>1995</v>
      </c>
      <c r="I8111">
        <v>1995</v>
      </c>
    </row>
    <row r="8112" spans="1:9">
      <c r="A8112" t="s">
        <v>200</v>
      </c>
      <c r="B8112" t="s">
        <v>200</v>
      </c>
      <c r="C8112" t="s">
        <v>1633</v>
      </c>
      <c r="D8112" s="3">
        <v>3.2000000000000002E-3</v>
      </c>
      <c r="E8112" s="3">
        <v>4.5999999999999999E-3</v>
      </c>
      <c r="F8112" s="3">
        <v>1.3599999999999999E-2</v>
      </c>
      <c r="G8112">
        <v>1995</v>
      </c>
      <c r="H8112">
        <v>1995</v>
      </c>
      <c r="I8112">
        <v>1995</v>
      </c>
    </row>
    <row r="8113" spans="1:10">
      <c r="A8113" t="s">
        <v>200</v>
      </c>
      <c r="B8113" t="s">
        <v>200</v>
      </c>
      <c r="C8113" t="s">
        <v>1634</v>
      </c>
      <c r="D8113" s="3">
        <v>3.8999999999999998E-3</v>
      </c>
      <c r="E8113" s="3">
        <v>1.55E-2</v>
      </c>
      <c r="F8113" s="3">
        <v>2.1299999999999999E-2</v>
      </c>
      <c r="G8113">
        <v>1995</v>
      </c>
      <c r="H8113">
        <v>1995</v>
      </c>
      <c r="I8113">
        <v>1995</v>
      </c>
    </row>
    <row r="8114" spans="1:10">
      <c r="A8114" t="s">
        <v>200</v>
      </c>
      <c r="B8114" t="s">
        <v>200</v>
      </c>
      <c r="C8114" t="s">
        <v>1642</v>
      </c>
      <c r="D8114" s="3">
        <v>1.1000000000000001E-3</v>
      </c>
      <c r="E8114" s="3">
        <v>2.0000000000000001E-4</v>
      </c>
      <c r="F8114" s="3">
        <v>7.3000000000000001E-3</v>
      </c>
      <c r="G8114">
        <v>1995</v>
      </c>
      <c r="H8114">
        <v>1995</v>
      </c>
      <c r="I8114">
        <v>1995</v>
      </c>
    </row>
    <row r="8115" spans="1:10">
      <c r="A8115" t="s">
        <v>200</v>
      </c>
      <c r="B8115" t="s">
        <v>200</v>
      </c>
      <c r="C8115" t="s">
        <v>1635</v>
      </c>
      <c r="D8115" s="3">
        <v>5.3E-3</v>
      </c>
      <c r="E8115" s="3">
        <v>1.3299999999999999E-2</v>
      </c>
      <c r="F8115" s="3">
        <v>4.1500000000000002E-2</v>
      </c>
      <c r="G8115">
        <v>1995</v>
      </c>
      <c r="H8115">
        <v>1995</v>
      </c>
      <c r="I8115">
        <v>1995</v>
      </c>
    </row>
    <row r="8116" spans="1:10">
      <c r="A8116" t="s">
        <v>200</v>
      </c>
      <c r="B8116" t="s">
        <v>200</v>
      </c>
      <c r="C8116" t="s">
        <v>1636</v>
      </c>
      <c r="D8116" s="3">
        <v>0.37080000000000002</v>
      </c>
      <c r="E8116" s="3">
        <v>0.2258</v>
      </c>
      <c r="F8116" s="3">
        <v>7.7700000000000005E-2</v>
      </c>
      <c r="G8116">
        <v>1995</v>
      </c>
      <c r="H8116">
        <v>1995</v>
      </c>
      <c r="I8116">
        <v>1995</v>
      </c>
    </row>
    <row r="8117" spans="1:10">
      <c r="A8117" t="s">
        <v>200</v>
      </c>
      <c r="B8117" t="s">
        <v>200</v>
      </c>
      <c r="C8117" t="s">
        <v>1637</v>
      </c>
      <c r="D8117" s="3">
        <v>0.38950000000000001</v>
      </c>
      <c r="E8117" s="3">
        <v>0.1105</v>
      </c>
      <c r="F8117" s="3">
        <v>3.7499999999999999E-2</v>
      </c>
      <c r="G8117">
        <v>1995</v>
      </c>
      <c r="H8117">
        <v>1995</v>
      </c>
      <c r="I8117">
        <v>1995</v>
      </c>
    </row>
    <row r="8118" spans="1:10">
      <c r="A8118" t="s">
        <v>200</v>
      </c>
      <c r="B8118" t="s">
        <v>200</v>
      </c>
      <c r="C8118" t="s">
        <v>274</v>
      </c>
      <c r="D8118" s="3">
        <v>6.9999999999999999E-4</v>
      </c>
      <c r="E8118" s="3">
        <v>9.1999999999999998E-3</v>
      </c>
      <c r="F8118" s="3">
        <v>1.32E-2</v>
      </c>
      <c r="G8118">
        <v>1995</v>
      </c>
      <c r="H8118">
        <v>1995</v>
      </c>
      <c r="I8118">
        <v>1995</v>
      </c>
    </row>
    <row r="8119" spans="1:10">
      <c r="A8119" t="s">
        <v>200</v>
      </c>
      <c r="B8119" t="s">
        <v>200</v>
      </c>
      <c r="C8119" t="s">
        <v>247</v>
      </c>
      <c r="D8119" s="3">
        <v>4.8999999999999998E-3</v>
      </c>
      <c r="E8119" s="3">
        <v>0</v>
      </c>
      <c r="F8119" s="3">
        <v>1.4E-3</v>
      </c>
      <c r="G8119">
        <v>1995</v>
      </c>
      <c r="H8119">
        <v>1995</v>
      </c>
      <c r="I8119">
        <v>1995</v>
      </c>
    </row>
    <row r="8120" spans="1:10">
      <c r="A8120" t="s">
        <v>200</v>
      </c>
      <c r="B8120" t="s">
        <v>200</v>
      </c>
      <c r="C8120" t="s">
        <v>1643</v>
      </c>
      <c r="D8120" s="3">
        <v>1E-4</v>
      </c>
      <c r="E8120" s="3">
        <v>1.2E-2</v>
      </c>
      <c r="F8120" s="3">
        <v>0.02</v>
      </c>
      <c r="G8120">
        <v>1995</v>
      </c>
      <c r="H8120">
        <v>1995</v>
      </c>
      <c r="I8120">
        <v>1995</v>
      </c>
    </row>
    <row r="8122" spans="1:10" ht="45">
      <c r="A8122" s="22" t="s">
        <v>1650</v>
      </c>
    </row>
    <row r="8123" spans="1:10">
      <c r="A8123" t="s">
        <v>184</v>
      </c>
      <c r="B8123" t="s">
        <v>185</v>
      </c>
      <c r="C8123" t="s">
        <v>186</v>
      </c>
      <c r="D8123" t="s">
        <v>1007</v>
      </c>
      <c r="E8123" t="s">
        <v>1621</v>
      </c>
      <c r="F8123" t="s">
        <v>1622</v>
      </c>
      <c r="G8123" t="s">
        <v>1623</v>
      </c>
      <c r="H8123" t="s">
        <v>1018</v>
      </c>
      <c r="I8123" t="s">
        <v>192</v>
      </c>
      <c r="J8123" t="s">
        <v>193</v>
      </c>
    </row>
    <row r="8124" spans="1:10">
      <c r="A8124" t="s">
        <v>194</v>
      </c>
      <c r="B8124" t="s">
        <v>195</v>
      </c>
      <c r="C8124" t="s">
        <v>212</v>
      </c>
      <c r="D8124" t="s">
        <v>1624</v>
      </c>
      <c r="E8124" s="3">
        <v>3.7000000000000002E-3</v>
      </c>
      <c r="F8124" s="3">
        <v>1.8200000000000001E-2</v>
      </c>
      <c r="G8124" s="3">
        <v>2.3400000000000001E-2</v>
      </c>
      <c r="H8124">
        <v>721</v>
      </c>
      <c r="I8124">
        <v>688</v>
      </c>
      <c r="J8124">
        <v>1995</v>
      </c>
    </row>
    <row r="8125" spans="1:10">
      <c r="A8125" t="s">
        <v>194</v>
      </c>
      <c r="B8125" t="s">
        <v>195</v>
      </c>
      <c r="C8125" t="s">
        <v>212</v>
      </c>
      <c r="D8125" t="s">
        <v>257</v>
      </c>
      <c r="E8125" s="3">
        <v>4.4999999999999997E-3</v>
      </c>
      <c r="F8125" s="3">
        <v>3.3300000000000003E-2</v>
      </c>
      <c r="G8125" s="3">
        <v>4.65E-2</v>
      </c>
      <c r="H8125">
        <v>721</v>
      </c>
      <c r="I8125">
        <v>688</v>
      </c>
      <c r="J8125">
        <v>1995</v>
      </c>
    </row>
    <row r="8126" spans="1:10">
      <c r="A8126" t="s">
        <v>194</v>
      </c>
      <c r="B8126" t="s">
        <v>195</v>
      </c>
      <c r="C8126" t="s">
        <v>212</v>
      </c>
      <c r="D8126" t="s">
        <v>1638</v>
      </c>
      <c r="E8126" s="3">
        <v>4.7999999999999996E-3</v>
      </c>
      <c r="F8126" s="3">
        <v>7.0400000000000004E-2</v>
      </c>
      <c r="G8126" s="3">
        <v>8.6099999999999996E-2</v>
      </c>
      <c r="H8126">
        <v>721</v>
      </c>
      <c r="I8126">
        <v>688</v>
      </c>
      <c r="J8126">
        <v>1995</v>
      </c>
    </row>
    <row r="8127" spans="1:10">
      <c r="A8127" t="s">
        <v>194</v>
      </c>
      <c r="B8127" t="s">
        <v>195</v>
      </c>
      <c r="C8127" t="s">
        <v>212</v>
      </c>
      <c r="D8127" t="s">
        <v>1639</v>
      </c>
      <c r="E8127" s="3">
        <v>2.7000000000000001E-3</v>
      </c>
      <c r="F8127" s="3">
        <v>2.4400000000000002E-2</v>
      </c>
      <c r="G8127" s="3">
        <v>1.7899999999999999E-2</v>
      </c>
      <c r="H8127">
        <v>721</v>
      </c>
      <c r="I8127">
        <v>688</v>
      </c>
      <c r="J8127">
        <v>1995</v>
      </c>
    </row>
    <row r="8128" spans="1:10">
      <c r="A8128" t="s">
        <v>194</v>
      </c>
      <c r="B8128" t="s">
        <v>195</v>
      </c>
      <c r="C8128" t="s">
        <v>212</v>
      </c>
      <c r="D8128" t="s">
        <v>1625</v>
      </c>
      <c r="E8128" s="3">
        <v>8.4400000000000003E-2</v>
      </c>
      <c r="F8128" s="3">
        <v>8.2400000000000001E-2</v>
      </c>
      <c r="G8128" s="3">
        <v>4.4400000000000002E-2</v>
      </c>
      <c r="H8128">
        <v>721</v>
      </c>
      <c r="I8128">
        <v>688</v>
      </c>
      <c r="J8128">
        <v>1995</v>
      </c>
    </row>
    <row r="8129" spans="1:10">
      <c r="A8129" t="s">
        <v>194</v>
      </c>
      <c r="B8129" t="s">
        <v>195</v>
      </c>
      <c r="C8129" t="s">
        <v>212</v>
      </c>
      <c r="D8129" t="s">
        <v>1627</v>
      </c>
      <c r="E8129" s="3">
        <v>6.3799999999999996E-2</v>
      </c>
      <c r="F8129" s="3">
        <v>9.4100000000000003E-2</v>
      </c>
      <c r="G8129" s="3">
        <v>0.1711</v>
      </c>
      <c r="H8129">
        <v>721</v>
      </c>
      <c r="I8129">
        <v>688</v>
      </c>
      <c r="J8129">
        <v>1995</v>
      </c>
    </row>
    <row r="8130" spans="1:10">
      <c r="A8130" t="s">
        <v>194</v>
      </c>
      <c r="B8130" t="s">
        <v>195</v>
      </c>
      <c r="C8130" t="s">
        <v>212</v>
      </c>
      <c r="D8130" t="s">
        <v>1628</v>
      </c>
      <c r="E8130" s="3">
        <v>2.2800000000000001E-2</v>
      </c>
      <c r="F8130" s="3">
        <v>4.5400000000000003E-2</v>
      </c>
      <c r="G8130" s="3">
        <v>2.8199999999999999E-2</v>
      </c>
      <c r="H8130">
        <v>721</v>
      </c>
      <c r="I8130">
        <v>688</v>
      </c>
      <c r="J8130">
        <v>1995</v>
      </c>
    </row>
    <row r="8131" spans="1:10">
      <c r="A8131" t="s">
        <v>194</v>
      </c>
      <c r="B8131" t="s">
        <v>195</v>
      </c>
      <c r="C8131" t="s">
        <v>212</v>
      </c>
      <c r="D8131" t="s">
        <v>1629</v>
      </c>
      <c r="E8131" s="3">
        <v>2.3999999999999998E-3</v>
      </c>
      <c r="F8131" s="3">
        <v>3.3999999999999998E-3</v>
      </c>
      <c r="G8131" s="3">
        <v>8.8000000000000005E-3</v>
      </c>
      <c r="H8131">
        <v>721</v>
      </c>
      <c r="I8131">
        <v>688</v>
      </c>
      <c r="J8131">
        <v>1995</v>
      </c>
    </row>
    <row r="8132" spans="1:10">
      <c r="A8132" t="s">
        <v>194</v>
      </c>
      <c r="B8132" t="s">
        <v>195</v>
      </c>
      <c r="C8132" t="s">
        <v>212</v>
      </c>
      <c r="D8132" t="s">
        <v>1640</v>
      </c>
      <c r="E8132" s="3">
        <v>3.0000000000000001E-3</v>
      </c>
      <c r="F8132" s="3">
        <v>5.0000000000000001E-3</v>
      </c>
      <c r="G8132" s="3">
        <v>3.8999999999999998E-3</v>
      </c>
      <c r="H8132">
        <v>721</v>
      </c>
      <c r="I8132">
        <v>688</v>
      </c>
      <c r="J8132">
        <v>1995</v>
      </c>
    </row>
    <row r="8133" spans="1:10">
      <c r="A8133" t="s">
        <v>194</v>
      </c>
      <c r="B8133" t="s">
        <v>195</v>
      </c>
      <c r="C8133" t="s">
        <v>212</v>
      </c>
      <c r="D8133" t="s">
        <v>1630</v>
      </c>
      <c r="E8133" s="3">
        <v>1.24E-2</v>
      </c>
      <c r="F8133" s="3">
        <v>2.3400000000000001E-2</v>
      </c>
      <c r="G8133" s="3">
        <v>2.4199999999999999E-2</v>
      </c>
      <c r="H8133">
        <v>721</v>
      </c>
      <c r="I8133">
        <v>688</v>
      </c>
      <c r="J8133">
        <v>1995</v>
      </c>
    </row>
    <row r="8134" spans="1:10">
      <c r="A8134" t="s">
        <v>194</v>
      </c>
      <c r="B8134" t="s">
        <v>195</v>
      </c>
      <c r="C8134" t="s">
        <v>212</v>
      </c>
      <c r="D8134" t="s">
        <v>1631</v>
      </c>
      <c r="E8134" s="3">
        <v>4.7500000000000001E-2</v>
      </c>
      <c r="F8134" s="3">
        <v>0.15329999999999999</v>
      </c>
      <c r="G8134" s="3">
        <v>0.1065</v>
      </c>
      <c r="H8134">
        <v>721</v>
      </c>
      <c r="I8134">
        <v>688</v>
      </c>
      <c r="J8134">
        <v>1995</v>
      </c>
    </row>
    <row r="8135" spans="1:10">
      <c r="A8135" t="s">
        <v>194</v>
      </c>
      <c r="B8135" t="s">
        <v>195</v>
      </c>
      <c r="C8135" t="s">
        <v>212</v>
      </c>
      <c r="D8135" t="s">
        <v>1641</v>
      </c>
      <c r="E8135" s="3">
        <v>4.1999999999999997E-3</v>
      </c>
      <c r="F8135" s="3">
        <v>5.5999999999999999E-3</v>
      </c>
      <c r="G8135" s="3">
        <v>2.7900000000000001E-2</v>
      </c>
      <c r="H8135">
        <v>721</v>
      </c>
      <c r="I8135">
        <v>688</v>
      </c>
      <c r="J8135">
        <v>1995</v>
      </c>
    </row>
    <row r="8136" spans="1:10">
      <c r="A8136" t="s">
        <v>194</v>
      </c>
      <c r="B8136" t="s">
        <v>195</v>
      </c>
      <c r="C8136" t="s">
        <v>212</v>
      </c>
      <c r="D8136" t="s">
        <v>1632</v>
      </c>
      <c r="E8136" s="3">
        <v>1.7899999999999999E-2</v>
      </c>
      <c r="F8136" s="3">
        <v>5.5300000000000002E-2</v>
      </c>
      <c r="G8136" s="3">
        <v>0.11650000000000001</v>
      </c>
      <c r="H8136">
        <v>721</v>
      </c>
      <c r="I8136">
        <v>688</v>
      </c>
      <c r="J8136">
        <v>1995</v>
      </c>
    </row>
    <row r="8137" spans="1:10">
      <c r="A8137" t="s">
        <v>194</v>
      </c>
      <c r="B8137" t="s">
        <v>195</v>
      </c>
      <c r="C8137" t="s">
        <v>212</v>
      </c>
      <c r="D8137" t="s">
        <v>1633</v>
      </c>
      <c r="E8137" s="3">
        <v>7.9000000000000008E-3</v>
      </c>
      <c r="F8137" s="3">
        <v>2.0999999999999999E-3</v>
      </c>
      <c r="G8137" s="3">
        <v>1.8800000000000001E-2</v>
      </c>
      <c r="H8137">
        <v>721</v>
      </c>
      <c r="I8137">
        <v>688</v>
      </c>
      <c r="J8137">
        <v>1995</v>
      </c>
    </row>
    <row r="8138" spans="1:10">
      <c r="A8138" t="s">
        <v>194</v>
      </c>
      <c r="B8138" t="s">
        <v>195</v>
      </c>
      <c r="C8138" t="s">
        <v>212</v>
      </c>
      <c r="D8138" t="s">
        <v>1634</v>
      </c>
      <c r="E8138" s="3">
        <v>4.1999999999999997E-3</v>
      </c>
      <c r="F8138" s="3">
        <v>2.6200000000000001E-2</v>
      </c>
      <c r="G8138" s="3">
        <v>3.0300000000000001E-2</v>
      </c>
      <c r="H8138">
        <v>721</v>
      </c>
      <c r="I8138">
        <v>688</v>
      </c>
      <c r="J8138">
        <v>1995</v>
      </c>
    </row>
    <row r="8139" spans="1:10">
      <c r="A8139" t="s">
        <v>194</v>
      </c>
      <c r="B8139" t="s">
        <v>195</v>
      </c>
      <c r="C8139" t="s">
        <v>212</v>
      </c>
      <c r="D8139" t="s">
        <v>1642</v>
      </c>
      <c r="E8139" s="3">
        <v>2.5999999999999999E-3</v>
      </c>
      <c r="H8139">
        <v>721</v>
      </c>
      <c r="I8139">
        <v>688</v>
      </c>
      <c r="J8139">
        <v>1995</v>
      </c>
    </row>
    <row r="8140" spans="1:10">
      <c r="A8140" t="s">
        <v>194</v>
      </c>
      <c r="B8140" t="s">
        <v>195</v>
      </c>
      <c r="C8140" t="s">
        <v>212</v>
      </c>
      <c r="D8140" t="s">
        <v>1635</v>
      </c>
      <c r="E8140" s="3">
        <v>8.8999999999999999E-3</v>
      </c>
      <c r="F8140" s="3">
        <v>1.11E-2</v>
      </c>
      <c r="G8140" s="3">
        <v>4.9399999999999999E-2</v>
      </c>
      <c r="H8140">
        <v>721</v>
      </c>
      <c r="I8140">
        <v>688</v>
      </c>
      <c r="J8140">
        <v>1995</v>
      </c>
    </row>
    <row r="8141" spans="1:10">
      <c r="A8141" t="s">
        <v>194</v>
      </c>
      <c r="B8141" t="s">
        <v>195</v>
      </c>
      <c r="C8141" t="s">
        <v>212</v>
      </c>
      <c r="D8141" t="s">
        <v>1636</v>
      </c>
      <c r="E8141" s="3">
        <v>0.46629999999999999</v>
      </c>
      <c r="F8141" s="3">
        <v>0.19170000000000001</v>
      </c>
      <c r="G8141" s="3">
        <v>0.1095</v>
      </c>
      <c r="H8141">
        <v>721</v>
      </c>
      <c r="I8141">
        <v>688</v>
      </c>
      <c r="J8141">
        <v>1995</v>
      </c>
    </row>
    <row r="8142" spans="1:10">
      <c r="A8142" t="s">
        <v>194</v>
      </c>
      <c r="B8142" t="s">
        <v>195</v>
      </c>
      <c r="C8142" t="s">
        <v>212</v>
      </c>
      <c r="D8142" t="s">
        <v>1637</v>
      </c>
      <c r="E8142" s="3">
        <v>0.2228</v>
      </c>
      <c r="F8142" s="3">
        <v>0.13900000000000001</v>
      </c>
      <c r="G8142" s="3">
        <v>3.49E-2</v>
      </c>
      <c r="H8142">
        <v>721</v>
      </c>
      <c r="I8142">
        <v>688</v>
      </c>
      <c r="J8142">
        <v>1995</v>
      </c>
    </row>
    <row r="8143" spans="1:10">
      <c r="A8143" t="s">
        <v>194</v>
      </c>
      <c r="B8143" t="s">
        <v>195</v>
      </c>
      <c r="C8143" t="s">
        <v>212</v>
      </c>
      <c r="D8143" t="s">
        <v>274</v>
      </c>
      <c r="E8143" s="3">
        <v>2.9999999999999997E-4</v>
      </c>
      <c r="F8143" s="3">
        <v>1.34E-2</v>
      </c>
      <c r="G8143" s="3">
        <v>1.2E-2</v>
      </c>
      <c r="H8143">
        <v>721</v>
      </c>
      <c r="I8143">
        <v>688</v>
      </c>
      <c r="J8143">
        <v>1995</v>
      </c>
    </row>
    <row r="8144" spans="1:10">
      <c r="A8144" t="s">
        <v>194</v>
      </c>
      <c r="B8144" t="s">
        <v>195</v>
      </c>
      <c r="C8144" t="s">
        <v>212</v>
      </c>
      <c r="D8144" t="s">
        <v>247</v>
      </c>
      <c r="E8144" s="3">
        <v>1.2800000000000001E-2</v>
      </c>
      <c r="F8144" s="3">
        <v>1E-4</v>
      </c>
      <c r="H8144">
        <v>721</v>
      </c>
      <c r="I8144">
        <v>688</v>
      </c>
      <c r="J8144">
        <v>1995</v>
      </c>
    </row>
    <row r="8145" spans="1:10">
      <c r="A8145" t="s">
        <v>194</v>
      </c>
      <c r="B8145" t="s">
        <v>195</v>
      </c>
      <c r="C8145" t="s">
        <v>214</v>
      </c>
      <c r="D8145" t="s">
        <v>1638</v>
      </c>
      <c r="E8145" s="3">
        <v>3.7000000000000002E-3</v>
      </c>
      <c r="F8145" s="3">
        <v>7.3800000000000004E-2</v>
      </c>
      <c r="G8145" s="3">
        <v>4.2999999999999997E-2</v>
      </c>
      <c r="H8145">
        <v>155</v>
      </c>
      <c r="I8145">
        <v>145</v>
      </c>
      <c r="J8145">
        <v>1995</v>
      </c>
    </row>
    <row r="8146" spans="1:10">
      <c r="A8146" t="s">
        <v>194</v>
      </c>
      <c r="B8146" t="s">
        <v>195</v>
      </c>
      <c r="C8146" t="s">
        <v>214</v>
      </c>
      <c r="D8146" t="s">
        <v>1639</v>
      </c>
      <c r="E8146" s="3">
        <v>2.0000000000000001E-4</v>
      </c>
      <c r="F8146" s="3">
        <v>8.2299999999999998E-2</v>
      </c>
      <c r="G8146" s="3">
        <v>8.9999999999999998E-4</v>
      </c>
      <c r="H8146">
        <v>155</v>
      </c>
      <c r="I8146">
        <v>145</v>
      </c>
      <c r="J8146">
        <v>1995</v>
      </c>
    </row>
    <row r="8147" spans="1:10">
      <c r="A8147" t="s">
        <v>194</v>
      </c>
      <c r="B8147" t="s">
        <v>195</v>
      </c>
      <c r="C8147" t="s">
        <v>214</v>
      </c>
      <c r="D8147" t="s">
        <v>1625</v>
      </c>
      <c r="E8147" s="3">
        <v>4.5199999999999997E-2</v>
      </c>
      <c r="F8147" s="3">
        <v>4.5600000000000002E-2</v>
      </c>
      <c r="G8147" s="3">
        <v>0.1237</v>
      </c>
      <c r="H8147">
        <v>155</v>
      </c>
      <c r="I8147">
        <v>145</v>
      </c>
      <c r="J8147">
        <v>1995</v>
      </c>
    </row>
    <row r="8148" spans="1:10">
      <c r="A8148" t="s">
        <v>194</v>
      </c>
      <c r="B8148" t="s">
        <v>195</v>
      </c>
      <c r="C8148" t="s">
        <v>214</v>
      </c>
      <c r="D8148" t="s">
        <v>1626</v>
      </c>
      <c r="E8148" s="3">
        <v>2.3E-3</v>
      </c>
      <c r="F8148" s="3">
        <v>2.29E-2</v>
      </c>
      <c r="H8148">
        <v>155</v>
      </c>
      <c r="I8148">
        <v>145</v>
      </c>
      <c r="J8148">
        <v>1995</v>
      </c>
    </row>
    <row r="8149" spans="1:10">
      <c r="A8149" t="s">
        <v>194</v>
      </c>
      <c r="B8149" t="s">
        <v>195</v>
      </c>
      <c r="C8149" t="s">
        <v>214</v>
      </c>
      <c r="D8149" t="s">
        <v>1627</v>
      </c>
      <c r="E8149" s="3">
        <v>7.4999999999999997E-3</v>
      </c>
      <c r="F8149" s="3">
        <v>7.8200000000000006E-2</v>
      </c>
      <c r="G8149" s="3">
        <v>0.16539999999999999</v>
      </c>
      <c r="H8149">
        <v>155</v>
      </c>
      <c r="I8149">
        <v>145</v>
      </c>
      <c r="J8149">
        <v>1995</v>
      </c>
    </row>
    <row r="8150" spans="1:10">
      <c r="A8150" t="s">
        <v>194</v>
      </c>
      <c r="B8150" t="s">
        <v>195</v>
      </c>
      <c r="C8150" t="s">
        <v>214</v>
      </c>
      <c r="D8150" t="s">
        <v>1628</v>
      </c>
      <c r="E8150" s="3">
        <v>8.2000000000000007E-3</v>
      </c>
      <c r="F8150" s="3">
        <v>4.8599999999999997E-2</v>
      </c>
      <c r="G8150" s="3">
        <v>0.14710000000000001</v>
      </c>
      <c r="H8150">
        <v>155</v>
      </c>
      <c r="I8150">
        <v>145</v>
      </c>
      <c r="J8150">
        <v>1995</v>
      </c>
    </row>
    <row r="8151" spans="1:10">
      <c r="A8151" t="s">
        <v>194</v>
      </c>
      <c r="B8151" t="s">
        <v>195</v>
      </c>
      <c r="C8151" t="s">
        <v>214</v>
      </c>
      <c r="D8151" t="s">
        <v>1629</v>
      </c>
      <c r="E8151" s="3">
        <v>2.1700000000000001E-2</v>
      </c>
      <c r="F8151" s="3">
        <v>3.0000000000000001E-3</v>
      </c>
      <c r="G8151" s="3">
        <v>1.6999999999999999E-3</v>
      </c>
      <c r="H8151">
        <v>155</v>
      </c>
      <c r="I8151">
        <v>145</v>
      </c>
      <c r="J8151">
        <v>1995</v>
      </c>
    </row>
    <row r="8152" spans="1:10">
      <c r="A8152" t="s">
        <v>194</v>
      </c>
      <c r="B8152" t="s">
        <v>195</v>
      </c>
      <c r="C8152" t="s">
        <v>214</v>
      </c>
      <c r="D8152" t="s">
        <v>1631</v>
      </c>
      <c r="E8152" s="3">
        <v>4.1999999999999997E-3</v>
      </c>
      <c r="F8152" s="3">
        <v>0.13969999999999999</v>
      </c>
      <c r="G8152" s="3">
        <v>0.1701</v>
      </c>
      <c r="H8152">
        <v>155</v>
      </c>
      <c r="I8152">
        <v>145</v>
      </c>
      <c r="J8152">
        <v>1995</v>
      </c>
    </row>
    <row r="8153" spans="1:10">
      <c r="A8153" t="s">
        <v>194</v>
      </c>
      <c r="B8153" t="s">
        <v>195</v>
      </c>
      <c r="C8153" t="s">
        <v>214</v>
      </c>
      <c r="D8153" t="s">
        <v>1641</v>
      </c>
      <c r="E8153" s="3">
        <v>4.1999999999999997E-3</v>
      </c>
      <c r="F8153" s="3">
        <v>5.4999999999999997E-3</v>
      </c>
      <c r="G8153" s="3">
        <v>6.5799999999999997E-2</v>
      </c>
      <c r="H8153">
        <v>155</v>
      </c>
      <c r="I8153">
        <v>145</v>
      </c>
      <c r="J8153">
        <v>1995</v>
      </c>
    </row>
    <row r="8154" spans="1:10">
      <c r="A8154" t="s">
        <v>194</v>
      </c>
      <c r="B8154" t="s">
        <v>195</v>
      </c>
      <c r="C8154" t="s">
        <v>214</v>
      </c>
      <c r="D8154" t="s">
        <v>1632</v>
      </c>
      <c r="E8154" s="3">
        <v>4.3200000000000002E-2</v>
      </c>
      <c r="F8154" s="3">
        <v>5.2499999999999998E-2</v>
      </c>
      <c r="G8154" s="3">
        <v>3.8800000000000001E-2</v>
      </c>
      <c r="H8154">
        <v>155</v>
      </c>
      <c r="I8154">
        <v>145</v>
      </c>
      <c r="J8154">
        <v>1995</v>
      </c>
    </row>
    <row r="8155" spans="1:10">
      <c r="A8155" t="s">
        <v>194</v>
      </c>
      <c r="B8155" t="s">
        <v>195</v>
      </c>
      <c r="C8155" t="s">
        <v>214</v>
      </c>
      <c r="D8155" t="s">
        <v>1633</v>
      </c>
      <c r="E8155" s="3">
        <v>3.2000000000000002E-3</v>
      </c>
      <c r="F8155" s="3">
        <v>1.1999999999999999E-3</v>
      </c>
      <c r="G8155" s="3">
        <v>6.4000000000000003E-3</v>
      </c>
      <c r="H8155">
        <v>155</v>
      </c>
      <c r="I8155">
        <v>145</v>
      </c>
      <c r="J8155">
        <v>1995</v>
      </c>
    </row>
    <row r="8156" spans="1:10">
      <c r="A8156" t="s">
        <v>194</v>
      </c>
      <c r="B8156" t="s">
        <v>195</v>
      </c>
      <c r="C8156" t="s">
        <v>214</v>
      </c>
      <c r="D8156" t="s">
        <v>1634</v>
      </c>
      <c r="E8156" s="3">
        <v>4.7000000000000002E-3</v>
      </c>
      <c r="F8156" s="3">
        <v>1.7600000000000001E-2</v>
      </c>
      <c r="G8156" s="3">
        <v>1.46E-2</v>
      </c>
      <c r="H8156">
        <v>155</v>
      </c>
      <c r="I8156">
        <v>145</v>
      </c>
      <c r="J8156">
        <v>1995</v>
      </c>
    </row>
    <row r="8157" spans="1:10">
      <c r="A8157" t="s">
        <v>194</v>
      </c>
      <c r="B8157" t="s">
        <v>195</v>
      </c>
      <c r="C8157" t="s">
        <v>214</v>
      </c>
      <c r="D8157" t="s">
        <v>1635</v>
      </c>
      <c r="E8157" s="3">
        <v>9.5999999999999992E-3</v>
      </c>
      <c r="F8157" s="3">
        <v>3.6900000000000002E-2</v>
      </c>
      <c r="G8157" s="3">
        <v>5.1700000000000003E-2</v>
      </c>
      <c r="H8157">
        <v>155</v>
      </c>
      <c r="I8157">
        <v>145</v>
      </c>
      <c r="J8157">
        <v>1995</v>
      </c>
    </row>
    <row r="8158" spans="1:10">
      <c r="A8158" t="s">
        <v>194</v>
      </c>
      <c r="B8158" t="s">
        <v>195</v>
      </c>
      <c r="C8158" t="s">
        <v>214</v>
      </c>
      <c r="D8158" t="s">
        <v>1636</v>
      </c>
      <c r="E8158" s="3">
        <v>0.44890000000000002</v>
      </c>
      <c r="F8158" s="3">
        <v>0.31680000000000003</v>
      </c>
      <c r="G8158" s="3">
        <v>6.0400000000000002E-2</v>
      </c>
      <c r="H8158">
        <v>155</v>
      </c>
      <c r="I8158">
        <v>145</v>
      </c>
      <c r="J8158">
        <v>1995</v>
      </c>
    </row>
    <row r="8159" spans="1:10">
      <c r="A8159" t="s">
        <v>194</v>
      </c>
      <c r="B8159" t="s">
        <v>195</v>
      </c>
      <c r="C8159" t="s">
        <v>214</v>
      </c>
      <c r="D8159" t="s">
        <v>1637</v>
      </c>
      <c r="E8159" s="3">
        <v>0.38719999999999999</v>
      </c>
      <c r="F8159" s="3">
        <v>1.3299999999999999E-2</v>
      </c>
      <c r="G8159" s="3">
        <v>2.93E-2</v>
      </c>
      <c r="H8159">
        <v>155</v>
      </c>
      <c r="I8159">
        <v>145</v>
      </c>
      <c r="J8159">
        <v>1995</v>
      </c>
    </row>
    <row r="8160" spans="1:10">
      <c r="A8160" t="s">
        <v>194</v>
      </c>
      <c r="B8160" t="s">
        <v>195</v>
      </c>
      <c r="C8160" t="s">
        <v>214</v>
      </c>
      <c r="D8160" t="s">
        <v>274</v>
      </c>
      <c r="E8160" s="3">
        <v>6.1000000000000004E-3</v>
      </c>
      <c r="H8160">
        <v>155</v>
      </c>
      <c r="I8160">
        <v>145</v>
      </c>
      <c r="J8160">
        <v>1995</v>
      </c>
    </row>
    <row r="8161" spans="1:10">
      <c r="A8161" t="s">
        <v>194</v>
      </c>
      <c r="B8161" t="s">
        <v>195</v>
      </c>
      <c r="C8161" t="s">
        <v>215</v>
      </c>
      <c r="D8161" t="s">
        <v>257</v>
      </c>
      <c r="E8161" s="3">
        <v>1.23E-2</v>
      </c>
      <c r="F8161" s="3">
        <v>3.4700000000000002E-2</v>
      </c>
      <c r="G8161" s="3">
        <v>4.3099999999999999E-2</v>
      </c>
      <c r="H8161">
        <v>80</v>
      </c>
      <c r="I8161">
        <v>108</v>
      </c>
      <c r="J8161">
        <v>1995</v>
      </c>
    </row>
    <row r="8162" spans="1:10">
      <c r="A8162" t="s">
        <v>194</v>
      </c>
      <c r="B8162" t="s">
        <v>195</v>
      </c>
      <c r="C8162" t="s">
        <v>215</v>
      </c>
      <c r="D8162" t="s">
        <v>1638</v>
      </c>
      <c r="E8162" s="3">
        <v>1.03E-2</v>
      </c>
      <c r="F8162" s="3">
        <v>3.8600000000000002E-2</v>
      </c>
      <c r="G8162" s="3">
        <v>9.1000000000000004E-3</v>
      </c>
      <c r="H8162">
        <v>80</v>
      </c>
      <c r="I8162">
        <v>108</v>
      </c>
      <c r="J8162">
        <v>1995</v>
      </c>
    </row>
    <row r="8163" spans="1:10">
      <c r="A8163" t="s">
        <v>194</v>
      </c>
      <c r="B8163" t="s">
        <v>195</v>
      </c>
      <c r="C8163" t="s">
        <v>215</v>
      </c>
      <c r="D8163" t="s">
        <v>1639</v>
      </c>
      <c r="E8163" s="3">
        <v>1.2200000000000001E-2</v>
      </c>
      <c r="F8163" s="3">
        <v>9.7000000000000003E-3</v>
      </c>
      <c r="G8163" s="3">
        <v>2.0799999999999999E-2</v>
      </c>
      <c r="H8163">
        <v>80</v>
      </c>
      <c r="I8163">
        <v>108</v>
      </c>
      <c r="J8163">
        <v>1995</v>
      </c>
    </row>
    <row r="8164" spans="1:10">
      <c r="A8164" t="s">
        <v>194</v>
      </c>
      <c r="B8164" t="s">
        <v>195</v>
      </c>
      <c r="C8164" t="s">
        <v>215</v>
      </c>
      <c r="D8164" t="s">
        <v>1625</v>
      </c>
      <c r="E8164" s="3">
        <v>2.4299999999999999E-2</v>
      </c>
      <c r="F8164" s="3">
        <v>7.5800000000000006E-2</v>
      </c>
      <c r="G8164" s="3">
        <v>0.10290000000000001</v>
      </c>
      <c r="H8164">
        <v>80</v>
      </c>
      <c r="I8164">
        <v>108</v>
      </c>
      <c r="J8164">
        <v>1995</v>
      </c>
    </row>
    <row r="8165" spans="1:10">
      <c r="A8165" t="s">
        <v>194</v>
      </c>
      <c r="B8165" t="s">
        <v>195</v>
      </c>
      <c r="C8165" t="s">
        <v>215</v>
      </c>
      <c r="D8165" t="s">
        <v>1627</v>
      </c>
      <c r="E8165" s="3">
        <v>3.27E-2</v>
      </c>
      <c r="F8165" s="3">
        <v>0.22969999999999999</v>
      </c>
      <c r="G8165" s="3">
        <v>8.5599999999999996E-2</v>
      </c>
      <c r="H8165">
        <v>80</v>
      </c>
      <c r="I8165">
        <v>108</v>
      </c>
      <c r="J8165">
        <v>1995</v>
      </c>
    </row>
    <row r="8166" spans="1:10">
      <c r="A8166" t="s">
        <v>194</v>
      </c>
      <c r="B8166" t="s">
        <v>195</v>
      </c>
      <c r="C8166" t="s">
        <v>215</v>
      </c>
      <c r="D8166" t="s">
        <v>1628</v>
      </c>
      <c r="E8166" s="3">
        <v>1E-3</v>
      </c>
      <c r="F8166" s="3">
        <v>4.9299999999999997E-2</v>
      </c>
      <c r="G8166" s="3">
        <v>4.48E-2</v>
      </c>
      <c r="H8166">
        <v>80</v>
      </c>
      <c r="I8166">
        <v>108</v>
      </c>
      <c r="J8166">
        <v>1995</v>
      </c>
    </row>
    <row r="8167" spans="1:10">
      <c r="A8167" t="s">
        <v>194</v>
      </c>
      <c r="B8167" t="s">
        <v>195</v>
      </c>
      <c r="C8167" t="s">
        <v>215</v>
      </c>
      <c r="D8167" t="s">
        <v>1629</v>
      </c>
      <c r="E8167" s="3">
        <v>8.0999999999999996E-3</v>
      </c>
      <c r="G8167" s="3">
        <v>3.3E-3</v>
      </c>
      <c r="H8167">
        <v>80</v>
      </c>
      <c r="I8167">
        <v>108</v>
      </c>
      <c r="J8167">
        <v>1995</v>
      </c>
    </row>
    <row r="8168" spans="1:10">
      <c r="A8168" t="s">
        <v>194</v>
      </c>
      <c r="B8168" t="s">
        <v>195</v>
      </c>
      <c r="C8168" t="s">
        <v>215</v>
      </c>
      <c r="D8168" t="s">
        <v>1640</v>
      </c>
      <c r="E8168" s="3">
        <v>1.9E-3</v>
      </c>
      <c r="F8168" s="3">
        <v>1.5E-3</v>
      </c>
      <c r="H8168">
        <v>80</v>
      </c>
      <c r="I8168">
        <v>108</v>
      </c>
      <c r="J8168">
        <v>1995</v>
      </c>
    </row>
    <row r="8169" spans="1:10">
      <c r="A8169" t="s">
        <v>194</v>
      </c>
      <c r="B8169" t="s">
        <v>195</v>
      </c>
      <c r="C8169" t="s">
        <v>215</v>
      </c>
      <c r="D8169" t="s">
        <v>1630</v>
      </c>
      <c r="E8169" s="3">
        <v>3.3E-3</v>
      </c>
      <c r="F8169" s="3">
        <v>5.0099999999999999E-2</v>
      </c>
      <c r="H8169">
        <v>80</v>
      </c>
      <c r="I8169">
        <v>108</v>
      </c>
      <c r="J8169">
        <v>1995</v>
      </c>
    </row>
    <row r="8170" spans="1:10">
      <c r="A8170" t="s">
        <v>194</v>
      </c>
      <c r="B8170" t="s">
        <v>195</v>
      </c>
      <c r="C8170" t="s">
        <v>215</v>
      </c>
      <c r="D8170" t="s">
        <v>1631</v>
      </c>
      <c r="E8170" s="3">
        <v>3.3599999999999998E-2</v>
      </c>
      <c r="F8170" s="3">
        <v>0.2462</v>
      </c>
      <c r="G8170" s="3">
        <v>0.2019</v>
      </c>
      <c r="H8170">
        <v>80</v>
      </c>
      <c r="I8170">
        <v>108</v>
      </c>
      <c r="J8170">
        <v>1995</v>
      </c>
    </row>
    <row r="8171" spans="1:10">
      <c r="A8171" t="s">
        <v>194</v>
      </c>
      <c r="B8171" t="s">
        <v>195</v>
      </c>
      <c r="C8171" t="s">
        <v>215</v>
      </c>
      <c r="D8171" t="s">
        <v>1641</v>
      </c>
      <c r="E8171" s="3">
        <v>3.5999999999999999E-3</v>
      </c>
      <c r="F8171" s="3">
        <v>3.7900000000000003E-2</v>
      </c>
      <c r="G8171" s="3">
        <v>2.5100000000000001E-2</v>
      </c>
      <c r="H8171">
        <v>80</v>
      </c>
      <c r="I8171">
        <v>108</v>
      </c>
      <c r="J8171">
        <v>1995</v>
      </c>
    </row>
    <row r="8172" spans="1:10">
      <c r="A8172" t="s">
        <v>194</v>
      </c>
      <c r="B8172" t="s">
        <v>195</v>
      </c>
      <c r="C8172" t="s">
        <v>215</v>
      </c>
      <c r="D8172" t="s">
        <v>1632</v>
      </c>
      <c r="E8172" s="3">
        <v>2.2000000000000001E-3</v>
      </c>
      <c r="F8172" s="3">
        <v>4.5400000000000003E-2</v>
      </c>
      <c r="G8172" s="3">
        <v>0.107</v>
      </c>
      <c r="H8172">
        <v>80</v>
      </c>
      <c r="I8172">
        <v>108</v>
      </c>
      <c r="J8172">
        <v>1995</v>
      </c>
    </row>
    <row r="8173" spans="1:10">
      <c r="A8173" t="s">
        <v>194</v>
      </c>
      <c r="B8173" t="s">
        <v>195</v>
      </c>
      <c r="C8173" t="s">
        <v>215</v>
      </c>
      <c r="D8173" t="s">
        <v>1634</v>
      </c>
      <c r="E8173" s="3">
        <v>4.24E-2</v>
      </c>
      <c r="F8173" s="3">
        <v>1.24E-2</v>
      </c>
      <c r="G8173" s="3">
        <v>6.6000000000000003E-2</v>
      </c>
      <c r="H8173">
        <v>80</v>
      </c>
      <c r="I8173">
        <v>108</v>
      </c>
      <c r="J8173">
        <v>1995</v>
      </c>
    </row>
    <row r="8174" spans="1:10">
      <c r="A8174" t="s">
        <v>194</v>
      </c>
      <c r="B8174" t="s">
        <v>195</v>
      </c>
      <c r="C8174" t="s">
        <v>215</v>
      </c>
      <c r="D8174" t="s">
        <v>1635</v>
      </c>
      <c r="E8174" s="3">
        <v>1.24E-2</v>
      </c>
      <c r="F8174" s="3">
        <v>2.4799999999999999E-2</v>
      </c>
      <c r="G8174" s="3">
        <v>3.32E-2</v>
      </c>
      <c r="H8174">
        <v>80</v>
      </c>
      <c r="I8174">
        <v>108</v>
      </c>
      <c r="J8174">
        <v>1995</v>
      </c>
    </row>
    <row r="8175" spans="1:10">
      <c r="A8175" t="s">
        <v>194</v>
      </c>
      <c r="B8175" t="s">
        <v>195</v>
      </c>
      <c r="C8175" t="s">
        <v>215</v>
      </c>
      <c r="D8175" t="s">
        <v>1636</v>
      </c>
      <c r="E8175" s="3">
        <v>0.57530000000000003</v>
      </c>
      <c r="F8175" s="3">
        <v>5.5399999999999998E-2</v>
      </c>
      <c r="G8175" s="3">
        <v>0.13200000000000001</v>
      </c>
      <c r="H8175">
        <v>80</v>
      </c>
      <c r="I8175">
        <v>108</v>
      </c>
      <c r="J8175">
        <v>1995</v>
      </c>
    </row>
    <row r="8176" spans="1:10">
      <c r="A8176" t="s">
        <v>194</v>
      </c>
      <c r="B8176" t="s">
        <v>195</v>
      </c>
      <c r="C8176" t="s">
        <v>215</v>
      </c>
      <c r="D8176" t="s">
        <v>1637</v>
      </c>
      <c r="E8176" s="3">
        <v>0.22439999999999999</v>
      </c>
      <c r="F8176" s="3">
        <v>7.4499999999999997E-2</v>
      </c>
      <c r="G8176" s="3">
        <v>0.1067</v>
      </c>
      <c r="H8176">
        <v>80</v>
      </c>
      <c r="I8176">
        <v>108</v>
      </c>
      <c r="J8176">
        <v>1995</v>
      </c>
    </row>
    <row r="8177" spans="1:10">
      <c r="A8177" t="s">
        <v>194</v>
      </c>
      <c r="B8177" t="s">
        <v>199</v>
      </c>
      <c r="C8177" t="s">
        <v>212</v>
      </c>
      <c r="D8177" t="s">
        <v>1624</v>
      </c>
      <c r="E8177" s="3">
        <v>7.1000000000000004E-3</v>
      </c>
      <c r="F8177" s="3">
        <v>1.43E-2</v>
      </c>
      <c r="G8177" s="3">
        <v>3.8199999999999998E-2</v>
      </c>
      <c r="H8177">
        <v>697</v>
      </c>
      <c r="I8177">
        <v>778</v>
      </c>
      <c r="J8177">
        <v>1995</v>
      </c>
    </row>
    <row r="8178" spans="1:10">
      <c r="A8178" t="s">
        <v>194</v>
      </c>
      <c r="B8178" t="s">
        <v>199</v>
      </c>
      <c r="C8178" t="s">
        <v>212</v>
      </c>
      <c r="D8178" t="s">
        <v>257</v>
      </c>
      <c r="E8178" s="3">
        <v>1.2500000000000001E-2</v>
      </c>
      <c r="F8178" s="3">
        <v>5.6399999999999999E-2</v>
      </c>
      <c r="G8178" s="3">
        <v>0.11650000000000001</v>
      </c>
      <c r="H8178">
        <v>697</v>
      </c>
      <c r="I8178">
        <v>778</v>
      </c>
      <c r="J8178">
        <v>1995</v>
      </c>
    </row>
    <row r="8179" spans="1:10">
      <c r="A8179" t="s">
        <v>194</v>
      </c>
      <c r="B8179" t="s">
        <v>199</v>
      </c>
      <c r="C8179" t="s">
        <v>212</v>
      </c>
      <c r="D8179" t="s">
        <v>1638</v>
      </c>
      <c r="E8179" s="3">
        <v>2.7799999999999998E-2</v>
      </c>
      <c r="F8179" s="3">
        <v>9.5100000000000004E-2</v>
      </c>
      <c r="G8179" s="3">
        <v>0.1888</v>
      </c>
      <c r="H8179">
        <v>697</v>
      </c>
      <c r="I8179">
        <v>778</v>
      </c>
      <c r="J8179">
        <v>1995</v>
      </c>
    </row>
    <row r="8180" spans="1:10">
      <c r="A8180" t="s">
        <v>194</v>
      </c>
      <c r="B8180" t="s">
        <v>199</v>
      </c>
      <c r="C8180" t="s">
        <v>212</v>
      </c>
      <c r="D8180" t="s">
        <v>1639</v>
      </c>
      <c r="E8180" s="3">
        <v>6.1000000000000004E-3</v>
      </c>
      <c r="F8180" s="3">
        <v>1.34E-2</v>
      </c>
      <c r="G8180" s="3">
        <v>5.7999999999999996E-3</v>
      </c>
      <c r="H8180">
        <v>697</v>
      </c>
      <c r="I8180">
        <v>778</v>
      </c>
      <c r="J8180">
        <v>1995</v>
      </c>
    </row>
    <row r="8181" spans="1:10">
      <c r="A8181" t="s">
        <v>194</v>
      </c>
      <c r="B8181" t="s">
        <v>199</v>
      </c>
      <c r="C8181" t="s">
        <v>212</v>
      </c>
      <c r="D8181" t="s">
        <v>1625</v>
      </c>
      <c r="E8181" s="3">
        <v>1.4E-2</v>
      </c>
      <c r="F8181" s="3">
        <v>6.8999999999999999E-3</v>
      </c>
      <c r="G8181" s="3">
        <v>1.8700000000000001E-2</v>
      </c>
      <c r="H8181">
        <v>697</v>
      </c>
      <c r="I8181">
        <v>778</v>
      </c>
      <c r="J8181">
        <v>1995</v>
      </c>
    </row>
    <row r="8182" spans="1:10">
      <c r="A8182" t="s">
        <v>194</v>
      </c>
      <c r="B8182" t="s">
        <v>199</v>
      </c>
      <c r="C8182" t="s">
        <v>212</v>
      </c>
      <c r="D8182" t="s">
        <v>1626</v>
      </c>
      <c r="E8182" s="3">
        <v>5.9999999999999995E-4</v>
      </c>
      <c r="G8182" s="3">
        <v>3.2000000000000002E-3</v>
      </c>
      <c r="H8182">
        <v>697</v>
      </c>
      <c r="I8182">
        <v>778</v>
      </c>
      <c r="J8182">
        <v>1995</v>
      </c>
    </row>
    <row r="8183" spans="1:10">
      <c r="A8183" t="s">
        <v>194</v>
      </c>
      <c r="B8183" t="s">
        <v>199</v>
      </c>
      <c r="C8183" t="s">
        <v>212</v>
      </c>
      <c r="D8183" t="s">
        <v>1627</v>
      </c>
      <c r="E8183" s="3">
        <v>4.7500000000000001E-2</v>
      </c>
      <c r="F8183" s="3">
        <v>7.9600000000000004E-2</v>
      </c>
      <c r="G8183" s="3">
        <v>0.1298</v>
      </c>
      <c r="H8183">
        <v>697</v>
      </c>
      <c r="I8183">
        <v>778</v>
      </c>
      <c r="J8183">
        <v>1995</v>
      </c>
    </row>
    <row r="8184" spans="1:10">
      <c r="A8184" t="s">
        <v>194</v>
      </c>
      <c r="B8184" t="s">
        <v>199</v>
      </c>
      <c r="C8184" t="s">
        <v>212</v>
      </c>
      <c r="D8184" t="s">
        <v>1628</v>
      </c>
      <c r="E8184" s="3">
        <v>4.9399999999999999E-2</v>
      </c>
      <c r="F8184" s="3">
        <v>0.1265</v>
      </c>
      <c r="G8184" s="3">
        <v>6.7199999999999996E-2</v>
      </c>
      <c r="H8184">
        <v>697</v>
      </c>
      <c r="I8184">
        <v>778</v>
      </c>
      <c r="J8184">
        <v>1995</v>
      </c>
    </row>
    <row r="8185" spans="1:10">
      <c r="A8185" t="s">
        <v>194</v>
      </c>
      <c r="B8185" t="s">
        <v>199</v>
      </c>
      <c r="C8185" t="s">
        <v>212</v>
      </c>
      <c r="D8185" t="s">
        <v>1629</v>
      </c>
      <c r="E8185" s="3">
        <v>6.4999999999999997E-3</v>
      </c>
      <c r="F8185" s="3">
        <v>2.75E-2</v>
      </c>
      <c r="G8185" s="3">
        <v>2.12E-2</v>
      </c>
      <c r="H8185">
        <v>697</v>
      </c>
      <c r="I8185">
        <v>778</v>
      </c>
      <c r="J8185">
        <v>1995</v>
      </c>
    </row>
    <row r="8186" spans="1:10">
      <c r="A8186" t="s">
        <v>194</v>
      </c>
      <c r="B8186" t="s">
        <v>199</v>
      </c>
      <c r="C8186" t="s">
        <v>212</v>
      </c>
      <c r="D8186" t="s">
        <v>1640</v>
      </c>
      <c r="E8186" s="3">
        <v>2.2000000000000001E-3</v>
      </c>
      <c r="F8186" s="3">
        <v>1.8100000000000002E-2</v>
      </c>
      <c r="G8186" s="3">
        <v>1.24E-2</v>
      </c>
      <c r="H8186">
        <v>697</v>
      </c>
      <c r="I8186">
        <v>778</v>
      </c>
      <c r="J8186">
        <v>1995</v>
      </c>
    </row>
    <row r="8187" spans="1:10">
      <c r="A8187" t="s">
        <v>194</v>
      </c>
      <c r="B8187" t="s">
        <v>199</v>
      </c>
      <c r="C8187" t="s">
        <v>212</v>
      </c>
      <c r="D8187" t="s">
        <v>1630</v>
      </c>
      <c r="E8187" s="3">
        <v>7.1000000000000004E-3</v>
      </c>
      <c r="F8187" s="3">
        <v>1.6199999999999999E-2</v>
      </c>
      <c r="G8187" s="3">
        <v>1.12E-2</v>
      </c>
      <c r="H8187">
        <v>697</v>
      </c>
      <c r="I8187">
        <v>778</v>
      </c>
      <c r="J8187">
        <v>1995</v>
      </c>
    </row>
    <row r="8188" spans="1:10">
      <c r="A8188" t="s">
        <v>194</v>
      </c>
      <c r="B8188" t="s">
        <v>199</v>
      </c>
      <c r="C8188" t="s">
        <v>212</v>
      </c>
      <c r="D8188" t="s">
        <v>1631</v>
      </c>
      <c r="E8188" s="3">
        <v>6.7999999999999996E-3</v>
      </c>
      <c r="F8188" s="3">
        <v>5.1799999999999999E-2</v>
      </c>
      <c r="G8188" s="3">
        <v>7.9500000000000001E-2</v>
      </c>
      <c r="H8188">
        <v>697</v>
      </c>
      <c r="I8188">
        <v>778</v>
      </c>
      <c r="J8188">
        <v>1995</v>
      </c>
    </row>
    <row r="8189" spans="1:10">
      <c r="A8189" t="s">
        <v>194</v>
      </c>
      <c r="B8189" t="s">
        <v>199</v>
      </c>
      <c r="C8189" t="s">
        <v>212</v>
      </c>
      <c r="D8189" t="s">
        <v>1641</v>
      </c>
      <c r="E8189" s="3">
        <v>5.0000000000000001E-4</v>
      </c>
      <c r="F8189" s="3">
        <v>1.1000000000000001E-3</v>
      </c>
      <c r="G8189" s="3">
        <v>1.0699999999999999E-2</v>
      </c>
      <c r="H8189">
        <v>697</v>
      </c>
      <c r="I8189">
        <v>778</v>
      </c>
      <c r="J8189">
        <v>1995</v>
      </c>
    </row>
    <row r="8190" spans="1:10">
      <c r="A8190" t="s">
        <v>194</v>
      </c>
      <c r="B8190" t="s">
        <v>199</v>
      </c>
      <c r="C8190" t="s">
        <v>212</v>
      </c>
      <c r="D8190" t="s">
        <v>1632</v>
      </c>
      <c r="E8190" s="3">
        <v>2.6499999999999999E-2</v>
      </c>
      <c r="F8190" s="3">
        <v>6.6900000000000001E-2</v>
      </c>
      <c r="G8190" s="3">
        <v>0.1</v>
      </c>
      <c r="H8190">
        <v>697</v>
      </c>
      <c r="I8190">
        <v>778</v>
      </c>
      <c r="J8190">
        <v>1995</v>
      </c>
    </row>
    <row r="8191" spans="1:10">
      <c r="A8191" t="s">
        <v>194</v>
      </c>
      <c r="B8191" t="s">
        <v>199</v>
      </c>
      <c r="C8191" t="s">
        <v>212</v>
      </c>
      <c r="D8191" t="s">
        <v>1634</v>
      </c>
      <c r="E8191" s="3">
        <v>2.9999999999999997E-4</v>
      </c>
      <c r="F8191" s="3">
        <v>6.8999999999999999E-3</v>
      </c>
      <c r="G8191" s="3">
        <v>1.15E-2</v>
      </c>
      <c r="H8191">
        <v>697</v>
      </c>
      <c r="I8191">
        <v>778</v>
      </c>
      <c r="J8191">
        <v>1995</v>
      </c>
    </row>
    <row r="8192" spans="1:10">
      <c r="A8192" t="s">
        <v>194</v>
      </c>
      <c r="B8192" t="s">
        <v>199</v>
      </c>
      <c r="C8192" t="s">
        <v>212</v>
      </c>
      <c r="D8192" t="s">
        <v>1642</v>
      </c>
      <c r="E8192" s="3">
        <v>5.0000000000000001E-4</v>
      </c>
      <c r="F8192" s="3">
        <v>6.9999999999999999E-4</v>
      </c>
      <c r="G8192" s="3">
        <v>1.24E-2</v>
      </c>
      <c r="H8192">
        <v>697</v>
      </c>
      <c r="I8192">
        <v>778</v>
      </c>
      <c r="J8192">
        <v>1995</v>
      </c>
    </row>
    <row r="8193" spans="1:10">
      <c r="A8193" t="s">
        <v>194</v>
      </c>
      <c r="B8193" t="s">
        <v>199</v>
      </c>
      <c r="C8193" t="s">
        <v>212</v>
      </c>
      <c r="D8193" t="s">
        <v>1635</v>
      </c>
      <c r="E8193" s="3">
        <v>1.2999999999999999E-3</v>
      </c>
      <c r="F8193" s="3">
        <v>1.01E-2</v>
      </c>
      <c r="G8193" s="3">
        <v>1.6799999999999999E-2</v>
      </c>
      <c r="H8193">
        <v>697</v>
      </c>
      <c r="I8193">
        <v>778</v>
      </c>
      <c r="J8193">
        <v>1995</v>
      </c>
    </row>
    <row r="8194" spans="1:10">
      <c r="A8194" t="s">
        <v>194</v>
      </c>
      <c r="B8194" t="s">
        <v>199</v>
      </c>
      <c r="C8194" t="s">
        <v>212</v>
      </c>
      <c r="D8194" t="s">
        <v>1636</v>
      </c>
      <c r="E8194" s="3">
        <v>0.2596</v>
      </c>
      <c r="F8194" s="3">
        <v>0.23269999999999999</v>
      </c>
      <c r="G8194" s="3">
        <v>4.65E-2</v>
      </c>
      <c r="H8194">
        <v>697</v>
      </c>
      <c r="I8194">
        <v>778</v>
      </c>
      <c r="J8194">
        <v>1995</v>
      </c>
    </row>
    <row r="8195" spans="1:10">
      <c r="A8195" t="s">
        <v>194</v>
      </c>
      <c r="B8195" t="s">
        <v>199</v>
      </c>
      <c r="C8195" t="s">
        <v>212</v>
      </c>
      <c r="D8195" t="s">
        <v>1637</v>
      </c>
      <c r="E8195" s="3">
        <v>0.52300000000000002</v>
      </c>
      <c r="F8195" s="3">
        <v>0.1249</v>
      </c>
      <c r="G8195" s="3">
        <v>4.0899999999999999E-2</v>
      </c>
      <c r="H8195">
        <v>697</v>
      </c>
      <c r="I8195">
        <v>778</v>
      </c>
      <c r="J8195">
        <v>1995</v>
      </c>
    </row>
    <row r="8196" spans="1:10">
      <c r="A8196" t="s">
        <v>194</v>
      </c>
      <c r="B8196" t="s">
        <v>199</v>
      </c>
      <c r="C8196" t="s">
        <v>212</v>
      </c>
      <c r="D8196" t="s">
        <v>274</v>
      </c>
      <c r="E8196" s="3">
        <v>4.0000000000000002E-4</v>
      </c>
      <c r="F8196" s="3">
        <v>1.1299999999999999E-2</v>
      </c>
      <c r="G8196" s="3">
        <v>1.6400000000000001E-2</v>
      </c>
      <c r="H8196">
        <v>697</v>
      </c>
      <c r="I8196">
        <v>778</v>
      </c>
      <c r="J8196">
        <v>1995</v>
      </c>
    </row>
    <row r="8197" spans="1:10">
      <c r="A8197" t="s">
        <v>194</v>
      </c>
      <c r="B8197" t="s">
        <v>199</v>
      </c>
      <c r="C8197" t="s">
        <v>212</v>
      </c>
      <c r="D8197" t="s">
        <v>1643</v>
      </c>
      <c r="E8197" s="3">
        <v>1E-4</v>
      </c>
      <c r="F8197" s="3">
        <v>2.7699999999999999E-2</v>
      </c>
      <c r="G8197" s="3">
        <v>2.9499999999999998E-2</v>
      </c>
      <c r="H8197">
        <v>697</v>
      </c>
      <c r="I8197">
        <v>778</v>
      </c>
      <c r="J8197">
        <v>1995</v>
      </c>
    </row>
    <row r="8198" spans="1:10">
      <c r="A8198" t="s">
        <v>194</v>
      </c>
      <c r="B8198" t="s">
        <v>199</v>
      </c>
      <c r="C8198" t="s">
        <v>214</v>
      </c>
      <c r="D8198" t="s">
        <v>257</v>
      </c>
      <c r="E8198" s="3">
        <v>1.1000000000000001E-3</v>
      </c>
      <c r="F8198" s="3">
        <v>6.7799999999999999E-2</v>
      </c>
      <c r="G8198" s="3">
        <v>0.1079</v>
      </c>
      <c r="H8198">
        <v>162</v>
      </c>
      <c r="I8198">
        <v>149</v>
      </c>
      <c r="J8198">
        <v>1995</v>
      </c>
    </row>
    <row r="8199" spans="1:10">
      <c r="A8199" t="s">
        <v>194</v>
      </c>
      <c r="B8199" t="s">
        <v>199</v>
      </c>
      <c r="C8199" t="s">
        <v>214</v>
      </c>
      <c r="D8199" t="s">
        <v>1638</v>
      </c>
      <c r="E8199" s="3">
        <v>1.3299999999999999E-2</v>
      </c>
      <c r="F8199" s="3">
        <v>7.0800000000000002E-2</v>
      </c>
      <c r="G8199" s="3">
        <v>0.1183</v>
      </c>
      <c r="H8199">
        <v>162</v>
      </c>
      <c r="I8199">
        <v>149</v>
      </c>
      <c r="J8199">
        <v>1995</v>
      </c>
    </row>
    <row r="8200" spans="1:10">
      <c r="A8200" t="s">
        <v>194</v>
      </c>
      <c r="B8200" t="s">
        <v>199</v>
      </c>
      <c r="C8200" t="s">
        <v>214</v>
      </c>
      <c r="D8200" t="s">
        <v>1639</v>
      </c>
      <c r="E8200" s="3">
        <v>6.3E-3</v>
      </c>
      <c r="F8200" s="3">
        <v>1.26E-2</v>
      </c>
      <c r="G8200" s="3">
        <v>9.9400000000000002E-2</v>
      </c>
      <c r="H8200">
        <v>162</v>
      </c>
      <c r="I8200">
        <v>149</v>
      </c>
      <c r="J8200">
        <v>1995</v>
      </c>
    </row>
    <row r="8201" spans="1:10">
      <c r="A8201" t="s">
        <v>194</v>
      </c>
      <c r="B8201" t="s">
        <v>199</v>
      </c>
      <c r="C8201" t="s">
        <v>214</v>
      </c>
      <c r="D8201" t="s">
        <v>1625</v>
      </c>
      <c r="E8201" s="3">
        <v>5.5999999999999999E-3</v>
      </c>
      <c r="F8201" s="3">
        <v>4.0000000000000002E-4</v>
      </c>
      <c r="G8201" s="3">
        <v>4.02E-2</v>
      </c>
      <c r="H8201">
        <v>162</v>
      </c>
      <c r="I8201">
        <v>149</v>
      </c>
      <c r="J8201">
        <v>1995</v>
      </c>
    </row>
    <row r="8202" spans="1:10">
      <c r="A8202" t="s">
        <v>194</v>
      </c>
      <c r="B8202" t="s">
        <v>199</v>
      </c>
      <c r="C8202" t="s">
        <v>214</v>
      </c>
      <c r="D8202" t="s">
        <v>1627</v>
      </c>
      <c r="E8202" s="3">
        <v>3.7400000000000003E-2</v>
      </c>
      <c r="F8202" s="3">
        <v>8.1900000000000001E-2</v>
      </c>
      <c r="G8202" s="3">
        <v>1.7999999999999999E-2</v>
      </c>
      <c r="H8202">
        <v>162</v>
      </c>
      <c r="I8202">
        <v>149</v>
      </c>
      <c r="J8202">
        <v>1995</v>
      </c>
    </row>
    <row r="8203" spans="1:10">
      <c r="A8203" t="s">
        <v>194</v>
      </c>
      <c r="B8203" t="s">
        <v>199</v>
      </c>
      <c r="C8203" t="s">
        <v>214</v>
      </c>
      <c r="D8203" t="s">
        <v>1628</v>
      </c>
      <c r="E8203" s="3">
        <v>5.6000000000000001E-2</v>
      </c>
      <c r="F8203" s="3">
        <v>0.1716</v>
      </c>
      <c r="G8203" s="3">
        <v>0.1411</v>
      </c>
      <c r="H8203">
        <v>162</v>
      </c>
      <c r="I8203">
        <v>149</v>
      </c>
      <c r="J8203">
        <v>1995</v>
      </c>
    </row>
    <row r="8204" spans="1:10">
      <c r="A8204" t="s">
        <v>194</v>
      </c>
      <c r="B8204" t="s">
        <v>199</v>
      </c>
      <c r="C8204" t="s">
        <v>214</v>
      </c>
      <c r="D8204" t="s">
        <v>1629</v>
      </c>
      <c r="E8204" s="3">
        <v>7.4999999999999997E-3</v>
      </c>
      <c r="F8204" s="3">
        <v>3.2599999999999997E-2</v>
      </c>
      <c r="G8204" s="3">
        <v>3.3E-3</v>
      </c>
      <c r="H8204">
        <v>162</v>
      </c>
      <c r="I8204">
        <v>149</v>
      </c>
      <c r="J8204">
        <v>1995</v>
      </c>
    </row>
    <row r="8205" spans="1:10">
      <c r="A8205" t="s">
        <v>194</v>
      </c>
      <c r="B8205" t="s">
        <v>199</v>
      </c>
      <c r="C8205" t="s">
        <v>214</v>
      </c>
      <c r="D8205" t="s">
        <v>1631</v>
      </c>
      <c r="E8205" s="3">
        <v>8.8999999999999999E-3</v>
      </c>
      <c r="F8205" s="3">
        <v>4.9099999999999998E-2</v>
      </c>
      <c r="G8205" s="3">
        <v>0.1658</v>
      </c>
      <c r="H8205">
        <v>162</v>
      </c>
      <c r="I8205">
        <v>149</v>
      </c>
      <c r="J8205">
        <v>1995</v>
      </c>
    </row>
    <row r="8206" spans="1:10">
      <c r="A8206" t="s">
        <v>194</v>
      </c>
      <c r="B8206" t="s">
        <v>199</v>
      </c>
      <c r="C8206" t="s">
        <v>214</v>
      </c>
      <c r="D8206" t="s">
        <v>1632</v>
      </c>
      <c r="E8206" s="3">
        <v>4.6100000000000002E-2</v>
      </c>
      <c r="F8206" s="3">
        <v>0.12559999999999999</v>
      </c>
      <c r="G8206" s="3">
        <v>1.5699999999999999E-2</v>
      </c>
      <c r="H8206">
        <v>162</v>
      </c>
      <c r="I8206">
        <v>149</v>
      </c>
      <c r="J8206">
        <v>1995</v>
      </c>
    </row>
    <row r="8207" spans="1:10">
      <c r="A8207" t="s">
        <v>194</v>
      </c>
      <c r="B8207" t="s">
        <v>199</v>
      </c>
      <c r="C8207" t="s">
        <v>214</v>
      </c>
      <c r="D8207" t="s">
        <v>1633</v>
      </c>
      <c r="E8207" s="3">
        <v>2.0000000000000001E-4</v>
      </c>
      <c r="H8207">
        <v>162</v>
      </c>
      <c r="I8207">
        <v>149</v>
      </c>
      <c r="J8207">
        <v>1995</v>
      </c>
    </row>
    <row r="8208" spans="1:10">
      <c r="A8208" t="s">
        <v>194</v>
      </c>
      <c r="B8208" t="s">
        <v>199</v>
      </c>
      <c r="C8208" t="s">
        <v>214</v>
      </c>
      <c r="D8208" t="s">
        <v>1635</v>
      </c>
      <c r="E8208" s="3">
        <v>1.9E-3</v>
      </c>
      <c r="F8208" s="3">
        <v>1.29E-2</v>
      </c>
      <c r="G8208" s="3">
        <v>7.1099999999999997E-2</v>
      </c>
      <c r="H8208">
        <v>162</v>
      </c>
      <c r="I8208">
        <v>149</v>
      </c>
      <c r="J8208">
        <v>1995</v>
      </c>
    </row>
    <row r="8209" spans="1:10">
      <c r="A8209" t="s">
        <v>194</v>
      </c>
      <c r="B8209" t="s">
        <v>199</v>
      </c>
      <c r="C8209" t="s">
        <v>214</v>
      </c>
      <c r="D8209" t="s">
        <v>1636</v>
      </c>
      <c r="E8209" s="3">
        <v>0.2452</v>
      </c>
      <c r="F8209" s="3">
        <v>0.27689999999999998</v>
      </c>
      <c r="G8209" s="3">
        <v>3.3300000000000003E-2</v>
      </c>
      <c r="H8209">
        <v>162</v>
      </c>
      <c r="I8209">
        <v>149</v>
      </c>
      <c r="J8209">
        <v>1995</v>
      </c>
    </row>
    <row r="8210" spans="1:10">
      <c r="A8210" t="s">
        <v>194</v>
      </c>
      <c r="B8210" t="s">
        <v>199</v>
      </c>
      <c r="C8210" t="s">
        <v>214</v>
      </c>
      <c r="D8210" t="s">
        <v>1637</v>
      </c>
      <c r="E8210" s="3">
        <v>0.56920000000000004</v>
      </c>
      <c r="F8210" s="3">
        <v>4.7500000000000001E-2</v>
      </c>
      <c r="G8210" s="3">
        <v>2.3999999999999998E-3</v>
      </c>
      <c r="H8210">
        <v>162</v>
      </c>
      <c r="I8210">
        <v>149</v>
      </c>
      <c r="J8210">
        <v>1995</v>
      </c>
    </row>
    <row r="8211" spans="1:10">
      <c r="A8211" t="s">
        <v>194</v>
      </c>
      <c r="B8211" t="s">
        <v>199</v>
      </c>
      <c r="C8211" t="s">
        <v>214</v>
      </c>
      <c r="D8211" t="s">
        <v>247</v>
      </c>
      <c r="E8211" s="3">
        <v>1.2999999999999999E-3</v>
      </c>
      <c r="G8211" s="3">
        <v>2.0999999999999999E-3</v>
      </c>
      <c r="H8211">
        <v>162</v>
      </c>
      <c r="I8211">
        <v>149</v>
      </c>
      <c r="J8211">
        <v>1995</v>
      </c>
    </row>
    <row r="8212" spans="1:10">
      <c r="A8212" t="s">
        <v>194</v>
      </c>
      <c r="B8212" t="s">
        <v>199</v>
      </c>
      <c r="C8212" t="s">
        <v>214</v>
      </c>
      <c r="D8212" t="s">
        <v>1643</v>
      </c>
      <c r="E8212" s="3">
        <v>2.0000000000000001E-4</v>
      </c>
      <c r="F8212" s="3">
        <v>1.9699999999999999E-2</v>
      </c>
      <c r="G8212" s="3">
        <v>3.56E-2</v>
      </c>
      <c r="H8212">
        <v>162</v>
      </c>
      <c r="I8212">
        <v>149</v>
      </c>
      <c r="J8212">
        <v>1995</v>
      </c>
    </row>
    <row r="8213" spans="1:10">
      <c r="A8213" t="s">
        <v>194</v>
      </c>
      <c r="B8213" t="s">
        <v>199</v>
      </c>
      <c r="C8213" t="s">
        <v>215</v>
      </c>
      <c r="D8213" t="s">
        <v>1624</v>
      </c>
      <c r="E8213" s="3">
        <v>1.04E-2</v>
      </c>
      <c r="F8213" s="3">
        <v>6.7000000000000004E-2</v>
      </c>
      <c r="G8213" s="3">
        <v>8.43E-2</v>
      </c>
      <c r="H8213">
        <v>94</v>
      </c>
      <c r="I8213">
        <v>127</v>
      </c>
      <c r="J8213">
        <v>1995</v>
      </c>
    </row>
    <row r="8214" spans="1:10">
      <c r="A8214" t="s">
        <v>194</v>
      </c>
      <c r="B8214" t="s">
        <v>199</v>
      </c>
      <c r="C8214" t="s">
        <v>215</v>
      </c>
      <c r="D8214" t="s">
        <v>1638</v>
      </c>
      <c r="E8214" s="3">
        <v>2.29E-2</v>
      </c>
      <c r="F8214" s="3">
        <v>2.3900000000000001E-2</v>
      </c>
      <c r="G8214" s="3">
        <v>3.3500000000000002E-2</v>
      </c>
      <c r="H8214">
        <v>94</v>
      </c>
      <c r="I8214">
        <v>127</v>
      </c>
      <c r="J8214">
        <v>1995</v>
      </c>
    </row>
    <row r="8215" spans="1:10">
      <c r="A8215" t="s">
        <v>194</v>
      </c>
      <c r="B8215" t="s">
        <v>199</v>
      </c>
      <c r="C8215" t="s">
        <v>215</v>
      </c>
      <c r="D8215" t="s">
        <v>1639</v>
      </c>
      <c r="E8215" s="3">
        <v>8.6999999999999994E-3</v>
      </c>
      <c r="F8215" s="3">
        <v>2.7900000000000001E-2</v>
      </c>
      <c r="G8215" s="3">
        <v>2.1499999999999998E-2</v>
      </c>
      <c r="H8215">
        <v>94</v>
      </c>
      <c r="I8215">
        <v>127</v>
      </c>
      <c r="J8215">
        <v>1995</v>
      </c>
    </row>
    <row r="8216" spans="1:10">
      <c r="A8216" t="s">
        <v>194</v>
      </c>
      <c r="B8216" t="s">
        <v>199</v>
      </c>
      <c r="C8216" t="s">
        <v>215</v>
      </c>
      <c r="D8216" t="s">
        <v>1625</v>
      </c>
      <c r="E8216" s="3">
        <v>1.0699999999999999E-2</v>
      </c>
      <c r="F8216" s="3">
        <v>1.7100000000000001E-2</v>
      </c>
      <c r="G8216" s="3">
        <v>4.07E-2</v>
      </c>
      <c r="H8216">
        <v>94</v>
      </c>
      <c r="I8216">
        <v>127</v>
      </c>
      <c r="J8216">
        <v>1995</v>
      </c>
    </row>
    <row r="8217" spans="1:10">
      <c r="A8217" t="s">
        <v>194</v>
      </c>
      <c r="B8217" t="s">
        <v>199</v>
      </c>
      <c r="C8217" t="s">
        <v>215</v>
      </c>
      <c r="D8217" t="s">
        <v>1627</v>
      </c>
      <c r="E8217" s="3">
        <v>1.18E-2</v>
      </c>
      <c r="F8217" s="3">
        <v>0.1007</v>
      </c>
      <c r="G8217" s="3">
        <v>0.15279999999999999</v>
      </c>
      <c r="H8217">
        <v>94</v>
      </c>
      <c r="I8217">
        <v>127</v>
      </c>
      <c r="J8217">
        <v>1995</v>
      </c>
    </row>
    <row r="8218" spans="1:10">
      <c r="A8218" t="s">
        <v>194</v>
      </c>
      <c r="B8218" t="s">
        <v>199</v>
      </c>
      <c r="C8218" t="s">
        <v>215</v>
      </c>
      <c r="D8218" t="s">
        <v>1644</v>
      </c>
      <c r="E8218" s="3">
        <v>3.5000000000000001E-3</v>
      </c>
      <c r="G8218" s="3">
        <v>1.12E-2</v>
      </c>
      <c r="H8218">
        <v>94</v>
      </c>
      <c r="I8218">
        <v>127</v>
      </c>
      <c r="J8218">
        <v>1995</v>
      </c>
    </row>
    <row r="8219" spans="1:10">
      <c r="A8219" t="s">
        <v>194</v>
      </c>
      <c r="B8219" t="s">
        <v>199</v>
      </c>
      <c r="C8219" t="s">
        <v>215</v>
      </c>
      <c r="D8219" t="s">
        <v>1628</v>
      </c>
      <c r="E8219" s="3">
        <v>7.7999999999999996E-3</v>
      </c>
      <c r="F8219" s="3">
        <v>5.8900000000000001E-2</v>
      </c>
      <c r="G8219" s="3">
        <v>0.23430000000000001</v>
      </c>
      <c r="H8219">
        <v>94</v>
      </c>
      <c r="I8219">
        <v>127</v>
      </c>
      <c r="J8219">
        <v>1995</v>
      </c>
    </row>
    <row r="8220" spans="1:10">
      <c r="A8220" t="s">
        <v>194</v>
      </c>
      <c r="B8220" t="s">
        <v>199</v>
      </c>
      <c r="C8220" t="s">
        <v>215</v>
      </c>
      <c r="D8220" t="s">
        <v>1629</v>
      </c>
      <c r="E8220" s="3">
        <v>8.0000000000000004E-4</v>
      </c>
      <c r="F8220" s="3">
        <v>4.0000000000000002E-4</v>
      </c>
      <c r="G8220" s="3">
        <v>4.6699999999999998E-2</v>
      </c>
      <c r="H8220">
        <v>94</v>
      </c>
      <c r="I8220">
        <v>127</v>
      </c>
      <c r="J8220">
        <v>1995</v>
      </c>
    </row>
    <row r="8221" spans="1:10">
      <c r="A8221" t="s">
        <v>194</v>
      </c>
      <c r="B8221" t="s">
        <v>199</v>
      </c>
      <c r="C8221" t="s">
        <v>215</v>
      </c>
      <c r="D8221" t="s">
        <v>1640</v>
      </c>
      <c r="E8221" s="3">
        <v>4.3E-3</v>
      </c>
      <c r="F8221" s="3">
        <v>5.0000000000000001E-3</v>
      </c>
      <c r="H8221">
        <v>94</v>
      </c>
      <c r="I8221">
        <v>127</v>
      </c>
      <c r="J8221">
        <v>1995</v>
      </c>
    </row>
    <row r="8222" spans="1:10">
      <c r="A8222" t="s">
        <v>194</v>
      </c>
      <c r="B8222" t="s">
        <v>199</v>
      </c>
      <c r="C8222" t="s">
        <v>215</v>
      </c>
      <c r="D8222" t="s">
        <v>1630</v>
      </c>
      <c r="E8222" s="3">
        <v>3.5000000000000001E-3</v>
      </c>
      <c r="F8222" s="3">
        <v>1.72E-2</v>
      </c>
      <c r="H8222">
        <v>94</v>
      </c>
      <c r="I8222">
        <v>127</v>
      </c>
      <c r="J8222">
        <v>1995</v>
      </c>
    </row>
    <row r="8223" spans="1:10">
      <c r="A8223" t="s">
        <v>194</v>
      </c>
      <c r="B8223" t="s">
        <v>199</v>
      </c>
      <c r="C8223" t="s">
        <v>215</v>
      </c>
      <c r="D8223" t="s">
        <v>1631</v>
      </c>
      <c r="E8223" s="3">
        <v>1.9800000000000002E-2</v>
      </c>
      <c r="F8223" s="3">
        <v>0.1234</v>
      </c>
      <c r="G8223" s="3">
        <v>0.12790000000000001</v>
      </c>
      <c r="H8223">
        <v>94</v>
      </c>
      <c r="I8223">
        <v>127</v>
      </c>
      <c r="J8223">
        <v>1995</v>
      </c>
    </row>
    <row r="8224" spans="1:10">
      <c r="A8224" t="s">
        <v>194</v>
      </c>
      <c r="B8224" t="s">
        <v>199</v>
      </c>
      <c r="C8224" t="s">
        <v>215</v>
      </c>
      <c r="D8224" t="s">
        <v>1632</v>
      </c>
      <c r="E8224" s="3">
        <v>5.4000000000000003E-3</v>
      </c>
      <c r="F8224" s="3">
        <v>3.5700000000000003E-2</v>
      </c>
      <c r="G8224" s="3">
        <v>3.7900000000000003E-2</v>
      </c>
      <c r="H8224">
        <v>94</v>
      </c>
      <c r="I8224">
        <v>127</v>
      </c>
      <c r="J8224">
        <v>1995</v>
      </c>
    </row>
    <row r="8225" spans="1:10">
      <c r="A8225" t="s">
        <v>194</v>
      </c>
      <c r="B8225" t="s">
        <v>199</v>
      </c>
      <c r="C8225" t="s">
        <v>215</v>
      </c>
      <c r="D8225" t="s">
        <v>1634</v>
      </c>
      <c r="E8225" s="3">
        <v>1.6999999999999999E-3</v>
      </c>
      <c r="F8225" s="3">
        <v>5.0000000000000001E-3</v>
      </c>
      <c r="H8225">
        <v>94</v>
      </c>
      <c r="I8225">
        <v>127</v>
      </c>
      <c r="J8225">
        <v>1995</v>
      </c>
    </row>
    <row r="8226" spans="1:10">
      <c r="A8226" t="s">
        <v>194</v>
      </c>
      <c r="B8226" t="s">
        <v>199</v>
      </c>
      <c r="C8226" t="s">
        <v>215</v>
      </c>
      <c r="D8226" t="s">
        <v>1636</v>
      </c>
      <c r="E8226" s="3">
        <v>0.37530000000000002</v>
      </c>
      <c r="F8226" s="3">
        <v>0.37409999999999999</v>
      </c>
      <c r="G8226" s="3">
        <v>1.66E-2</v>
      </c>
      <c r="H8226">
        <v>94</v>
      </c>
      <c r="I8226">
        <v>127</v>
      </c>
      <c r="J8226">
        <v>1995</v>
      </c>
    </row>
    <row r="8227" spans="1:10">
      <c r="A8227" t="s">
        <v>194</v>
      </c>
      <c r="B8227" t="s">
        <v>199</v>
      </c>
      <c r="C8227" t="s">
        <v>215</v>
      </c>
      <c r="D8227" t="s">
        <v>1637</v>
      </c>
      <c r="E8227" s="3">
        <v>0.51319999999999999</v>
      </c>
      <c r="F8227" s="3">
        <v>0.1009</v>
      </c>
      <c r="G8227" s="3">
        <v>5.33E-2</v>
      </c>
      <c r="H8227">
        <v>94</v>
      </c>
      <c r="I8227">
        <v>127</v>
      </c>
      <c r="J8227">
        <v>1995</v>
      </c>
    </row>
    <row r="8228" spans="1:10">
      <c r="A8228" t="s">
        <v>200</v>
      </c>
      <c r="B8228" t="s">
        <v>200</v>
      </c>
      <c r="C8228" t="s">
        <v>200</v>
      </c>
      <c r="D8228" t="s">
        <v>1624</v>
      </c>
      <c r="E8228" s="3">
        <v>4.4999999999999997E-3</v>
      </c>
      <c r="F8228" s="3">
        <v>1.54E-2</v>
      </c>
      <c r="G8228" s="3">
        <v>2.52E-2</v>
      </c>
      <c r="H8228">
        <v>1995</v>
      </c>
      <c r="I8228">
        <v>1995</v>
      </c>
      <c r="J8228">
        <v>1995</v>
      </c>
    </row>
    <row r="8229" spans="1:10">
      <c r="A8229" t="s">
        <v>200</v>
      </c>
      <c r="B8229" t="s">
        <v>200</v>
      </c>
      <c r="C8229" t="s">
        <v>200</v>
      </c>
      <c r="D8229" t="s">
        <v>257</v>
      </c>
      <c r="E8229" s="3">
        <v>6.8999999999999999E-3</v>
      </c>
      <c r="F8229" s="3">
        <v>4.1799999999999997E-2</v>
      </c>
      <c r="G8229" s="3">
        <v>6.8900000000000003E-2</v>
      </c>
      <c r="H8229">
        <v>1995</v>
      </c>
      <c r="I8229">
        <v>1995</v>
      </c>
      <c r="J8229">
        <v>1995</v>
      </c>
    </row>
    <row r="8230" spans="1:10">
      <c r="A8230" t="s">
        <v>200</v>
      </c>
      <c r="B8230" t="s">
        <v>200</v>
      </c>
      <c r="C8230" t="s">
        <v>200</v>
      </c>
      <c r="D8230" t="s">
        <v>1638</v>
      </c>
      <c r="E8230" s="3">
        <v>1.4999999999999999E-2</v>
      </c>
      <c r="F8230" s="3">
        <v>7.5200000000000003E-2</v>
      </c>
      <c r="G8230" s="3">
        <v>0.1067</v>
      </c>
      <c r="H8230">
        <v>1995</v>
      </c>
      <c r="I8230">
        <v>1995</v>
      </c>
      <c r="J8230">
        <v>1995</v>
      </c>
    </row>
    <row r="8231" spans="1:10">
      <c r="A8231" t="s">
        <v>200</v>
      </c>
      <c r="B8231" t="s">
        <v>200</v>
      </c>
      <c r="C8231" t="s">
        <v>200</v>
      </c>
      <c r="D8231" t="s">
        <v>1639</v>
      </c>
      <c r="E8231" s="3">
        <v>4.7000000000000002E-3</v>
      </c>
      <c r="F8231" s="3">
        <v>2.41E-2</v>
      </c>
      <c r="G8231" s="3">
        <v>2.0500000000000001E-2</v>
      </c>
      <c r="H8231">
        <v>1995</v>
      </c>
      <c r="I8231">
        <v>1995</v>
      </c>
      <c r="J8231">
        <v>1995</v>
      </c>
    </row>
    <row r="8232" spans="1:10">
      <c r="A8232" t="s">
        <v>200</v>
      </c>
      <c r="B8232" t="s">
        <v>200</v>
      </c>
      <c r="C8232" t="s">
        <v>200</v>
      </c>
      <c r="D8232" t="s">
        <v>1625</v>
      </c>
      <c r="E8232" s="3">
        <v>4.2700000000000002E-2</v>
      </c>
      <c r="F8232" s="3">
        <v>4.3299999999999998E-2</v>
      </c>
      <c r="G8232" s="3">
        <v>4.7500000000000001E-2</v>
      </c>
      <c r="H8232">
        <v>1995</v>
      </c>
      <c r="I8232">
        <v>1995</v>
      </c>
      <c r="J8232">
        <v>1995</v>
      </c>
    </row>
    <row r="8233" spans="1:10">
      <c r="A8233" t="s">
        <v>200</v>
      </c>
      <c r="B8233" t="s">
        <v>200</v>
      </c>
      <c r="C8233" t="s">
        <v>200</v>
      </c>
      <c r="D8233" t="s">
        <v>1626</v>
      </c>
      <c r="E8233" s="3">
        <v>4.0000000000000002E-4</v>
      </c>
      <c r="F8233" s="3">
        <v>2.3E-3</v>
      </c>
      <c r="G8233" s="3">
        <v>1.0999999999999999E-2</v>
      </c>
      <c r="H8233">
        <v>1995</v>
      </c>
      <c r="I8233">
        <v>1995</v>
      </c>
      <c r="J8233">
        <v>1995</v>
      </c>
    </row>
    <row r="8234" spans="1:10">
      <c r="A8234" t="s">
        <v>200</v>
      </c>
      <c r="B8234" t="s">
        <v>200</v>
      </c>
      <c r="C8234" t="s">
        <v>200</v>
      </c>
      <c r="D8234" t="s">
        <v>1627</v>
      </c>
      <c r="E8234" s="3">
        <v>4.7199999999999999E-2</v>
      </c>
      <c r="F8234" s="3">
        <v>9.3700000000000006E-2</v>
      </c>
      <c r="G8234" s="3">
        <v>0.14050000000000001</v>
      </c>
      <c r="H8234">
        <v>1995</v>
      </c>
      <c r="I8234">
        <v>1995</v>
      </c>
      <c r="J8234">
        <v>1995</v>
      </c>
    </row>
    <row r="8235" spans="1:10">
      <c r="A8235" t="s">
        <v>200</v>
      </c>
      <c r="B8235" t="s">
        <v>200</v>
      </c>
      <c r="C8235" t="s">
        <v>200</v>
      </c>
      <c r="D8235" t="s">
        <v>1644</v>
      </c>
      <c r="E8235" s="3">
        <v>2.0000000000000001E-4</v>
      </c>
      <c r="F8235" s="3">
        <v>3.3E-3</v>
      </c>
      <c r="G8235" s="3">
        <v>1.09E-2</v>
      </c>
      <c r="H8235">
        <v>1995</v>
      </c>
      <c r="I8235">
        <v>1995</v>
      </c>
      <c r="J8235">
        <v>1995</v>
      </c>
    </row>
    <row r="8236" spans="1:10">
      <c r="A8236" t="s">
        <v>200</v>
      </c>
      <c r="B8236" t="s">
        <v>200</v>
      </c>
      <c r="C8236" t="s">
        <v>200</v>
      </c>
      <c r="D8236" t="s">
        <v>1628</v>
      </c>
      <c r="E8236" s="3">
        <v>3.2500000000000001E-2</v>
      </c>
      <c r="F8236" s="3">
        <v>8.48E-2</v>
      </c>
      <c r="G8236" s="3">
        <v>7.0499999999999993E-2</v>
      </c>
      <c r="H8236">
        <v>1995</v>
      </c>
      <c r="I8236">
        <v>1995</v>
      </c>
      <c r="J8236">
        <v>1995</v>
      </c>
    </row>
    <row r="8237" spans="1:10">
      <c r="A8237" t="s">
        <v>200</v>
      </c>
      <c r="B8237" t="s">
        <v>200</v>
      </c>
      <c r="C8237" t="s">
        <v>200</v>
      </c>
      <c r="D8237" t="s">
        <v>1629</v>
      </c>
      <c r="E8237" s="3">
        <v>6.0000000000000001E-3</v>
      </c>
      <c r="F8237" s="3">
        <v>1.37E-2</v>
      </c>
      <c r="G8237" s="3">
        <v>1.24E-2</v>
      </c>
      <c r="H8237">
        <v>1995</v>
      </c>
      <c r="I8237">
        <v>1995</v>
      </c>
      <c r="J8237">
        <v>1995</v>
      </c>
    </row>
    <row r="8238" spans="1:10">
      <c r="A8238" t="s">
        <v>200</v>
      </c>
      <c r="B8238" t="s">
        <v>200</v>
      </c>
      <c r="C8238" t="s">
        <v>200</v>
      </c>
      <c r="D8238" t="s">
        <v>1640</v>
      </c>
      <c r="E8238" s="3">
        <v>2.2000000000000001E-3</v>
      </c>
      <c r="F8238" s="3">
        <v>8.3999999999999995E-3</v>
      </c>
      <c r="G8238" s="3">
        <v>7.0000000000000001E-3</v>
      </c>
      <c r="H8238">
        <v>1995</v>
      </c>
      <c r="I8238">
        <v>1995</v>
      </c>
      <c r="J8238">
        <v>1995</v>
      </c>
    </row>
    <row r="8239" spans="1:10">
      <c r="A8239" t="s">
        <v>200</v>
      </c>
      <c r="B8239" t="s">
        <v>200</v>
      </c>
      <c r="C8239" t="s">
        <v>200</v>
      </c>
      <c r="D8239" t="s">
        <v>1630</v>
      </c>
      <c r="E8239" s="3">
        <v>7.6E-3</v>
      </c>
      <c r="F8239" s="3">
        <v>2.18E-2</v>
      </c>
      <c r="G8239" s="3">
        <v>1.41E-2</v>
      </c>
      <c r="H8239">
        <v>1995</v>
      </c>
      <c r="I8239">
        <v>1995</v>
      </c>
      <c r="J8239">
        <v>1995</v>
      </c>
    </row>
    <row r="8240" spans="1:10">
      <c r="A8240" t="s">
        <v>200</v>
      </c>
      <c r="B8240" t="s">
        <v>200</v>
      </c>
      <c r="C8240" t="s">
        <v>200</v>
      </c>
      <c r="D8240" t="s">
        <v>1631</v>
      </c>
      <c r="E8240" s="3">
        <v>2.3900000000000001E-2</v>
      </c>
      <c r="F8240" s="3">
        <v>0.112</v>
      </c>
      <c r="G8240" s="3">
        <v>0.1164</v>
      </c>
      <c r="H8240">
        <v>1995</v>
      </c>
      <c r="I8240">
        <v>1995</v>
      </c>
      <c r="J8240">
        <v>1995</v>
      </c>
    </row>
    <row r="8241" spans="1:10">
      <c r="A8241" t="s">
        <v>200</v>
      </c>
      <c r="B8241" t="s">
        <v>200</v>
      </c>
      <c r="C8241" t="s">
        <v>200</v>
      </c>
      <c r="D8241" t="s">
        <v>1641</v>
      </c>
      <c r="E8241" s="3">
        <v>2.3E-3</v>
      </c>
      <c r="F8241" s="3">
        <v>5.0000000000000001E-3</v>
      </c>
      <c r="G8241" s="3">
        <v>2.3599999999999999E-2</v>
      </c>
      <c r="H8241">
        <v>1995</v>
      </c>
      <c r="I8241">
        <v>1995</v>
      </c>
      <c r="J8241">
        <v>1995</v>
      </c>
    </row>
    <row r="8242" spans="1:10">
      <c r="A8242" t="s">
        <v>200</v>
      </c>
      <c r="B8242" t="s">
        <v>200</v>
      </c>
      <c r="C8242" t="s">
        <v>200</v>
      </c>
      <c r="D8242" t="s">
        <v>1632</v>
      </c>
      <c r="E8242" s="3">
        <v>2.4199999999999999E-2</v>
      </c>
      <c r="F8242" s="3">
        <v>6.3799999999999996E-2</v>
      </c>
      <c r="G8242" s="3">
        <v>9.1399999999999995E-2</v>
      </c>
      <c r="H8242">
        <v>1995</v>
      </c>
      <c r="I8242">
        <v>1995</v>
      </c>
      <c r="J8242">
        <v>1995</v>
      </c>
    </row>
    <row r="8243" spans="1:10">
      <c r="A8243" t="s">
        <v>200</v>
      </c>
      <c r="B8243" t="s">
        <v>200</v>
      </c>
      <c r="C8243" t="s">
        <v>200</v>
      </c>
      <c r="D8243" t="s">
        <v>1633</v>
      </c>
      <c r="E8243" s="3">
        <v>3.2000000000000002E-3</v>
      </c>
      <c r="F8243" s="3">
        <v>4.5999999999999999E-3</v>
      </c>
      <c r="G8243" s="3">
        <v>1.3599999999999999E-2</v>
      </c>
      <c r="H8243">
        <v>1995</v>
      </c>
      <c r="I8243">
        <v>1995</v>
      </c>
      <c r="J8243">
        <v>1995</v>
      </c>
    </row>
    <row r="8244" spans="1:10">
      <c r="A8244" t="s">
        <v>200</v>
      </c>
      <c r="B8244" t="s">
        <v>200</v>
      </c>
      <c r="C8244" t="s">
        <v>200</v>
      </c>
      <c r="D8244" t="s">
        <v>1634</v>
      </c>
      <c r="E8244" s="3">
        <v>3.8999999999999998E-3</v>
      </c>
      <c r="F8244" s="3">
        <v>1.55E-2</v>
      </c>
      <c r="G8244" s="3">
        <v>2.1299999999999999E-2</v>
      </c>
      <c r="H8244">
        <v>1995</v>
      </c>
      <c r="I8244">
        <v>1995</v>
      </c>
      <c r="J8244">
        <v>1995</v>
      </c>
    </row>
    <row r="8245" spans="1:10">
      <c r="A8245" t="s">
        <v>200</v>
      </c>
      <c r="B8245" t="s">
        <v>200</v>
      </c>
      <c r="C8245" t="s">
        <v>200</v>
      </c>
      <c r="D8245" t="s">
        <v>1642</v>
      </c>
      <c r="E8245" s="3">
        <v>1.1000000000000001E-3</v>
      </c>
      <c r="F8245" s="3">
        <v>2.0000000000000001E-4</v>
      </c>
      <c r="G8245" s="3">
        <v>7.3000000000000001E-3</v>
      </c>
      <c r="H8245">
        <v>1995</v>
      </c>
      <c r="I8245">
        <v>1995</v>
      </c>
      <c r="J8245">
        <v>1995</v>
      </c>
    </row>
    <row r="8246" spans="1:10">
      <c r="A8246" t="s">
        <v>200</v>
      </c>
      <c r="B8246" t="s">
        <v>200</v>
      </c>
      <c r="C8246" t="s">
        <v>200</v>
      </c>
      <c r="D8246" t="s">
        <v>1635</v>
      </c>
      <c r="E8246" s="3">
        <v>5.3E-3</v>
      </c>
      <c r="F8246" s="3">
        <v>1.3299999999999999E-2</v>
      </c>
      <c r="G8246" s="3">
        <v>4.1500000000000002E-2</v>
      </c>
      <c r="H8246">
        <v>1995</v>
      </c>
      <c r="I8246">
        <v>1995</v>
      </c>
      <c r="J8246">
        <v>1995</v>
      </c>
    </row>
    <row r="8247" spans="1:10">
      <c r="A8247" t="s">
        <v>200</v>
      </c>
      <c r="B8247" t="s">
        <v>200</v>
      </c>
      <c r="C8247" t="s">
        <v>200</v>
      </c>
      <c r="D8247" t="s">
        <v>1636</v>
      </c>
      <c r="E8247" s="3">
        <v>0.37080000000000002</v>
      </c>
      <c r="F8247" s="3">
        <v>0.2258</v>
      </c>
      <c r="G8247" s="3">
        <v>7.7700000000000005E-2</v>
      </c>
      <c r="H8247">
        <v>1995</v>
      </c>
      <c r="I8247">
        <v>1995</v>
      </c>
      <c r="J8247">
        <v>1995</v>
      </c>
    </row>
    <row r="8248" spans="1:10">
      <c r="A8248" t="s">
        <v>200</v>
      </c>
      <c r="B8248" t="s">
        <v>200</v>
      </c>
      <c r="C8248" t="s">
        <v>200</v>
      </c>
      <c r="D8248" t="s">
        <v>1637</v>
      </c>
      <c r="E8248" s="3">
        <v>0.38950000000000001</v>
      </c>
      <c r="F8248" s="3">
        <v>0.1105</v>
      </c>
      <c r="G8248" s="3">
        <v>3.7499999999999999E-2</v>
      </c>
      <c r="H8248">
        <v>1995</v>
      </c>
      <c r="I8248">
        <v>1995</v>
      </c>
      <c r="J8248">
        <v>1995</v>
      </c>
    </row>
    <row r="8249" spans="1:10">
      <c r="A8249" t="s">
        <v>200</v>
      </c>
      <c r="B8249" t="s">
        <v>200</v>
      </c>
      <c r="C8249" t="s">
        <v>200</v>
      </c>
      <c r="D8249" t="s">
        <v>274</v>
      </c>
      <c r="E8249" s="3">
        <v>6.9999999999999999E-4</v>
      </c>
      <c r="F8249" s="3">
        <v>9.1999999999999998E-3</v>
      </c>
      <c r="G8249" s="3">
        <v>1.32E-2</v>
      </c>
      <c r="H8249">
        <v>1995</v>
      </c>
      <c r="I8249">
        <v>1995</v>
      </c>
      <c r="J8249">
        <v>1995</v>
      </c>
    </row>
    <row r="8250" spans="1:10">
      <c r="A8250" t="s">
        <v>200</v>
      </c>
      <c r="B8250" t="s">
        <v>200</v>
      </c>
      <c r="C8250" t="s">
        <v>200</v>
      </c>
      <c r="D8250" t="s">
        <v>247</v>
      </c>
      <c r="E8250" s="3">
        <v>4.8999999999999998E-3</v>
      </c>
      <c r="F8250" s="3">
        <v>0</v>
      </c>
      <c r="G8250" s="3">
        <v>1.4E-3</v>
      </c>
      <c r="H8250">
        <v>1995</v>
      </c>
      <c r="I8250">
        <v>1995</v>
      </c>
      <c r="J8250">
        <v>1995</v>
      </c>
    </row>
    <row r="8251" spans="1:10">
      <c r="A8251" t="s">
        <v>200</v>
      </c>
      <c r="B8251" t="s">
        <v>200</v>
      </c>
      <c r="C8251" t="s">
        <v>200</v>
      </c>
      <c r="D8251" t="s">
        <v>1643</v>
      </c>
      <c r="E8251" s="3">
        <v>1E-4</v>
      </c>
      <c r="F8251" s="3">
        <v>1.2E-2</v>
      </c>
      <c r="G8251" s="3">
        <v>0.02</v>
      </c>
      <c r="H8251">
        <v>1995</v>
      </c>
      <c r="I8251">
        <v>1995</v>
      </c>
      <c r="J8251">
        <v>1995</v>
      </c>
    </row>
    <row r="8253" spans="1:10" ht="45">
      <c r="A8253" s="22" t="s">
        <v>1651</v>
      </c>
    </row>
    <row r="8254" spans="1:10">
      <c r="A8254" t="s">
        <v>184</v>
      </c>
      <c r="B8254" t="s">
        <v>185</v>
      </c>
      <c r="C8254" t="s">
        <v>186</v>
      </c>
      <c r="D8254" t="s">
        <v>1007</v>
      </c>
      <c r="E8254" t="s">
        <v>1621</v>
      </c>
      <c r="F8254" t="s">
        <v>1622</v>
      </c>
      <c r="G8254" t="s">
        <v>1623</v>
      </c>
      <c r="H8254" t="s">
        <v>1018</v>
      </c>
      <c r="I8254" t="s">
        <v>192</v>
      </c>
      <c r="J8254" t="s">
        <v>193</v>
      </c>
    </row>
    <row r="8255" spans="1:10">
      <c r="A8255" t="s">
        <v>194</v>
      </c>
      <c r="B8255" t="s">
        <v>195</v>
      </c>
      <c r="C8255" t="s">
        <v>217</v>
      </c>
      <c r="D8255" t="s">
        <v>1624</v>
      </c>
      <c r="E8255" s="3">
        <v>4.3E-3</v>
      </c>
      <c r="F8255" s="3">
        <v>2.29E-2</v>
      </c>
      <c r="G8255" s="3">
        <v>2.7400000000000001E-2</v>
      </c>
      <c r="H8255">
        <v>415</v>
      </c>
      <c r="I8255">
        <v>410</v>
      </c>
      <c r="J8255">
        <v>1995</v>
      </c>
    </row>
    <row r="8256" spans="1:10">
      <c r="A8256" t="s">
        <v>194</v>
      </c>
      <c r="B8256" t="s">
        <v>195</v>
      </c>
      <c r="C8256" t="s">
        <v>217</v>
      </c>
      <c r="D8256" t="s">
        <v>257</v>
      </c>
      <c r="E8256" s="3">
        <v>6.1000000000000004E-3</v>
      </c>
      <c r="F8256" s="3">
        <v>3.2099999999999997E-2</v>
      </c>
      <c r="G8256" s="3">
        <v>5.1299999999999998E-2</v>
      </c>
      <c r="H8256">
        <v>415</v>
      </c>
      <c r="I8256">
        <v>410</v>
      </c>
      <c r="J8256">
        <v>1995</v>
      </c>
    </row>
    <row r="8257" spans="1:10">
      <c r="A8257" t="s">
        <v>194</v>
      </c>
      <c r="B8257" t="s">
        <v>195</v>
      </c>
      <c r="C8257" t="s">
        <v>217</v>
      </c>
      <c r="D8257" t="s">
        <v>1638</v>
      </c>
      <c r="E8257" s="3">
        <v>5.0000000000000001E-3</v>
      </c>
      <c r="F8257" s="3">
        <v>3.5000000000000003E-2</v>
      </c>
      <c r="G8257" s="3">
        <v>8.0399999999999999E-2</v>
      </c>
      <c r="H8257">
        <v>415</v>
      </c>
      <c r="I8257">
        <v>410</v>
      </c>
      <c r="J8257">
        <v>1995</v>
      </c>
    </row>
    <row r="8258" spans="1:10">
      <c r="A8258" t="s">
        <v>194</v>
      </c>
      <c r="B8258" t="s">
        <v>195</v>
      </c>
      <c r="C8258" t="s">
        <v>217</v>
      </c>
      <c r="D8258" t="s">
        <v>1639</v>
      </c>
      <c r="E8258" s="3">
        <v>2.8E-3</v>
      </c>
      <c r="F8258" s="3">
        <v>2.18E-2</v>
      </c>
      <c r="G8258" s="3">
        <v>1.6999999999999999E-3</v>
      </c>
      <c r="H8258">
        <v>415</v>
      </c>
      <c r="I8258">
        <v>410</v>
      </c>
      <c r="J8258">
        <v>1995</v>
      </c>
    </row>
    <row r="8259" spans="1:10">
      <c r="A8259" t="s">
        <v>194</v>
      </c>
      <c r="B8259" t="s">
        <v>195</v>
      </c>
      <c r="C8259" t="s">
        <v>217</v>
      </c>
      <c r="D8259" t="s">
        <v>1625</v>
      </c>
      <c r="E8259" s="3">
        <v>6.83E-2</v>
      </c>
      <c r="F8259" s="3">
        <v>6.4500000000000002E-2</v>
      </c>
      <c r="G8259" s="3">
        <v>6.9900000000000004E-2</v>
      </c>
      <c r="H8259">
        <v>415</v>
      </c>
      <c r="I8259">
        <v>410</v>
      </c>
      <c r="J8259">
        <v>1995</v>
      </c>
    </row>
    <row r="8260" spans="1:10">
      <c r="A8260" t="s">
        <v>194</v>
      </c>
      <c r="B8260" t="s">
        <v>195</v>
      </c>
      <c r="C8260" t="s">
        <v>217</v>
      </c>
      <c r="D8260" t="s">
        <v>1627</v>
      </c>
      <c r="E8260" s="3">
        <v>5.57E-2</v>
      </c>
      <c r="F8260" s="3">
        <v>0.1197</v>
      </c>
      <c r="G8260" s="3">
        <v>0.15429999999999999</v>
      </c>
      <c r="H8260">
        <v>415</v>
      </c>
      <c r="I8260">
        <v>410</v>
      </c>
      <c r="J8260">
        <v>1995</v>
      </c>
    </row>
    <row r="8261" spans="1:10">
      <c r="A8261" t="s">
        <v>194</v>
      </c>
      <c r="B8261" t="s">
        <v>195</v>
      </c>
      <c r="C8261" t="s">
        <v>217</v>
      </c>
      <c r="D8261" t="s">
        <v>1628</v>
      </c>
      <c r="E8261" s="3">
        <v>1.7100000000000001E-2</v>
      </c>
      <c r="F8261" s="3">
        <v>4.9599999999999998E-2</v>
      </c>
      <c r="G8261" s="3">
        <v>3.2800000000000003E-2</v>
      </c>
      <c r="H8261">
        <v>415</v>
      </c>
      <c r="I8261">
        <v>410</v>
      </c>
      <c r="J8261">
        <v>1995</v>
      </c>
    </row>
    <row r="8262" spans="1:10">
      <c r="A8262" t="s">
        <v>194</v>
      </c>
      <c r="B8262" t="s">
        <v>195</v>
      </c>
      <c r="C8262" t="s">
        <v>217</v>
      </c>
      <c r="D8262" t="s">
        <v>1629</v>
      </c>
      <c r="E8262" s="3">
        <v>5.1999999999999998E-3</v>
      </c>
      <c r="F8262" s="3">
        <v>5.8999999999999999E-3</v>
      </c>
      <c r="G8262" s="3">
        <v>8.5000000000000006E-3</v>
      </c>
      <c r="H8262">
        <v>415</v>
      </c>
      <c r="I8262">
        <v>410</v>
      </c>
      <c r="J8262">
        <v>1995</v>
      </c>
    </row>
    <row r="8263" spans="1:10">
      <c r="A8263" t="s">
        <v>194</v>
      </c>
      <c r="B8263" t="s">
        <v>195</v>
      </c>
      <c r="C8263" t="s">
        <v>217</v>
      </c>
      <c r="D8263" t="s">
        <v>1640</v>
      </c>
      <c r="E8263" s="3">
        <v>4.0000000000000002E-4</v>
      </c>
      <c r="F8263" s="3">
        <v>8.0000000000000004E-4</v>
      </c>
      <c r="G8263" s="3">
        <v>4.8999999999999998E-3</v>
      </c>
      <c r="H8263">
        <v>415</v>
      </c>
      <c r="I8263">
        <v>410</v>
      </c>
      <c r="J8263">
        <v>1995</v>
      </c>
    </row>
    <row r="8264" spans="1:10">
      <c r="A8264" t="s">
        <v>194</v>
      </c>
      <c r="B8264" t="s">
        <v>195</v>
      </c>
      <c r="C8264" t="s">
        <v>217</v>
      </c>
      <c r="D8264" t="s">
        <v>1630</v>
      </c>
      <c r="E8264" s="3">
        <v>1.8700000000000001E-2</v>
      </c>
      <c r="F8264" s="3">
        <v>3.5400000000000001E-2</v>
      </c>
      <c r="G8264" s="3">
        <v>3.7100000000000001E-2</v>
      </c>
      <c r="H8264">
        <v>415</v>
      </c>
      <c r="I8264">
        <v>410</v>
      </c>
      <c r="J8264">
        <v>1995</v>
      </c>
    </row>
    <row r="8265" spans="1:10">
      <c r="A8265" t="s">
        <v>194</v>
      </c>
      <c r="B8265" t="s">
        <v>195</v>
      </c>
      <c r="C8265" t="s">
        <v>217</v>
      </c>
      <c r="D8265" t="s">
        <v>1631</v>
      </c>
      <c r="E8265" s="3">
        <v>5.9200000000000003E-2</v>
      </c>
      <c r="F8265" s="3">
        <v>0.14940000000000001</v>
      </c>
      <c r="G8265" s="3">
        <v>0.13139999999999999</v>
      </c>
      <c r="H8265">
        <v>415</v>
      </c>
      <c r="I8265">
        <v>410</v>
      </c>
      <c r="J8265">
        <v>1995</v>
      </c>
    </row>
    <row r="8266" spans="1:10">
      <c r="A8266" t="s">
        <v>194</v>
      </c>
      <c r="B8266" t="s">
        <v>195</v>
      </c>
      <c r="C8266" t="s">
        <v>217</v>
      </c>
      <c r="D8266" t="s">
        <v>1641</v>
      </c>
      <c r="E8266" s="3">
        <v>3.7000000000000002E-3</v>
      </c>
      <c r="F8266" s="3">
        <v>2.5999999999999999E-3</v>
      </c>
      <c r="G8266" s="3">
        <v>1.15E-2</v>
      </c>
      <c r="H8266">
        <v>415</v>
      </c>
      <c r="I8266">
        <v>410</v>
      </c>
      <c r="J8266">
        <v>1995</v>
      </c>
    </row>
    <row r="8267" spans="1:10">
      <c r="A8267" t="s">
        <v>194</v>
      </c>
      <c r="B8267" t="s">
        <v>195</v>
      </c>
      <c r="C8267" t="s">
        <v>217</v>
      </c>
      <c r="D8267" t="s">
        <v>1632</v>
      </c>
      <c r="E8267" s="3">
        <v>1.6500000000000001E-2</v>
      </c>
      <c r="F8267" s="3">
        <v>5.0999999999999997E-2</v>
      </c>
      <c r="G8267" s="3">
        <v>0.154</v>
      </c>
      <c r="H8267">
        <v>415</v>
      </c>
      <c r="I8267">
        <v>410</v>
      </c>
      <c r="J8267">
        <v>1995</v>
      </c>
    </row>
    <row r="8268" spans="1:10">
      <c r="A8268" t="s">
        <v>194</v>
      </c>
      <c r="B8268" t="s">
        <v>195</v>
      </c>
      <c r="C8268" t="s">
        <v>217</v>
      </c>
      <c r="D8268" t="s">
        <v>1633</v>
      </c>
      <c r="E8268" s="3">
        <v>1.37E-2</v>
      </c>
      <c r="F8268" s="3">
        <v>5.0000000000000001E-4</v>
      </c>
      <c r="G8268" s="3">
        <v>1.0500000000000001E-2</v>
      </c>
      <c r="H8268">
        <v>415</v>
      </c>
      <c r="I8268">
        <v>410</v>
      </c>
      <c r="J8268">
        <v>1995</v>
      </c>
    </row>
    <row r="8269" spans="1:10">
      <c r="A8269" t="s">
        <v>194</v>
      </c>
      <c r="B8269" t="s">
        <v>195</v>
      </c>
      <c r="C8269" t="s">
        <v>217</v>
      </c>
      <c r="D8269" t="s">
        <v>1634</v>
      </c>
      <c r="E8269" s="3">
        <v>1.34E-2</v>
      </c>
      <c r="F8269" s="3">
        <v>1.14E-2</v>
      </c>
      <c r="G8269" s="3">
        <v>2.63E-2</v>
      </c>
      <c r="H8269">
        <v>415</v>
      </c>
      <c r="I8269">
        <v>410</v>
      </c>
      <c r="J8269">
        <v>1995</v>
      </c>
    </row>
    <row r="8270" spans="1:10">
      <c r="A8270" t="s">
        <v>194</v>
      </c>
      <c r="B8270" t="s">
        <v>195</v>
      </c>
      <c r="C8270" t="s">
        <v>217</v>
      </c>
      <c r="D8270" t="s">
        <v>1635</v>
      </c>
      <c r="E8270" s="3">
        <v>1.6999999999999999E-3</v>
      </c>
      <c r="F8270" s="3">
        <v>1.7399999999999999E-2</v>
      </c>
      <c r="G8270" s="3">
        <v>4.2500000000000003E-2</v>
      </c>
      <c r="H8270">
        <v>415</v>
      </c>
      <c r="I8270">
        <v>410</v>
      </c>
      <c r="J8270">
        <v>1995</v>
      </c>
    </row>
    <row r="8271" spans="1:10">
      <c r="A8271" t="s">
        <v>194</v>
      </c>
      <c r="B8271" t="s">
        <v>195</v>
      </c>
      <c r="C8271" t="s">
        <v>217</v>
      </c>
      <c r="D8271" t="s">
        <v>1636</v>
      </c>
      <c r="E8271" s="3">
        <v>0.44030000000000002</v>
      </c>
      <c r="F8271" s="3">
        <v>0.21099999999999999</v>
      </c>
      <c r="G8271" s="3">
        <v>8.6900000000000005E-2</v>
      </c>
      <c r="H8271">
        <v>415</v>
      </c>
      <c r="I8271">
        <v>410</v>
      </c>
      <c r="J8271">
        <v>1995</v>
      </c>
    </row>
    <row r="8272" spans="1:10">
      <c r="A8272" t="s">
        <v>194</v>
      </c>
      <c r="B8272" t="s">
        <v>195</v>
      </c>
      <c r="C8272" t="s">
        <v>217</v>
      </c>
      <c r="D8272" t="s">
        <v>1637</v>
      </c>
      <c r="E8272" s="3">
        <v>0.26650000000000001</v>
      </c>
      <c r="F8272" s="3">
        <v>0.16439999999999999</v>
      </c>
      <c r="G8272" s="3">
        <v>2.23E-2</v>
      </c>
      <c r="H8272">
        <v>415</v>
      </c>
      <c r="I8272">
        <v>410</v>
      </c>
      <c r="J8272">
        <v>1995</v>
      </c>
    </row>
    <row r="8273" spans="1:10">
      <c r="A8273" t="s">
        <v>194</v>
      </c>
      <c r="B8273" t="s">
        <v>195</v>
      </c>
      <c r="C8273" t="s">
        <v>217</v>
      </c>
      <c r="D8273" t="s">
        <v>247</v>
      </c>
      <c r="E8273" s="3">
        <v>1.6000000000000001E-3</v>
      </c>
      <c r="G8273" s="3">
        <v>1.2999999999999999E-3</v>
      </c>
      <c r="H8273">
        <v>415</v>
      </c>
      <c r="I8273">
        <v>410</v>
      </c>
      <c r="J8273">
        <v>1995</v>
      </c>
    </row>
    <row r="8274" spans="1:10">
      <c r="A8274" t="s">
        <v>194</v>
      </c>
      <c r="B8274" t="s">
        <v>195</v>
      </c>
      <c r="C8274" t="s">
        <v>219</v>
      </c>
      <c r="D8274" t="s">
        <v>1624</v>
      </c>
      <c r="E8274" s="3">
        <v>8.0000000000000004E-4</v>
      </c>
      <c r="F8274" s="3">
        <v>1.0800000000000001E-2</v>
      </c>
      <c r="G8274" s="3">
        <v>1.35E-2</v>
      </c>
      <c r="H8274">
        <v>367</v>
      </c>
      <c r="I8274">
        <v>402</v>
      </c>
      <c r="J8274">
        <v>1995</v>
      </c>
    </row>
    <row r="8275" spans="1:10">
      <c r="A8275" t="s">
        <v>194</v>
      </c>
      <c r="B8275" t="s">
        <v>195</v>
      </c>
      <c r="C8275" t="s">
        <v>219</v>
      </c>
      <c r="D8275" t="s">
        <v>257</v>
      </c>
      <c r="E8275" s="3">
        <v>4.7000000000000002E-3</v>
      </c>
      <c r="F8275" s="3">
        <v>2.7400000000000001E-2</v>
      </c>
      <c r="G8275" s="3">
        <v>4.4299999999999999E-2</v>
      </c>
      <c r="H8275">
        <v>367</v>
      </c>
      <c r="I8275">
        <v>402</v>
      </c>
      <c r="J8275">
        <v>1995</v>
      </c>
    </row>
    <row r="8276" spans="1:10">
      <c r="A8276" t="s">
        <v>194</v>
      </c>
      <c r="B8276" t="s">
        <v>195</v>
      </c>
      <c r="C8276" t="s">
        <v>219</v>
      </c>
      <c r="D8276" t="s">
        <v>1638</v>
      </c>
      <c r="E8276" s="3">
        <v>3.5999999999999999E-3</v>
      </c>
      <c r="F8276" s="3">
        <v>8.5500000000000007E-2</v>
      </c>
      <c r="G8276" s="3">
        <v>8.5300000000000001E-2</v>
      </c>
      <c r="H8276">
        <v>367</v>
      </c>
      <c r="I8276">
        <v>402</v>
      </c>
      <c r="J8276">
        <v>1995</v>
      </c>
    </row>
    <row r="8277" spans="1:10">
      <c r="A8277" t="s">
        <v>194</v>
      </c>
      <c r="B8277" t="s">
        <v>195</v>
      </c>
      <c r="C8277" t="s">
        <v>219</v>
      </c>
      <c r="D8277" t="s">
        <v>1639</v>
      </c>
      <c r="E8277" s="3">
        <v>1.6999999999999999E-3</v>
      </c>
      <c r="F8277" s="3">
        <v>4.2200000000000001E-2</v>
      </c>
      <c r="G8277" s="3">
        <v>3.0599999999999999E-2</v>
      </c>
      <c r="H8277">
        <v>367</v>
      </c>
      <c r="I8277">
        <v>402</v>
      </c>
      <c r="J8277">
        <v>1995</v>
      </c>
    </row>
    <row r="8278" spans="1:10">
      <c r="A8278" t="s">
        <v>194</v>
      </c>
      <c r="B8278" t="s">
        <v>195</v>
      </c>
      <c r="C8278" t="s">
        <v>219</v>
      </c>
      <c r="D8278" t="s">
        <v>1625</v>
      </c>
      <c r="E8278" s="3">
        <v>6.3700000000000007E-2</v>
      </c>
      <c r="F8278" s="3">
        <v>6.9500000000000006E-2</v>
      </c>
      <c r="G8278" s="3">
        <v>7.2400000000000006E-2</v>
      </c>
      <c r="H8278">
        <v>367</v>
      </c>
      <c r="I8278">
        <v>402</v>
      </c>
      <c r="J8278">
        <v>1995</v>
      </c>
    </row>
    <row r="8279" spans="1:10">
      <c r="A8279" t="s">
        <v>194</v>
      </c>
      <c r="B8279" t="s">
        <v>195</v>
      </c>
      <c r="C8279" t="s">
        <v>219</v>
      </c>
      <c r="D8279" t="s">
        <v>1627</v>
      </c>
      <c r="E8279" s="3">
        <v>6.2700000000000006E-2</v>
      </c>
      <c r="F8279" s="3">
        <v>8.9899999999999994E-2</v>
      </c>
      <c r="G8279" s="3">
        <v>0.17829999999999999</v>
      </c>
      <c r="H8279">
        <v>367</v>
      </c>
      <c r="I8279">
        <v>402</v>
      </c>
      <c r="J8279">
        <v>1995</v>
      </c>
    </row>
    <row r="8280" spans="1:10">
      <c r="A8280" t="s">
        <v>194</v>
      </c>
      <c r="B8280" t="s">
        <v>195</v>
      </c>
      <c r="C8280" t="s">
        <v>219</v>
      </c>
      <c r="D8280" t="s">
        <v>1628</v>
      </c>
      <c r="E8280" s="3">
        <v>2.3E-2</v>
      </c>
      <c r="F8280" s="3">
        <v>4.3099999999999999E-2</v>
      </c>
      <c r="G8280" s="3">
        <v>4.4699999999999997E-2</v>
      </c>
      <c r="H8280">
        <v>367</v>
      </c>
      <c r="I8280">
        <v>402</v>
      </c>
      <c r="J8280">
        <v>1995</v>
      </c>
    </row>
    <row r="8281" spans="1:10">
      <c r="A8281" t="s">
        <v>194</v>
      </c>
      <c r="B8281" t="s">
        <v>195</v>
      </c>
      <c r="C8281" t="s">
        <v>219</v>
      </c>
      <c r="D8281" t="s">
        <v>1629</v>
      </c>
      <c r="E8281" s="3">
        <v>2.9999999999999997E-4</v>
      </c>
      <c r="F8281" s="3">
        <v>1E-4</v>
      </c>
      <c r="G8281" s="3">
        <v>8.8000000000000005E-3</v>
      </c>
      <c r="H8281">
        <v>367</v>
      </c>
      <c r="I8281">
        <v>402</v>
      </c>
      <c r="J8281">
        <v>1995</v>
      </c>
    </row>
    <row r="8282" spans="1:10">
      <c r="A8282" t="s">
        <v>194</v>
      </c>
      <c r="B8282" t="s">
        <v>195</v>
      </c>
      <c r="C8282" t="s">
        <v>219</v>
      </c>
      <c r="D8282" t="s">
        <v>1640</v>
      </c>
      <c r="E8282" s="3">
        <v>1E-4</v>
      </c>
      <c r="F8282" s="3">
        <v>8.2000000000000007E-3</v>
      </c>
      <c r="G8282" s="3">
        <v>2.2000000000000001E-3</v>
      </c>
      <c r="H8282">
        <v>367</v>
      </c>
      <c r="I8282">
        <v>402</v>
      </c>
      <c r="J8282">
        <v>1995</v>
      </c>
    </row>
    <row r="8283" spans="1:10">
      <c r="A8283" t="s">
        <v>194</v>
      </c>
      <c r="B8283" t="s">
        <v>195</v>
      </c>
      <c r="C8283" t="s">
        <v>219</v>
      </c>
      <c r="D8283" t="s">
        <v>1630</v>
      </c>
      <c r="E8283" s="3">
        <v>3.3999999999999998E-3</v>
      </c>
      <c r="F8283" s="3">
        <v>2.1399999999999999E-2</v>
      </c>
      <c r="G8283" s="3">
        <v>7.0000000000000001E-3</v>
      </c>
      <c r="H8283">
        <v>367</v>
      </c>
      <c r="I8283">
        <v>402</v>
      </c>
      <c r="J8283">
        <v>1995</v>
      </c>
    </row>
    <row r="8284" spans="1:10">
      <c r="A8284" t="s">
        <v>194</v>
      </c>
      <c r="B8284" t="s">
        <v>195</v>
      </c>
      <c r="C8284" t="s">
        <v>219</v>
      </c>
      <c r="D8284" t="s">
        <v>1631</v>
      </c>
      <c r="E8284" s="3">
        <v>2.7900000000000001E-2</v>
      </c>
      <c r="F8284" s="3">
        <v>0.184</v>
      </c>
      <c r="G8284" s="3">
        <v>0.1457</v>
      </c>
      <c r="H8284">
        <v>367</v>
      </c>
      <c r="I8284">
        <v>402</v>
      </c>
      <c r="J8284">
        <v>1995</v>
      </c>
    </row>
    <row r="8285" spans="1:10">
      <c r="A8285" t="s">
        <v>194</v>
      </c>
      <c r="B8285" t="s">
        <v>195</v>
      </c>
      <c r="C8285" t="s">
        <v>219</v>
      </c>
      <c r="D8285" t="s">
        <v>1641</v>
      </c>
      <c r="E8285" s="3">
        <v>6.6E-3</v>
      </c>
      <c r="F8285" s="3">
        <v>9.9000000000000008E-3</v>
      </c>
      <c r="G8285" s="3">
        <v>5.7200000000000001E-2</v>
      </c>
      <c r="H8285">
        <v>367</v>
      </c>
      <c r="I8285">
        <v>402</v>
      </c>
      <c r="J8285">
        <v>1995</v>
      </c>
    </row>
    <row r="8286" spans="1:10">
      <c r="A8286" t="s">
        <v>194</v>
      </c>
      <c r="B8286" t="s">
        <v>195</v>
      </c>
      <c r="C8286" t="s">
        <v>219</v>
      </c>
      <c r="D8286" t="s">
        <v>1632</v>
      </c>
      <c r="E8286" s="3">
        <v>1.77E-2</v>
      </c>
      <c r="F8286" s="3">
        <v>3.6299999999999999E-2</v>
      </c>
      <c r="G8286" s="3">
        <v>8.5500000000000007E-2</v>
      </c>
      <c r="H8286">
        <v>367</v>
      </c>
      <c r="I8286">
        <v>402</v>
      </c>
      <c r="J8286">
        <v>1995</v>
      </c>
    </row>
    <row r="8287" spans="1:10">
      <c r="A8287" t="s">
        <v>194</v>
      </c>
      <c r="B8287" t="s">
        <v>195</v>
      </c>
      <c r="C8287" t="s">
        <v>219</v>
      </c>
      <c r="D8287" t="s">
        <v>1634</v>
      </c>
      <c r="E8287" s="3">
        <v>4.4000000000000003E-3</v>
      </c>
      <c r="F8287" s="3">
        <v>4.5900000000000003E-2</v>
      </c>
      <c r="G8287" s="3">
        <v>3.5299999999999998E-2</v>
      </c>
      <c r="H8287">
        <v>367</v>
      </c>
      <c r="I8287">
        <v>402</v>
      </c>
      <c r="J8287">
        <v>1995</v>
      </c>
    </row>
    <row r="8288" spans="1:10">
      <c r="A8288" t="s">
        <v>194</v>
      </c>
      <c r="B8288" t="s">
        <v>195</v>
      </c>
      <c r="C8288" t="s">
        <v>219</v>
      </c>
      <c r="D8288" t="s">
        <v>1642</v>
      </c>
      <c r="E8288" s="3">
        <v>5.1000000000000004E-3</v>
      </c>
      <c r="G8288" s="3">
        <v>2.0000000000000001E-4</v>
      </c>
      <c r="H8288">
        <v>367</v>
      </c>
      <c r="I8288">
        <v>402</v>
      </c>
      <c r="J8288">
        <v>1995</v>
      </c>
    </row>
    <row r="8289" spans="1:10">
      <c r="A8289" t="s">
        <v>194</v>
      </c>
      <c r="B8289" t="s">
        <v>195</v>
      </c>
      <c r="C8289" t="s">
        <v>219</v>
      </c>
      <c r="D8289" t="s">
        <v>1635</v>
      </c>
      <c r="E8289" s="3">
        <v>1.83E-2</v>
      </c>
      <c r="F8289" s="3">
        <v>1.8700000000000001E-2</v>
      </c>
      <c r="G8289" s="3">
        <v>5.3800000000000001E-2</v>
      </c>
      <c r="H8289">
        <v>367</v>
      </c>
      <c r="I8289">
        <v>402</v>
      </c>
      <c r="J8289">
        <v>1995</v>
      </c>
    </row>
    <row r="8290" spans="1:10">
      <c r="A8290" t="s">
        <v>194</v>
      </c>
      <c r="B8290" t="s">
        <v>195</v>
      </c>
      <c r="C8290" t="s">
        <v>219</v>
      </c>
      <c r="D8290" t="s">
        <v>1636</v>
      </c>
      <c r="E8290" s="3">
        <v>0.56179999999999997</v>
      </c>
      <c r="F8290" s="3">
        <v>0.19620000000000001</v>
      </c>
      <c r="G8290" s="3">
        <v>7.9500000000000001E-2</v>
      </c>
      <c r="H8290">
        <v>367</v>
      </c>
      <c r="I8290">
        <v>402</v>
      </c>
      <c r="J8290">
        <v>1995</v>
      </c>
    </row>
    <row r="8291" spans="1:10">
      <c r="A8291" t="s">
        <v>194</v>
      </c>
      <c r="B8291" t="s">
        <v>195</v>
      </c>
      <c r="C8291" t="s">
        <v>219</v>
      </c>
      <c r="D8291" t="s">
        <v>1637</v>
      </c>
      <c r="E8291" s="3">
        <v>0.18459999999999999</v>
      </c>
      <c r="F8291" s="3">
        <v>7.9000000000000001E-2</v>
      </c>
      <c r="G8291" s="3">
        <v>2.1499999999999998E-2</v>
      </c>
      <c r="H8291">
        <v>367</v>
      </c>
      <c r="I8291">
        <v>402</v>
      </c>
      <c r="J8291">
        <v>1995</v>
      </c>
    </row>
    <row r="8292" spans="1:10">
      <c r="A8292" t="s">
        <v>194</v>
      </c>
      <c r="B8292" t="s">
        <v>195</v>
      </c>
      <c r="C8292" t="s">
        <v>219</v>
      </c>
      <c r="D8292" t="s">
        <v>274</v>
      </c>
      <c r="E8292" s="3">
        <v>3.0999999999999999E-3</v>
      </c>
      <c r="F8292" s="3">
        <v>0.02</v>
      </c>
      <c r="H8292">
        <v>367</v>
      </c>
      <c r="I8292">
        <v>402</v>
      </c>
      <c r="J8292">
        <v>1995</v>
      </c>
    </row>
    <row r="8293" spans="1:10">
      <c r="A8293" t="s">
        <v>194</v>
      </c>
      <c r="B8293" t="s">
        <v>195</v>
      </c>
      <c r="C8293" t="s">
        <v>219</v>
      </c>
      <c r="D8293" t="s">
        <v>247</v>
      </c>
      <c r="E8293" s="3">
        <v>6.4000000000000003E-3</v>
      </c>
      <c r="F8293" s="3">
        <v>1E-4</v>
      </c>
      <c r="H8293">
        <v>367</v>
      </c>
      <c r="I8293">
        <v>402</v>
      </c>
      <c r="J8293">
        <v>1995</v>
      </c>
    </row>
    <row r="8294" spans="1:10">
      <c r="A8294" t="s">
        <v>194</v>
      </c>
      <c r="B8294" t="s">
        <v>195</v>
      </c>
      <c r="C8294" t="s">
        <v>220</v>
      </c>
      <c r="D8294" t="s">
        <v>1624</v>
      </c>
      <c r="E8294" s="3">
        <v>3.7000000000000002E-3</v>
      </c>
      <c r="G8294" s="3">
        <v>9.9000000000000008E-3</v>
      </c>
      <c r="H8294">
        <v>176</v>
      </c>
      <c r="I8294">
        <v>129</v>
      </c>
      <c r="J8294">
        <v>1995</v>
      </c>
    </row>
    <row r="8295" spans="1:10">
      <c r="A8295" t="s">
        <v>194</v>
      </c>
      <c r="B8295" t="s">
        <v>195</v>
      </c>
      <c r="C8295" t="s">
        <v>220</v>
      </c>
      <c r="D8295" t="s">
        <v>1638</v>
      </c>
      <c r="E8295" s="3">
        <v>8.5000000000000006E-3</v>
      </c>
      <c r="F8295" s="3">
        <v>0.1085</v>
      </c>
      <c r="G8295" s="3">
        <v>2.2599999999999999E-2</v>
      </c>
      <c r="H8295">
        <v>176</v>
      </c>
      <c r="I8295">
        <v>129</v>
      </c>
      <c r="J8295">
        <v>1995</v>
      </c>
    </row>
    <row r="8296" spans="1:10">
      <c r="A8296" t="s">
        <v>194</v>
      </c>
      <c r="B8296" t="s">
        <v>195</v>
      </c>
      <c r="C8296" t="s">
        <v>220</v>
      </c>
      <c r="D8296" t="s">
        <v>1639</v>
      </c>
      <c r="E8296" s="3">
        <v>6.6E-3</v>
      </c>
      <c r="F8296" s="3">
        <v>3.4799999999999998E-2</v>
      </c>
      <c r="G8296" s="3">
        <v>1.0999999999999999E-2</v>
      </c>
      <c r="H8296">
        <v>176</v>
      </c>
      <c r="I8296">
        <v>129</v>
      </c>
      <c r="J8296">
        <v>1995</v>
      </c>
    </row>
    <row r="8297" spans="1:10">
      <c r="A8297" t="s">
        <v>194</v>
      </c>
      <c r="B8297" t="s">
        <v>195</v>
      </c>
      <c r="C8297" t="s">
        <v>220</v>
      </c>
      <c r="D8297" t="s">
        <v>1625</v>
      </c>
      <c r="E8297" s="3">
        <v>0.1036</v>
      </c>
      <c r="F8297" s="3">
        <v>0.1193</v>
      </c>
      <c r="G8297" s="3">
        <v>2.0899999999999998E-2</v>
      </c>
      <c r="H8297">
        <v>176</v>
      </c>
      <c r="I8297">
        <v>129</v>
      </c>
      <c r="J8297">
        <v>1995</v>
      </c>
    </row>
    <row r="8298" spans="1:10">
      <c r="A8298" t="s">
        <v>194</v>
      </c>
      <c r="B8298" t="s">
        <v>195</v>
      </c>
      <c r="C8298" t="s">
        <v>220</v>
      </c>
      <c r="D8298" t="s">
        <v>1626</v>
      </c>
      <c r="E8298" s="3">
        <v>2E-3</v>
      </c>
      <c r="H8298">
        <v>176</v>
      </c>
      <c r="I8298">
        <v>129</v>
      </c>
      <c r="J8298">
        <v>1995</v>
      </c>
    </row>
    <row r="8299" spans="1:10">
      <c r="A8299" t="s">
        <v>194</v>
      </c>
      <c r="B8299" t="s">
        <v>195</v>
      </c>
      <c r="C8299" t="s">
        <v>220</v>
      </c>
      <c r="D8299" t="s">
        <v>1627</v>
      </c>
      <c r="E8299" s="3">
        <v>2.1600000000000001E-2</v>
      </c>
      <c r="F8299" s="3">
        <v>9.9099999999999994E-2</v>
      </c>
      <c r="G8299" s="3">
        <v>0.1469</v>
      </c>
      <c r="H8299">
        <v>176</v>
      </c>
      <c r="I8299">
        <v>129</v>
      </c>
      <c r="J8299">
        <v>1995</v>
      </c>
    </row>
    <row r="8300" spans="1:10">
      <c r="A8300" t="s">
        <v>194</v>
      </c>
      <c r="B8300" t="s">
        <v>195</v>
      </c>
      <c r="C8300" t="s">
        <v>220</v>
      </c>
      <c r="D8300" t="s">
        <v>1628</v>
      </c>
      <c r="E8300" s="3">
        <v>1.3100000000000001E-2</v>
      </c>
      <c r="F8300" s="3">
        <v>4.5499999999999999E-2</v>
      </c>
      <c r="G8300" s="3">
        <v>0.10009999999999999</v>
      </c>
      <c r="H8300">
        <v>176</v>
      </c>
      <c r="I8300">
        <v>129</v>
      </c>
      <c r="J8300">
        <v>1995</v>
      </c>
    </row>
    <row r="8301" spans="1:10">
      <c r="A8301" t="s">
        <v>194</v>
      </c>
      <c r="B8301" t="s">
        <v>195</v>
      </c>
      <c r="C8301" t="s">
        <v>220</v>
      </c>
      <c r="D8301" t="s">
        <v>1629</v>
      </c>
      <c r="E8301" s="3">
        <v>1.9900000000000001E-2</v>
      </c>
      <c r="F8301" s="3">
        <v>2.8E-3</v>
      </c>
      <c r="H8301">
        <v>176</v>
      </c>
      <c r="I8301">
        <v>129</v>
      </c>
      <c r="J8301">
        <v>1995</v>
      </c>
    </row>
    <row r="8302" spans="1:10">
      <c r="A8302" t="s">
        <v>194</v>
      </c>
      <c r="B8302" t="s">
        <v>195</v>
      </c>
      <c r="C8302" t="s">
        <v>220</v>
      </c>
      <c r="D8302" t="s">
        <v>1640</v>
      </c>
      <c r="E8302" s="3">
        <v>1.18E-2</v>
      </c>
      <c r="F8302" s="3">
        <v>1.1000000000000001E-3</v>
      </c>
      <c r="H8302">
        <v>176</v>
      </c>
      <c r="I8302">
        <v>129</v>
      </c>
      <c r="J8302">
        <v>1995</v>
      </c>
    </row>
    <row r="8303" spans="1:10">
      <c r="A8303" t="s">
        <v>194</v>
      </c>
      <c r="B8303" t="s">
        <v>195</v>
      </c>
      <c r="C8303" t="s">
        <v>220</v>
      </c>
      <c r="D8303" t="s">
        <v>1630</v>
      </c>
      <c r="E8303" s="3">
        <v>1.5E-3</v>
      </c>
      <c r="F8303" s="3">
        <v>1.12E-2</v>
      </c>
      <c r="H8303">
        <v>176</v>
      </c>
      <c r="I8303">
        <v>129</v>
      </c>
      <c r="J8303">
        <v>1995</v>
      </c>
    </row>
    <row r="8304" spans="1:10">
      <c r="A8304" t="s">
        <v>194</v>
      </c>
      <c r="B8304" t="s">
        <v>195</v>
      </c>
      <c r="C8304" t="s">
        <v>220</v>
      </c>
      <c r="D8304" t="s">
        <v>1631</v>
      </c>
      <c r="E8304" s="3">
        <v>1.6299999999999999E-2</v>
      </c>
      <c r="F8304" s="3">
        <v>0.12640000000000001</v>
      </c>
      <c r="G8304" s="3">
        <v>6.0400000000000002E-2</v>
      </c>
      <c r="H8304">
        <v>176</v>
      </c>
      <c r="I8304">
        <v>129</v>
      </c>
      <c r="J8304">
        <v>1995</v>
      </c>
    </row>
    <row r="8305" spans="1:10">
      <c r="A8305" t="s">
        <v>194</v>
      </c>
      <c r="B8305" t="s">
        <v>195</v>
      </c>
      <c r="C8305" t="s">
        <v>220</v>
      </c>
      <c r="D8305" t="s">
        <v>1632</v>
      </c>
      <c r="E8305" s="3">
        <v>3.6700000000000003E-2</v>
      </c>
      <c r="F8305" s="3">
        <v>0.1038</v>
      </c>
      <c r="G8305" s="3">
        <v>2.18E-2</v>
      </c>
      <c r="H8305">
        <v>176</v>
      </c>
      <c r="I8305">
        <v>129</v>
      </c>
      <c r="J8305">
        <v>1995</v>
      </c>
    </row>
    <row r="8306" spans="1:10">
      <c r="A8306" t="s">
        <v>194</v>
      </c>
      <c r="B8306" t="s">
        <v>195</v>
      </c>
      <c r="C8306" t="s">
        <v>220</v>
      </c>
      <c r="D8306" t="s">
        <v>1633</v>
      </c>
      <c r="E8306" s="3">
        <v>2.8E-3</v>
      </c>
      <c r="F8306" s="3">
        <v>5.1000000000000004E-3</v>
      </c>
      <c r="G8306" s="3">
        <v>1.41E-2</v>
      </c>
      <c r="H8306">
        <v>176</v>
      </c>
      <c r="I8306">
        <v>129</v>
      </c>
      <c r="J8306">
        <v>1995</v>
      </c>
    </row>
    <row r="8307" spans="1:10">
      <c r="A8307" t="s">
        <v>194</v>
      </c>
      <c r="B8307" t="s">
        <v>195</v>
      </c>
      <c r="C8307" t="s">
        <v>220</v>
      </c>
      <c r="D8307" t="s">
        <v>1635</v>
      </c>
      <c r="E8307" s="3">
        <v>8.5000000000000006E-3</v>
      </c>
      <c r="F8307" s="3">
        <v>9.1000000000000004E-3</v>
      </c>
      <c r="G8307" s="3">
        <v>4.9799999999999997E-2</v>
      </c>
      <c r="H8307">
        <v>176</v>
      </c>
      <c r="I8307">
        <v>129</v>
      </c>
      <c r="J8307">
        <v>1995</v>
      </c>
    </row>
    <row r="8308" spans="1:10">
      <c r="A8308" t="s">
        <v>194</v>
      </c>
      <c r="B8308" t="s">
        <v>195</v>
      </c>
      <c r="C8308" t="s">
        <v>220</v>
      </c>
      <c r="D8308" t="s">
        <v>1636</v>
      </c>
      <c r="E8308" s="3">
        <v>0.3629</v>
      </c>
      <c r="F8308" s="3">
        <v>0.1779</v>
      </c>
      <c r="G8308" s="3">
        <v>0.1996</v>
      </c>
      <c r="H8308">
        <v>176</v>
      </c>
      <c r="I8308">
        <v>129</v>
      </c>
      <c r="J8308">
        <v>1995</v>
      </c>
    </row>
    <row r="8309" spans="1:10">
      <c r="A8309" t="s">
        <v>194</v>
      </c>
      <c r="B8309" t="s">
        <v>195</v>
      </c>
      <c r="C8309" t="s">
        <v>220</v>
      </c>
      <c r="D8309" t="s">
        <v>1637</v>
      </c>
      <c r="E8309" s="3">
        <v>0.34499999999999997</v>
      </c>
      <c r="F8309" s="3">
        <v>6.6199999999999995E-2</v>
      </c>
      <c r="G8309" s="3">
        <v>0.12690000000000001</v>
      </c>
      <c r="H8309">
        <v>176</v>
      </c>
      <c r="I8309">
        <v>129</v>
      </c>
      <c r="J8309">
        <v>1995</v>
      </c>
    </row>
    <row r="8310" spans="1:10">
      <c r="A8310" t="s">
        <v>194</v>
      </c>
      <c r="B8310" t="s">
        <v>195</v>
      </c>
      <c r="C8310" t="s">
        <v>220</v>
      </c>
      <c r="D8310" t="s">
        <v>247</v>
      </c>
      <c r="E8310" s="3">
        <v>3.5400000000000001E-2</v>
      </c>
      <c r="G8310" s="3">
        <v>6.7999999999999996E-3</v>
      </c>
      <c r="H8310">
        <v>176</v>
      </c>
      <c r="I8310">
        <v>129</v>
      </c>
      <c r="J8310">
        <v>1995</v>
      </c>
    </row>
    <row r="8311" spans="1:10">
      <c r="A8311" t="s">
        <v>194</v>
      </c>
      <c r="B8311" t="s">
        <v>199</v>
      </c>
      <c r="C8311" t="s">
        <v>217</v>
      </c>
      <c r="D8311" t="s">
        <v>1624</v>
      </c>
      <c r="E8311" s="3">
        <v>8.3999999999999995E-3</v>
      </c>
      <c r="F8311" s="3">
        <v>3.0099999999999998E-2</v>
      </c>
      <c r="G8311" s="3">
        <v>5.96E-2</v>
      </c>
      <c r="H8311">
        <v>537</v>
      </c>
      <c r="I8311">
        <v>561</v>
      </c>
      <c r="J8311">
        <v>1995</v>
      </c>
    </row>
    <row r="8312" spans="1:10">
      <c r="A8312" t="s">
        <v>194</v>
      </c>
      <c r="B8312" t="s">
        <v>199</v>
      </c>
      <c r="C8312" t="s">
        <v>217</v>
      </c>
      <c r="D8312" t="s">
        <v>257</v>
      </c>
      <c r="E8312" s="3">
        <v>1.4500000000000001E-2</v>
      </c>
      <c r="F8312" s="3">
        <v>6.9000000000000006E-2</v>
      </c>
      <c r="G8312" s="3">
        <v>0.1241</v>
      </c>
      <c r="H8312">
        <v>537</v>
      </c>
      <c r="I8312">
        <v>561</v>
      </c>
      <c r="J8312">
        <v>1995</v>
      </c>
    </row>
    <row r="8313" spans="1:10">
      <c r="A8313" t="s">
        <v>194</v>
      </c>
      <c r="B8313" t="s">
        <v>199</v>
      </c>
      <c r="C8313" t="s">
        <v>217</v>
      </c>
      <c r="D8313" t="s">
        <v>1638</v>
      </c>
      <c r="E8313" s="3">
        <v>3.1899999999999998E-2</v>
      </c>
      <c r="F8313" s="3">
        <v>0.1043</v>
      </c>
      <c r="G8313" s="3">
        <v>0.16420000000000001</v>
      </c>
      <c r="H8313">
        <v>537</v>
      </c>
      <c r="I8313">
        <v>561</v>
      </c>
      <c r="J8313">
        <v>1995</v>
      </c>
    </row>
    <row r="8314" spans="1:10">
      <c r="A8314" t="s">
        <v>194</v>
      </c>
      <c r="B8314" t="s">
        <v>199</v>
      </c>
      <c r="C8314" t="s">
        <v>217</v>
      </c>
      <c r="D8314" t="s">
        <v>1639</v>
      </c>
      <c r="E8314" s="3">
        <v>5.5999999999999999E-3</v>
      </c>
      <c r="F8314" s="3">
        <v>1.49E-2</v>
      </c>
      <c r="G8314" s="3">
        <v>5.8999999999999999E-3</v>
      </c>
      <c r="H8314">
        <v>537</v>
      </c>
      <c r="I8314">
        <v>561</v>
      </c>
      <c r="J8314">
        <v>1995</v>
      </c>
    </row>
    <row r="8315" spans="1:10">
      <c r="A8315" t="s">
        <v>194</v>
      </c>
      <c r="B8315" t="s">
        <v>199</v>
      </c>
      <c r="C8315" t="s">
        <v>217</v>
      </c>
      <c r="D8315" t="s">
        <v>1625</v>
      </c>
      <c r="E8315" s="3">
        <v>1.41E-2</v>
      </c>
      <c r="F8315" s="3">
        <v>3.5000000000000001E-3</v>
      </c>
      <c r="G8315" s="3">
        <v>3.0700000000000002E-2</v>
      </c>
      <c r="H8315">
        <v>537</v>
      </c>
      <c r="I8315">
        <v>561</v>
      </c>
      <c r="J8315">
        <v>1995</v>
      </c>
    </row>
    <row r="8316" spans="1:10">
      <c r="A8316" t="s">
        <v>194</v>
      </c>
      <c r="B8316" t="s">
        <v>199</v>
      </c>
      <c r="C8316" t="s">
        <v>217</v>
      </c>
      <c r="D8316" t="s">
        <v>1626</v>
      </c>
      <c r="E8316" s="3">
        <v>1E-4</v>
      </c>
      <c r="F8316" s="3">
        <v>5.0000000000000001E-4</v>
      </c>
      <c r="G8316" s="3">
        <v>1.1000000000000001E-3</v>
      </c>
      <c r="H8316">
        <v>537</v>
      </c>
      <c r="I8316">
        <v>561</v>
      </c>
      <c r="J8316">
        <v>1995</v>
      </c>
    </row>
    <row r="8317" spans="1:10">
      <c r="A8317" t="s">
        <v>194</v>
      </c>
      <c r="B8317" t="s">
        <v>199</v>
      </c>
      <c r="C8317" t="s">
        <v>217</v>
      </c>
      <c r="D8317" t="s">
        <v>1627</v>
      </c>
      <c r="E8317" s="3">
        <v>3.95E-2</v>
      </c>
      <c r="F8317" s="3">
        <v>5.9200000000000003E-2</v>
      </c>
      <c r="G8317" s="3">
        <v>0.128</v>
      </c>
      <c r="H8317">
        <v>537</v>
      </c>
      <c r="I8317">
        <v>561</v>
      </c>
      <c r="J8317">
        <v>1995</v>
      </c>
    </row>
    <row r="8318" spans="1:10">
      <c r="A8318" t="s">
        <v>194</v>
      </c>
      <c r="B8318" t="s">
        <v>199</v>
      </c>
      <c r="C8318" t="s">
        <v>217</v>
      </c>
      <c r="D8318" t="s">
        <v>1628</v>
      </c>
      <c r="E8318" s="3">
        <v>4.4200000000000003E-2</v>
      </c>
      <c r="F8318" s="3">
        <v>0.1336</v>
      </c>
      <c r="G8318" s="3">
        <v>0.11269999999999999</v>
      </c>
      <c r="H8318">
        <v>537</v>
      </c>
      <c r="I8318">
        <v>561</v>
      </c>
      <c r="J8318">
        <v>1995</v>
      </c>
    </row>
    <row r="8319" spans="1:10">
      <c r="A8319" t="s">
        <v>194</v>
      </c>
      <c r="B8319" t="s">
        <v>199</v>
      </c>
      <c r="C8319" t="s">
        <v>217</v>
      </c>
      <c r="D8319" t="s">
        <v>1629</v>
      </c>
      <c r="E8319" s="3">
        <v>5.7000000000000002E-3</v>
      </c>
      <c r="F8319" s="3">
        <v>2.41E-2</v>
      </c>
      <c r="G8319" s="3">
        <v>2.75E-2</v>
      </c>
      <c r="H8319">
        <v>537</v>
      </c>
      <c r="I8319">
        <v>561</v>
      </c>
      <c r="J8319">
        <v>1995</v>
      </c>
    </row>
    <row r="8320" spans="1:10">
      <c r="A8320" t="s">
        <v>194</v>
      </c>
      <c r="B8320" t="s">
        <v>199</v>
      </c>
      <c r="C8320" t="s">
        <v>217</v>
      </c>
      <c r="D8320" t="s">
        <v>1640</v>
      </c>
      <c r="E8320" s="3">
        <v>1.1000000000000001E-3</v>
      </c>
      <c r="F8320" s="3">
        <v>3.2000000000000002E-3</v>
      </c>
      <c r="G8320" s="3">
        <v>1.35E-2</v>
      </c>
      <c r="H8320">
        <v>537</v>
      </c>
      <c r="I8320">
        <v>561</v>
      </c>
      <c r="J8320">
        <v>1995</v>
      </c>
    </row>
    <row r="8321" spans="1:10">
      <c r="A8321" t="s">
        <v>194</v>
      </c>
      <c r="B8321" t="s">
        <v>199</v>
      </c>
      <c r="C8321" t="s">
        <v>217</v>
      </c>
      <c r="D8321" t="s">
        <v>1630</v>
      </c>
      <c r="E8321" s="3">
        <v>8.6E-3</v>
      </c>
      <c r="F8321" s="3">
        <v>1.3599999999999999E-2</v>
      </c>
      <c r="G8321" s="3">
        <v>9.4000000000000004E-3</v>
      </c>
      <c r="H8321">
        <v>537</v>
      </c>
      <c r="I8321">
        <v>561</v>
      </c>
      <c r="J8321">
        <v>1995</v>
      </c>
    </row>
    <row r="8322" spans="1:10">
      <c r="A8322" t="s">
        <v>194</v>
      </c>
      <c r="B8322" t="s">
        <v>199</v>
      </c>
      <c r="C8322" t="s">
        <v>217</v>
      </c>
      <c r="D8322" t="s">
        <v>1631</v>
      </c>
      <c r="E8322" s="3">
        <v>1.0699999999999999E-2</v>
      </c>
      <c r="F8322" s="3">
        <v>5.04E-2</v>
      </c>
      <c r="G8322" s="3">
        <v>7.0000000000000007E-2</v>
      </c>
      <c r="H8322">
        <v>537</v>
      </c>
      <c r="I8322">
        <v>561</v>
      </c>
      <c r="J8322">
        <v>1995</v>
      </c>
    </row>
    <row r="8323" spans="1:10">
      <c r="A8323" t="s">
        <v>194</v>
      </c>
      <c r="B8323" t="s">
        <v>199</v>
      </c>
      <c r="C8323" t="s">
        <v>217</v>
      </c>
      <c r="D8323" t="s">
        <v>1632</v>
      </c>
      <c r="E8323" s="3">
        <v>2.87E-2</v>
      </c>
      <c r="F8323" s="3">
        <v>4.3900000000000002E-2</v>
      </c>
      <c r="G8323" s="3">
        <v>7.1400000000000005E-2</v>
      </c>
      <c r="H8323">
        <v>537</v>
      </c>
      <c r="I8323">
        <v>561</v>
      </c>
      <c r="J8323">
        <v>1995</v>
      </c>
    </row>
    <row r="8324" spans="1:10">
      <c r="A8324" t="s">
        <v>194</v>
      </c>
      <c r="B8324" t="s">
        <v>199</v>
      </c>
      <c r="C8324" t="s">
        <v>217</v>
      </c>
      <c r="D8324" t="s">
        <v>1634</v>
      </c>
      <c r="E8324" s="3">
        <v>2.9999999999999997E-4</v>
      </c>
      <c r="F8324" s="3">
        <v>1.4E-3</v>
      </c>
      <c r="G8324" s="3">
        <v>7.1999999999999998E-3</v>
      </c>
      <c r="H8324">
        <v>537</v>
      </c>
      <c r="I8324">
        <v>561</v>
      </c>
      <c r="J8324">
        <v>1995</v>
      </c>
    </row>
    <row r="8325" spans="1:10">
      <c r="A8325" t="s">
        <v>194</v>
      </c>
      <c r="B8325" t="s">
        <v>199</v>
      </c>
      <c r="C8325" t="s">
        <v>217</v>
      </c>
      <c r="D8325" t="s">
        <v>1642</v>
      </c>
      <c r="E8325" s="3">
        <v>2.9999999999999997E-4</v>
      </c>
      <c r="F8325" s="3">
        <v>5.0000000000000001E-4</v>
      </c>
      <c r="G8325" s="3">
        <v>6.7999999999999996E-3</v>
      </c>
      <c r="H8325">
        <v>537</v>
      </c>
      <c r="I8325">
        <v>561</v>
      </c>
      <c r="J8325">
        <v>1995</v>
      </c>
    </row>
    <row r="8326" spans="1:10">
      <c r="A8326" t="s">
        <v>194</v>
      </c>
      <c r="B8326" t="s">
        <v>199</v>
      </c>
      <c r="C8326" t="s">
        <v>217</v>
      </c>
      <c r="D8326" t="s">
        <v>1635</v>
      </c>
      <c r="E8326" s="3">
        <v>6.9999999999999999E-4</v>
      </c>
      <c r="F8326" s="3">
        <v>1.1999999999999999E-3</v>
      </c>
      <c r="G8326" s="3">
        <v>1.06E-2</v>
      </c>
      <c r="H8326">
        <v>537</v>
      </c>
      <c r="I8326">
        <v>561</v>
      </c>
      <c r="J8326">
        <v>1995</v>
      </c>
    </row>
    <row r="8327" spans="1:10">
      <c r="A8327" t="s">
        <v>194</v>
      </c>
      <c r="B8327" t="s">
        <v>199</v>
      </c>
      <c r="C8327" t="s">
        <v>217</v>
      </c>
      <c r="D8327" t="s">
        <v>1636</v>
      </c>
      <c r="E8327" s="3">
        <v>0.2555</v>
      </c>
      <c r="F8327" s="3">
        <v>0.252</v>
      </c>
      <c r="G8327" s="3">
        <v>5.4300000000000001E-2</v>
      </c>
      <c r="H8327">
        <v>537</v>
      </c>
      <c r="I8327">
        <v>561</v>
      </c>
      <c r="J8327">
        <v>1995</v>
      </c>
    </row>
    <row r="8328" spans="1:10">
      <c r="A8328" t="s">
        <v>194</v>
      </c>
      <c r="B8328" t="s">
        <v>199</v>
      </c>
      <c r="C8328" t="s">
        <v>217</v>
      </c>
      <c r="D8328" t="s">
        <v>1637</v>
      </c>
      <c r="E8328" s="3">
        <v>0.53029999999999999</v>
      </c>
      <c r="F8328" s="3">
        <v>0.13270000000000001</v>
      </c>
      <c r="G8328" s="3">
        <v>4.4499999999999998E-2</v>
      </c>
      <c r="H8328">
        <v>537</v>
      </c>
      <c r="I8328">
        <v>561</v>
      </c>
      <c r="J8328">
        <v>1995</v>
      </c>
    </row>
    <row r="8329" spans="1:10">
      <c r="A8329" t="s">
        <v>194</v>
      </c>
      <c r="B8329" t="s">
        <v>199</v>
      </c>
      <c r="C8329" t="s">
        <v>219</v>
      </c>
      <c r="D8329" t="s">
        <v>1624</v>
      </c>
      <c r="E8329" s="3">
        <v>5.7000000000000002E-3</v>
      </c>
      <c r="F8329" s="3">
        <v>8.9999999999999998E-4</v>
      </c>
      <c r="G8329" s="3">
        <v>1.0800000000000001E-2</v>
      </c>
      <c r="H8329">
        <v>251</v>
      </c>
      <c r="I8329">
        <v>341</v>
      </c>
      <c r="J8329">
        <v>1995</v>
      </c>
    </row>
    <row r="8330" spans="1:10">
      <c r="A8330" t="s">
        <v>194</v>
      </c>
      <c r="B8330" t="s">
        <v>199</v>
      </c>
      <c r="C8330" t="s">
        <v>219</v>
      </c>
      <c r="D8330" t="s">
        <v>257</v>
      </c>
      <c r="E8330" s="3">
        <v>3.5999999999999999E-3</v>
      </c>
      <c r="F8330" s="3">
        <v>5.5500000000000001E-2</v>
      </c>
      <c r="G8330" s="3">
        <v>0.1099</v>
      </c>
      <c r="H8330">
        <v>251</v>
      </c>
      <c r="I8330">
        <v>341</v>
      </c>
      <c r="J8330">
        <v>1995</v>
      </c>
    </row>
    <row r="8331" spans="1:10">
      <c r="A8331" t="s">
        <v>194</v>
      </c>
      <c r="B8331" t="s">
        <v>199</v>
      </c>
      <c r="C8331" t="s">
        <v>219</v>
      </c>
      <c r="D8331" t="s">
        <v>1638</v>
      </c>
      <c r="E8331" s="3">
        <v>1.3899999999999999E-2</v>
      </c>
      <c r="F8331" s="3">
        <v>5.9499999999999997E-2</v>
      </c>
      <c r="G8331" s="3">
        <v>9.6000000000000002E-2</v>
      </c>
      <c r="H8331">
        <v>251</v>
      </c>
      <c r="I8331">
        <v>341</v>
      </c>
      <c r="J8331">
        <v>1995</v>
      </c>
    </row>
    <row r="8332" spans="1:10">
      <c r="A8332" t="s">
        <v>194</v>
      </c>
      <c r="B8332" t="s">
        <v>199</v>
      </c>
      <c r="C8332" t="s">
        <v>219</v>
      </c>
      <c r="D8332" t="s">
        <v>1639</v>
      </c>
      <c r="E8332" s="3">
        <v>1.01E-2</v>
      </c>
      <c r="F8332" s="3">
        <v>2.18E-2</v>
      </c>
      <c r="G8332" s="3">
        <v>1.7500000000000002E-2</v>
      </c>
      <c r="H8332">
        <v>251</v>
      </c>
      <c r="I8332">
        <v>341</v>
      </c>
      <c r="J8332">
        <v>1995</v>
      </c>
    </row>
    <row r="8333" spans="1:10">
      <c r="A8333" t="s">
        <v>194</v>
      </c>
      <c r="B8333" t="s">
        <v>199</v>
      </c>
      <c r="C8333" t="s">
        <v>219</v>
      </c>
      <c r="D8333" t="s">
        <v>1625</v>
      </c>
      <c r="E8333" s="3">
        <v>1.46E-2</v>
      </c>
      <c r="F8333" s="3">
        <v>1.23E-2</v>
      </c>
      <c r="G8333" s="3">
        <v>2.9100000000000001E-2</v>
      </c>
      <c r="H8333">
        <v>251</v>
      </c>
      <c r="I8333">
        <v>341</v>
      </c>
      <c r="J8333">
        <v>1995</v>
      </c>
    </row>
    <row r="8334" spans="1:10">
      <c r="A8334" t="s">
        <v>194</v>
      </c>
      <c r="B8334" t="s">
        <v>199</v>
      </c>
      <c r="C8334" t="s">
        <v>219</v>
      </c>
      <c r="D8334" t="s">
        <v>1626</v>
      </c>
      <c r="E8334" s="3">
        <v>1.6000000000000001E-3</v>
      </c>
      <c r="F8334" s="3">
        <v>1.8E-3</v>
      </c>
      <c r="G8334" s="3">
        <v>5.4999999999999997E-3</v>
      </c>
      <c r="H8334">
        <v>251</v>
      </c>
      <c r="I8334">
        <v>341</v>
      </c>
      <c r="J8334">
        <v>1995</v>
      </c>
    </row>
    <row r="8335" spans="1:10">
      <c r="A8335" t="s">
        <v>194</v>
      </c>
      <c r="B8335" t="s">
        <v>199</v>
      </c>
      <c r="C8335" t="s">
        <v>219</v>
      </c>
      <c r="D8335" t="s">
        <v>1627</v>
      </c>
      <c r="E8335" s="3">
        <v>4.9500000000000002E-2</v>
      </c>
      <c r="F8335" s="3">
        <v>0.14630000000000001</v>
      </c>
      <c r="G8335" s="3">
        <v>8.4000000000000005E-2</v>
      </c>
      <c r="H8335">
        <v>251</v>
      </c>
      <c r="I8335">
        <v>341</v>
      </c>
      <c r="J8335">
        <v>1995</v>
      </c>
    </row>
    <row r="8336" spans="1:10">
      <c r="A8336" t="s">
        <v>194</v>
      </c>
      <c r="B8336" t="s">
        <v>199</v>
      </c>
      <c r="C8336" t="s">
        <v>219</v>
      </c>
      <c r="D8336" t="s">
        <v>1644</v>
      </c>
      <c r="E8336" s="3">
        <v>1.2999999999999999E-3</v>
      </c>
      <c r="G8336" s="3">
        <v>1.9099999999999999E-2</v>
      </c>
      <c r="H8336">
        <v>251</v>
      </c>
      <c r="I8336">
        <v>341</v>
      </c>
      <c r="J8336">
        <v>1995</v>
      </c>
    </row>
    <row r="8337" spans="1:10">
      <c r="A8337" t="s">
        <v>194</v>
      </c>
      <c r="B8337" t="s">
        <v>199</v>
      </c>
      <c r="C8337" t="s">
        <v>219</v>
      </c>
      <c r="D8337" t="s">
        <v>1628</v>
      </c>
      <c r="E8337" s="3">
        <v>1.5699999999999999E-2</v>
      </c>
      <c r="F8337" s="3">
        <v>0.14119999999999999</v>
      </c>
      <c r="G8337" s="3">
        <v>0.12939999999999999</v>
      </c>
      <c r="H8337">
        <v>251</v>
      </c>
      <c r="I8337">
        <v>341</v>
      </c>
      <c r="J8337">
        <v>1995</v>
      </c>
    </row>
    <row r="8338" spans="1:10">
      <c r="A8338" t="s">
        <v>194</v>
      </c>
      <c r="B8338" t="s">
        <v>199</v>
      </c>
      <c r="C8338" t="s">
        <v>219</v>
      </c>
      <c r="D8338" t="s">
        <v>1629</v>
      </c>
      <c r="E8338" s="3">
        <v>1.0800000000000001E-2</v>
      </c>
      <c r="F8338" s="3">
        <v>2.5000000000000001E-2</v>
      </c>
      <c r="G8338" s="3">
        <v>1.5100000000000001E-2</v>
      </c>
      <c r="H8338">
        <v>251</v>
      </c>
      <c r="I8338">
        <v>341</v>
      </c>
      <c r="J8338">
        <v>1995</v>
      </c>
    </row>
    <row r="8339" spans="1:10">
      <c r="A8339" t="s">
        <v>194</v>
      </c>
      <c r="B8339" t="s">
        <v>199</v>
      </c>
      <c r="C8339" t="s">
        <v>219</v>
      </c>
      <c r="D8339" t="s">
        <v>1640</v>
      </c>
      <c r="E8339" s="3">
        <v>6.9999999999999999E-4</v>
      </c>
      <c r="F8339" s="3">
        <v>4.0800000000000003E-2</v>
      </c>
      <c r="G8339" s="3">
        <v>1.9E-2</v>
      </c>
      <c r="H8339">
        <v>251</v>
      </c>
      <c r="I8339">
        <v>341</v>
      </c>
      <c r="J8339">
        <v>1995</v>
      </c>
    </row>
    <row r="8340" spans="1:10">
      <c r="A8340" t="s">
        <v>194</v>
      </c>
      <c r="B8340" t="s">
        <v>199</v>
      </c>
      <c r="C8340" t="s">
        <v>219</v>
      </c>
      <c r="D8340" t="s">
        <v>1630</v>
      </c>
      <c r="E8340" s="3">
        <v>2.8E-3</v>
      </c>
      <c r="F8340" s="3">
        <v>1.89E-2</v>
      </c>
      <c r="G8340" s="3">
        <v>1.0699999999999999E-2</v>
      </c>
      <c r="H8340">
        <v>251</v>
      </c>
      <c r="I8340">
        <v>341</v>
      </c>
      <c r="J8340">
        <v>1995</v>
      </c>
    </row>
    <row r="8341" spans="1:10">
      <c r="A8341" t="s">
        <v>194</v>
      </c>
      <c r="B8341" t="s">
        <v>199</v>
      </c>
      <c r="C8341" t="s">
        <v>219</v>
      </c>
      <c r="D8341" t="s">
        <v>1631</v>
      </c>
      <c r="E8341" s="3">
        <v>9.2999999999999992E-3</v>
      </c>
      <c r="F8341" s="3">
        <v>8.1900000000000001E-2</v>
      </c>
      <c r="G8341" s="3">
        <v>0.19289999999999999</v>
      </c>
      <c r="H8341">
        <v>251</v>
      </c>
      <c r="I8341">
        <v>341</v>
      </c>
      <c r="J8341">
        <v>1995</v>
      </c>
    </row>
    <row r="8342" spans="1:10">
      <c r="A8342" t="s">
        <v>194</v>
      </c>
      <c r="B8342" t="s">
        <v>199</v>
      </c>
      <c r="C8342" t="s">
        <v>219</v>
      </c>
      <c r="D8342" t="s">
        <v>1641</v>
      </c>
      <c r="E8342" s="3">
        <v>1.4E-3</v>
      </c>
      <c r="G8342" s="3">
        <v>4.4000000000000003E-3</v>
      </c>
      <c r="H8342">
        <v>251</v>
      </c>
      <c r="I8342">
        <v>341</v>
      </c>
      <c r="J8342">
        <v>1995</v>
      </c>
    </row>
    <row r="8343" spans="1:10">
      <c r="A8343" t="s">
        <v>194</v>
      </c>
      <c r="B8343" t="s">
        <v>199</v>
      </c>
      <c r="C8343" t="s">
        <v>219</v>
      </c>
      <c r="D8343" t="s">
        <v>1632</v>
      </c>
      <c r="E8343" s="3">
        <v>4.7999999999999996E-3</v>
      </c>
      <c r="F8343" s="3">
        <v>7.0800000000000002E-2</v>
      </c>
      <c r="G8343" s="3">
        <v>8.8999999999999996E-2</v>
      </c>
      <c r="H8343">
        <v>251</v>
      </c>
      <c r="I8343">
        <v>341</v>
      </c>
      <c r="J8343">
        <v>1995</v>
      </c>
    </row>
    <row r="8344" spans="1:10">
      <c r="A8344" t="s">
        <v>194</v>
      </c>
      <c r="B8344" t="s">
        <v>199</v>
      </c>
      <c r="C8344" t="s">
        <v>219</v>
      </c>
      <c r="D8344" t="s">
        <v>1634</v>
      </c>
      <c r="E8344" s="3">
        <v>6.9999999999999999E-4</v>
      </c>
      <c r="F8344" s="3">
        <v>6.7999999999999996E-3</v>
      </c>
      <c r="G8344" s="3">
        <v>1.1900000000000001E-2</v>
      </c>
      <c r="H8344">
        <v>251</v>
      </c>
      <c r="I8344">
        <v>341</v>
      </c>
      <c r="J8344">
        <v>1995</v>
      </c>
    </row>
    <row r="8345" spans="1:10">
      <c r="A8345" t="s">
        <v>194</v>
      </c>
      <c r="B8345" t="s">
        <v>199</v>
      </c>
      <c r="C8345" t="s">
        <v>219</v>
      </c>
      <c r="D8345" t="s">
        <v>1635</v>
      </c>
      <c r="E8345" s="3">
        <v>3.3999999999999998E-3</v>
      </c>
      <c r="F8345" s="3">
        <v>1.2699999999999999E-2</v>
      </c>
      <c r="G8345" s="3">
        <v>7.0499999999999993E-2</v>
      </c>
      <c r="H8345">
        <v>251</v>
      </c>
      <c r="I8345">
        <v>341</v>
      </c>
      <c r="J8345">
        <v>1995</v>
      </c>
    </row>
    <row r="8346" spans="1:10">
      <c r="A8346" t="s">
        <v>194</v>
      </c>
      <c r="B8346" t="s">
        <v>199</v>
      </c>
      <c r="C8346" t="s">
        <v>219</v>
      </c>
      <c r="D8346" t="s">
        <v>1636</v>
      </c>
      <c r="E8346" s="3">
        <v>0.31859999999999999</v>
      </c>
      <c r="F8346" s="3">
        <v>0.21210000000000001</v>
      </c>
      <c r="G8346" s="3">
        <v>3.3399999999999999E-2</v>
      </c>
      <c r="H8346">
        <v>251</v>
      </c>
      <c r="I8346">
        <v>341</v>
      </c>
      <c r="J8346">
        <v>1995</v>
      </c>
    </row>
    <row r="8347" spans="1:10">
      <c r="A8347" t="s">
        <v>194</v>
      </c>
      <c r="B8347" t="s">
        <v>199</v>
      </c>
      <c r="C8347" t="s">
        <v>219</v>
      </c>
      <c r="D8347" t="s">
        <v>1637</v>
      </c>
      <c r="E8347" s="3">
        <v>0.52949999999999997</v>
      </c>
      <c r="F8347" s="3">
        <v>7.5899999999999995E-2</v>
      </c>
      <c r="G8347" s="3">
        <v>6.8999999999999999E-3</v>
      </c>
      <c r="H8347">
        <v>251</v>
      </c>
      <c r="I8347">
        <v>341</v>
      </c>
      <c r="J8347">
        <v>1995</v>
      </c>
    </row>
    <row r="8348" spans="1:10">
      <c r="A8348" t="s">
        <v>194</v>
      </c>
      <c r="B8348" t="s">
        <v>199</v>
      </c>
      <c r="C8348" t="s">
        <v>219</v>
      </c>
      <c r="D8348" t="s">
        <v>274</v>
      </c>
      <c r="E8348" s="3">
        <v>5.9999999999999995E-4</v>
      </c>
      <c r="F8348" s="3">
        <v>1E-4</v>
      </c>
      <c r="G8348" s="3">
        <v>3.7199999999999997E-2</v>
      </c>
      <c r="H8348">
        <v>251</v>
      </c>
      <c r="I8348">
        <v>341</v>
      </c>
      <c r="J8348">
        <v>1995</v>
      </c>
    </row>
    <row r="8349" spans="1:10">
      <c r="A8349" t="s">
        <v>194</v>
      </c>
      <c r="B8349" t="s">
        <v>199</v>
      </c>
      <c r="C8349" t="s">
        <v>219</v>
      </c>
      <c r="D8349" t="s">
        <v>247</v>
      </c>
      <c r="E8349" s="3">
        <v>8.0000000000000004E-4</v>
      </c>
      <c r="G8349" s="3">
        <v>1.9E-3</v>
      </c>
      <c r="H8349">
        <v>251</v>
      </c>
      <c r="I8349">
        <v>341</v>
      </c>
      <c r="J8349">
        <v>1995</v>
      </c>
    </row>
    <row r="8350" spans="1:10">
      <c r="A8350" t="s">
        <v>194</v>
      </c>
      <c r="B8350" t="s">
        <v>199</v>
      </c>
      <c r="C8350" t="s">
        <v>219</v>
      </c>
      <c r="D8350" t="s">
        <v>1643</v>
      </c>
      <c r="E8350" s="3">
        <v>5.0000000000000001E-4</v>
      </c>
      <c r="F8350" s="3">
        <v>1.54E-2</v>
      </c>
      <c r="G8350" s="3">
        <v>5.7000000000000002E-3</v>
      </c>
      <c r="H8350">
        <v>251</v>
      </c>
      <c r="I8350">
        <v>341</v>
      </c>
      <c r="J8350">
        <v>1995</v>
      </c>
    </row>
    <row r="8351" spans="1:10">
      <c r="A8351" t="s">
        <v>194</v>
      </c>
      <c r="B8351" t="s">
        <v>199</v>
      </c>
      <c r="C8351" t="s">
        <v>220</v>
      </c>
      <c r="D8351" t="s">
        <v>257</v>
      </c>
      <c r="E8351" s="3">
        <v>1.1999999999999999E-3</v>
      </c>
      <c r="F8351" s="3">
        <v>1.4800000000000001E-2</v>
      </c>
      <c r="G8351" s="3">
        <v>4.2099999999999999E-2</v>
      </c>
      <c r="H8351">
        <v>165</v>
      </c>
      <c r="I8351">
        <v>152</v>
      </c>
      <c r="J8351">
        <v>1995</v>
      </c>
    </row>
    <row r="8352" spans="1:10">
      <c r="A8352" t="s">
        <v>194</v>
      </c>
      <c r="B8352" t="s">
        <v>199</v>
      </c>
      <c r="C8352" t="s">
        <v>220</v>
      </c>
      <c r="D8352" t="s">
        <v>1638</v>
      </c>
      <c r="E8352" s="3">
        <v>1.8700000000000001E-2</v>
      </c>
      <c r="F8352" s="3">
        <v>5.4300000000000001E-2</v>
      </c>
      <c r="G8352" s="3">
        <v>0.2341</v>
      </c>
      <c r="H8352">
        <v>165</v>
      </c>
      <c r="I8352">
        <v>152</v>
      </c>
      <c r="J8352">
        <v>1995</v>
      </c>
    </row>
    <row r="8353" spans="1:10">
      <c r="A8353" t="s">
        <v>194</v>
      </c>
      <c r="B8353" t="s">
        <v>199</v>
      </c>
      <c r="C8353" t="s">
        <v>220</v>
      </c>
      <c r="D8353" t="s">
        <v>1639</v>
      </c>
      <c r="E8353" s="3">
        <v>3.3999999999999998E-3</v>
      </c>
      <c r="F8353" s="3">
        <v>2.2000000000000001E-3</v>
      </c>
      <c r="G8353" s="3">
        <v>0.11119999999999999</v>
      </c>
      <c r="H8353">
        <v>165</v>
      </c>
      <c r="I8353">
        <v>152</v>
      </c>
      <c r="J8353">
        <v>1995</v>
      </c>
    </row>
    <row r="8354" spans="1:10">
      <c r="A8354" t="s">
        <v>194</v>
      </c>
      <c r="B8354" t="s">
        <v>199</v>
      </c>
      <c r="C8354" t="s">
        <v>220</v>
      </c>
      <c r="D8354" t="s">
        <v>1625</v>
      </c>
      <c r="E8354" s="3">
        <v>2.5999999999999999E-3</v>
      </c>
      <c r="F8354" s="3">
        <v>7.7999999999999996E-3</v>
      </c>
      <c r="G8354" s="3">
        <v>5.4999999999999997E-3</v>
      </c>
      <c r="H8354">
        <v>165</v>
      </c>
      <c r="I8354">
        <v>152</v>
      </c>
      <c r="J8354">
        <v>1995</v>
      </c>
    </row>
    <row r="8355" spans="1:10">
      <c r="A8355" t="s">
        <v>194</v>
      </c>
      <c r="B8355" t="s">
        <v>199</v>
      </c>
      <c r="C8355" t="s">
        <v>220</v>
      </c>
      <c r="D8355" t="s">
        <v>1627</v>
      </c>
      <c r="E8355" s="3">
        <v>4.0399999999999998E-2</v>
      </c>
      <c r="F8355" s="3">
        <v>4.9200000000000001E-2</v>
      </c>
      <c r="G8355" s="3">
        <v>8.6300000000000002E-2</v>
      </c>
      <c r="H8355">
        <v>165</v>
      </c>
      <c r="I8355">
        <v>152</v>
      </c>
      <c r="J8355">
        <v>1995</v>
      </c>
    </row>
    <row r="8356" spans="1:10">
      <c r="A8356" t="s">
        <v>194</v>
      </c>
      <c r="B8356" t="s">
        <v>199</v>
      </c>
      <c r="C8356" t="s">
        <v>220</v>
      </c>
      <c r="D8356" t="s">
        <v>1628</v>
      </c>
      <c r="E8356" s="3">
        <v>0.1004</v>
      </c>
      <c r="F8356" s="3">
        <v>8.8300000000000003E-2</v>
      </c>
      <c r="G8356" s="3">
        <v>2.12E-2</v>
      </c>
      <c r="H8356">
        <v>165</v>
      </c>
      <c r="I8356">
        <v>152</v>
      </c>
      <c r="J8356">
        <v>1995</v>
      </c>
    </row>
    <row r="8357" spans="1:10">
      <c r="A8357" t="s">
        <v>194</v>
      </c>
      <c r="B8357" t="s">
        <v>199</v>
      </c>
      <c r="C8357" t="s">
        <v>220</v>
      </c>
      <c r="D8357" t="s">
        <v>1629</v>
      </c>
      <c r="E8357" s="3">
        <v>2.0000000000000001E-4</v>
      </c>
      <c r="F8357" s="3">
        <v>3.2099999999999997E-2</v>
      </c>
      <c r="G8357" s="3">
        <v>5.7000000000000002E-3</v>
      </c>
      <c r="H8357">
        <v>165</v>
      </c>
      <c r="I8357">
        <v>152</v>
      </c>
      <c r="J8357">
        <v>1995</v>
      </c>
    </row>
    <row r="8358" spans="1:10">
      <c r="A8358" t="s">
        <v>194</v>
      </c>
      <c r="B8358" t="s">
        <v>199</v>
      </c>
      <c r="C8358" t="s">
        <v>220</v>
      </c>
      <c r="D8358" t="s">
        <v>1640</v>
      </c>
      <c r="E8358" s="3">
        <v>7.0000000000000001E-3</v>
      </c>
      <c r="F8358" s="3">
        <v>2.9999999999999997E-4</v>
      </c>
      <c r="G8358" s="3">
        <v>4.0000000000000002E-4</v>
      </c>
      <c r="H8358">
        <v>165</v>
      </c>
      <c r="I8358">
        <v>152</v>
      </c>
      <c r="J8358">
        <v>1995</v>
      </c>
    </row>
    <row r="8359" spans="1:10">
      <c r="A8359" t="s">
        <v>194</v>
      </c>
      <c r="B8359" t="s">
        <v>199</v>
      </c>
      <c r="C8359" t="s">
        <v>220</v>
      </c>
      <c r="D8359" t="s">
        <v>1632</v>
      </c>
      <c r="E8359" s="3">
        <v>5.9700000000000003E-2</v>
      </c>
      <c r="F8359" s="3">
        <v>0.18329999999999999</v>
      </c>
      <c r="G8359" s="3">
        <v>6.1899999999999997E-2</v>
      </c>
      <c r="H8359">
        <v>165</v>
      </c>
      <c r="I8359">
        <v>152</v>
      </c>
      <c r="J8359">
        <v>1995</v>
      </c>
    </row>
    <row r="8360" spans="1:10">
      <c r="A8360" t="s">
        <v>194</v>
      </c>
      <c r="B8360" t="s">
        <v>199</v>
      </c>
      <c r="C8360" t="s">
        <v>220</v>
      </c>
      <c r="D8360" t="s">
        <v>1633</v>
      </c>
      <c r="E8360" s="3">
        <v>2.0000000000000001E-4</v>
      </c>
      <c r="F8360" s="3">
        <v>1.0500000000000001E-2</v>
      </c>
      <c r="G8360" s="3">
        <v>2.4E-2</v>
      </c>
      <c r="H8360">
        <v>165</v>
      </c>
      <c r="I8360">
        <v>152</v>
      </c>
      <c r="J8360">
        <v>1995</v>
      </c>
    </row>
    <row r="8361" spans="1:10">
      <c r="A8361" t="s">
        <v>194</v>
      </c>
      <c r="B8361" t="s">
        <v>199</v>
      </c>
      <c r="C8361" t="s">
        <v>220</v>
      </c>
      <c r="D8361" t="s">
        <v>1642</v>
      </c>
      <c r="E8361" s="3">
        <v>1E-3</v>
      </c>
      <c r="F8361" s="3">
        <v>1.6000000000000001E-3</v>
      </c>
      <c r="G8361" s="3">
        <v>4.4400000000000002E-2</v>
      </c>
      <c r="H8361">
        <v>165</v>
      </c>
      <c r="I8361">
        <v>152</v>
      </c>
      <c r="J8361">
        <v>1995</v>
      </c>
    </row>
    <row r="8362" spans="1:10">
      <c r="A8362" t="s">
        <v>194</v>
      </c>
      <c r="B8362" t="s">
        <v>199</v>
      </c>
      <c r="C8362" t="s">
        <v>220</v>
      </c>
      <c r="D8362" t="s">
        <v>1636</v>
      </c>
      <c r="E8362" s="3">
        <v>0.23519999999999999</v>
      </c>
      <c r="F8362" s="3">
        <v>0.34060000000000001</v>
      </c>
      <c r="G8362" s="3">
        <v>1.04E-2</v>
      </c>
      <c r="H8362">
        <v>165</v>
      </c>
      <c r="I8362">
        <v>152</v>
      </c>
      <c r="J8362">
        <v>1995</v>
      </c>
    </row>
    <row r="8363" spans="1:10">
      <c r="A8363" t="s">
        <v>194</v>
      </c>
      <c r="B8363" t="s">
        <v>199</v>
      </c>
      <c r="C8363" t="s">
        <v>220</v>
      </c>
      <c r="D8363" t="s">
        <v>1637</v>
      </c>
      <c r="E8363" s="3">
        <v>0.52949999999999997</v>
      </c>
      <c r="F8363" s="3">
        <v>7.9899999999999999E-2</v>
      </c>
      <c r="G8363" s="3">
        <v>4.5900000000000003E-2</v>
      </c>
      <c r="H8363">
        <v>165</v>
      </c>
      <c r="I8363">
        <v>152</v>
      </c>
      <c r="J8363">
        <v>1995</v>
      </c>
    </row>
    <row r="8364" spans="1:10">
      <c r="A8364" t="s">
        <v>194</v>
      </c>
      <c r="B8364" t="s">
        <v>199</v>
      </c>
      <c r="C8364" t="s">
        <v>220</v>
      </c>
      <c r="D8364" t="s">
        <v>274</v>
      </c>
      <c r="E8364" s="3">
        <v>5.9999999999999995E-4</v>
      </c>
      <c r="F8364" s="3">
        <v>1.8E-3</v>
      </c>
      <c r="G8364" s="3">
        <v>4.4200000000000003E-2</v>
      </c>
      <c r="H8364">
        <v>165</v>
      </c>
      <c r="I8364">
        <v>152</v>
      </c>
      <c r="J8364">
        <v>1995</v>
      </c>
    </row>
    <row r="8365" spans="1:10">
      <c r="A8365" t="s">
        <v>200</v>
      </c>
      <c r="B8365" t="s">
        <v>200</v>
      </c>
      <c r="C8365" t="s">
        <v>200</v>
      </c>
      <c r="D8365" t="s">
        <v>1624</v>
      </c>
      <c r="E8365" s="3">
        <v>4.4999999999999997E-3</v>
      </c>
      <c r="F8365" s="3">
        <v>1.54E-2</v>
      </c>
      <c r="G8365" s="3">
        <v>2.52E-2</v>
      </c>
      <c r="H8365">
        <v>1995</v>
      </c>
      <c r="I8365">
        <v>1995</v>
      </c>
      <c r="J8365">
        <v>1995</v>
      </c>
    </row>
    <row r="8366" spans="1:10">
      <c r="A8366" t="s">
        <v>200</v>
      </c>
      <c r="B8366" t="s">
        <v>200</v>
      </c>
      <c r="C8366" t="s">
        <v>200</v>
      </c>
      <c r="D8366" t="s">
        <v>257</v>
      </c>
      <c r="E8366" s="3">
        <v>6.8999999999999999E-3</v>
      </c>
      <c r="F8366" s="3">
        <v>4.1799999999999997E-2</v>
      </c>
      <c r="G8366" s="3">
        <v>6.8900000000000003E-2</v>
      </c>
      <c r="H8366">
        <v>1995</v>
      </c>
      <c r="I8366">
        <v>1995</v>
      </c>
      <c r="J8366">
        <v>1995</v>
      </c>
    </row>
    <row r="8367" spans="1:10">
      <c r="A8367" t="s">
        <v>200</v>
      </c>
      <c r="B8367" t="s">
        <v>200</v>
      </c>
      <c r="C8367" t="s">
        <v>200</v>
      </c>
      <c r="D8367" t="s">
        <v>1638</v>
      </c>
      <c r="E8367" s="3">
        <v>1.4999999999999999E-2</v>
      </c>
      <c r="F8367" s="3">
        <v>7.5200000000000003E-2</v>
      </c>
      <c r="G8367" s="3">
        <v>0.1067</v>
      </c>
      <c r="H8367">
        <v>1995</v>
      </c>
      <c r="I8367">
        <v>1995</v>
      </c>
      <c r="J8367">
        <v>1995</v>
      </c>
    </row>
    <row r="8368" spans="1:10">
      <c r="A8368" t="s">
        <v>200</v>
      </c>
      <c r="B8368" t="s">
        <v>200</v>
      </c>
      <c r="C8368" t="s">
        <v>200</v>
      </c>
      <c r="D8368" t="s">
        <v>1639</v>
      </c>
      <c r="E8368" s="3">
        <v>4.7000000000000002E-3</v>
      </c>
      <c r="F8368" s="3">
        <v>2.41E-2</v>
      </c>
      <c r="G8368" s="3">
        <v>2.0500000000000001E-2</v>
      </c>
      <c r="H8368">
        <v>1995</v>
      </c>
      <c r="I8368">
        <v>1995</v>
      </c>
      <c r="J8368">
        <v>1995</v>
      </c>
    </row>
    <row r="8369" spans="1:10">
      <c r="A8369" t="s">
        <v>200</v>
      </c>
      <c r="B8369" t="s">
        <v>200</v>
      </c>
      <c r="C8369" t="s">
        <v>200</v>
      </c>
      <c r="D8369" t="s">
        <v>1625</v>
      </c>
      <c r="E8369" s="3">
        <v>4.2700000000000002E-2</v>
      </c>
      <c r="F8369" s="3">
        <v>4.3299999999999998E-2</v>
      </c>
      <c r="G8369" s="3">
        <v>4.7500000000000001E-2</v>
      </c>
      <c r="H8369">
        <v>1995</v>
      </c>
      <c r="I8369">
        <v>1995</v>
      </c>
      <c r="J8369">
        <v>1995</v>
      </c>
    </row>
    <row r="8370" spans="1:10">
      <c r="A8370" t="s">
        <v>200</v>
      </c>
      <c r="B8370" t="s">
        <v>200</v>
      </c>
      <c r="C8370" t="s">
        <v>200</v>
      </c>
      <c r="D8370" t="s">
        <v>1626</v>
      </c>
      <c r="E8370" s="3">
        <v>4.0000000000000002E-4</v>
      </c>
      <c r="F8370" s="3">
        <v>2.3E-3</v>
      </c>
      <c r="G8370" s="3">
        <v>1.0999999999999999E-2</v>
      </c>
      <c r="H8370">
        <v>1995</v>
      </c>
      <c r="I8370">
        <v>1995</v>
      </c>
      <c r="J8370">
        <v>1995</v>
      </c>
    </row>
    <row r="8371" spans="1:10">
      <c r="A8371" t="s">
        <v>200</v>
      </c>
      <c r="B8371" t="s">
        <v>200</v>
      </c>
      <c r="C8371" t="s">
        <v>200</v>
      </c>
      <c r="D8371" t="s">
        <v>1627</v>
      </c>
      <c r="E8371" s="3">
        <v>4.7199999999999999E-2</v>
      </c>
      <c r="F8371" s="3">
        <v>9.3700000000000006E-2</v>
      </c>
      <c r="G8371" s="3">
        <v>0.14050000000000001</v>
      </c>
      <c r="H8371">
        <v>1995</v>
      </c>
      <c r="I8371">
        <v>1995</v>
      </c>
      <c r="J8371">
        <v>1995</v>
      </c>
    </row>
    <row r="8372" spans="1:10">
      <c r="A8372" t="s">
        <v>200</v>
      </c>
      <c r="B8372" t="s">
        <v>200</v>
      </c>
      <c r="C8372" t="s">
        <v>200</v>
      </c>
      <c r="D8372" t="s">
        <v>1644</v>
      </c>
      <c r="E8372" s="3">
        <v>2.0000000000000001E-4</v>
      </c>
      <c r="F8372" s="3">
        <v>3.3E-3</v>
      </c>
      <c r="G8372" s="3">
        <v>1.09E-2</v>
      </c>
      <c r="H8372">
        <v>1995</v>
      </c>
      <c r="I8372">
        <v>1995</v>
      </c>
      <c r="J8372">
        <v>1995</v>
      </c>
    </row>
    <row r="8373" spans="1:10">
      <c r="A8373" t="s">
        <v>200</v>
      </c>
      <c r="B8373" t="s">
        <v>200</v>
      </c>
      <c r="C8373" t="s">
        <v>200</v>
      </c>
      <c r="D8373" t="s">
        <v>1628</v>
      </c>
      <c r="E8373" s="3">
        <v>3.2500000000000001E-2</v>
      </c>
      <c r="F8373" s="3">
        <v>8.48E-2</v>
      </c>
      <c r="G8373" s="3">
        <v>7.0499999999999993E-2</v>
      </c>
      <c r="H8373">
        <v>1995</v>
      </c>
      <c r="I8373">
        <v>1995</v>
      </c>
      <c r="J8373">
        <v>1995</v>
      </c>
    </row>
    <row r="8374" spans="1:10">
      <c r="A8374" t="s">
        <v>200</v>
      </c>
      <c r="B8374" t="s">
        <v>200</v>
      </c>
      <c r="C8374" t="s">
        <v>200</v>
      </c>
      <c r="D8374" t="s">
        <v>1629</v>
      </c>
      <c r="E8374" s="3">
        <v>6.0000000000000001E-3</v>
      </c>
      <c r="F8374" s="3">
        <v>1.37E-2</v>
      </c>
      <c r="G8374" s="3">
        <v>1.24E-2</v>
      </c>
      <c r="H8374">
        <v>1995</v>
      </c>
      <c r="I8374">
        <v>1995</v>
      </c>
      <c r="J8374">
        <v>1995</v>
      </c>
    </row>
    <row r="8375" spans="1:10">
      <c r="A8375" t="s">
        <v>200</v>
      </c>
      <c r="B8375" t="s">
        <v>200</v>
      </c>
      <c r="C8375" t="s">
        <v>200</v>
      </c>
      <c r="D8375" t="s">
        <v>1640</v>
      </c>
      <c r="E8375" s="3">
        <v>2.2000000000000001E-3</v>
      </c>
      <c r="F8375" s="3">
        <v>8.3999999999999995E-3</v>
      </c>
      <c r="G8375" s="3">
        <v>7.0000000000000001E-3</v>
      </c>
      <c r="H8375">
        <v>1995</v>
      </c>
      <c r="I8375">
        <v>1995</v>
      </c>
      <c r="J8375">
        <v>1995</v>
      </c>
    </row>
    <row r="8376" spans="1:10">
      <c r="A8376" t="s">
        <v>200</v>
      </c>
      <c r="B8376" t="s">
        <v>200</v>
      </c>
      <c r="C8376" t="s">
        <v>200</v>
      </c>
      <c r="D8376" t="s">
        <v>1630</v>
      </c>
      <c r="E8376" s="3">
        <v>7.6E-3</v>
      </c>
      <c r="F8376" s="3">
        <v>2.18E-2</v>
      </c>
      <c r="G8376" s="3">
        <v>1.41E-2</v>
      </c>
      <c r="H8376">
        <v>1995</v>
      </c>
      <c r="I8376">
        <v>1995</v>
      </c>
      <c r="J8376">
        <v>1995</v>
      </c>
    </row>
    <row r="8377" spans="1:10">
      <c r="A8377" t="s">
        <v>200</v>
      </c>
      <c r="B8377" t="s">
        <v>200</v>
      </c>
      <c r="C8377" t="s">
        <v>200</v>
      </c>
      <c r="D8377" t="s">
        <v>1631</v>
      </c>
      <c r="E8377" s="3">
        <v>2.3900000000000001E-2</v>
      </c>
      <c r="F8377" s="3">
        <v>0.112</v>
      </c>
      <c r="G8377" s="3">
        <v>0.1164</v>
      </c>
      <c r="H8377">
        <v>1995</v>
      </c>
      <c r="I8377">
        <v>1995</v>
      </c>
      <c r="J8377">
        <v>1995</v>
      </c>
    </row>
    <row r="8378" spans="1:10">
      <c r="A8378" t="s">
        <v>200</v>
      </c>
      <c r="B8378" t="s">
        <v>200</v>
      </c>
      <c r="C8378" t="s">
        <v>200</v>
      </c>
      <c r="D8378" t="s">
        <v>1641</v>
      </c>
      <c r="E8378" s="3">
        <v>2.3E-3</v>
      </c>
      <c r="F8378" s="3">
        <v>5.0000000000000001E-3</v>
      </c>
      <c r="G8378" s="3">
        <v>2.3599999999999999E-2</v>
      </c>
      <c r="H8378">
        <v>1995</v>
      </c>
      <c r="I8378">
        <v>1995</v>
      </c>
      <c r="J8378">
        <v>1995</v>
      </c>
    </row>
    <row r="8379" spans="1:10">
      <c r="A8379" t="s">
        <v>200</v>
      </c>
      <c r="B8379" t="s">
        <v>200</v>
      </c>
      <c r="C8379" t="s">
        <v>200</v>
      </c>
      <c r="D8379" t="s">
        <v>1632</v>
      </c>
      <c r="E8379" s="3">
        <v>2.4199999999999999E-2</v>
      </c>
      <c r="F8379" s="3">
        <v>6.3799999999999996E-2</v>
      </c>
      <c r="G8379" s="3">
        <v>9.1399999999999995E-2</v>
      </c>
      <c r="H8379">
        <v>1995</v>
      </c>
      <c r="I8379">
        <v>1995</v>
      </c>
      <c r="J8379">
        <v>1995</v>
      </c>
    </row>
    <row r="8380" spans="1:10">
      <c r="A8380" t="s">
        <v>200</v>
      </c>
      <c r="B8380" t="s">
        <v>200</v>
      </c>
      <c r="C8380" t="s">
        <v>200</v>
      </c>
      <c r="D8380" t="s">
        <v>1633</v>
      </c>
      <c r="E8380" s="3">
        <v>3.2000000000000002E-3</v>
      </c>
      <c r="F8380" s="3">
        <v>4.5999999999999999E-3</v>
      </c>
      <c r="G8380" s="3">
        <v>1.3599999999999999E-2</v>
      </c>
      <c r="H8380">
        <v>1995</v>
      </c>
      <c r="I8380">
        <v>1995</v>
      </c>
      <c r="J8380">
        <v>1995</v>
      </c>
    </row>
    <row r="8381" spans="1:10">
      <c r="A8381" t="s">
        <v>200</v>
      </c>
      <c r="B8381" t="s">
        <v>200</v>
      </c>
      <c r="C8381" t="s">
        <v>200</v>
      </c>
      <c r="D8381" t="s">
        <v>1634</v>
      </c>
      <c r="E8381" s="3">
        <v>3.8999999999999998E-3</v>
      </c>
      <c r="F8381" s="3">
        <v>1.55E-2</v>
      </c>
      <c r="G8381" s="3">
        <v>2.1299999999999999E-2</v>
      </c>
      <c r="H8381">
        <v>1995</v>
      </c>
      <c r="I8381">
        <v>1995</v>
      </c>
      <c r="J8381">
        <v>1995</v>
      </c>
    </row>
    <row r="8382" spans="1:10">
      <c r="A8382" t="s">
        <v>200</v>
      </c>
      <c r="B8382" t="s">
        <v>200</v>
      </c>
      <c r="C8382" t="s">
        <v>200</v>
      </c>
      <c r="D8382" t="s">
        <v>1642</v>
      </c>
      <c r="E8382" s="3">
        <v>1.1000000000000001E-3</v>
      </c>
      <c r="F8382" s="3">
        <v>2.0000000000000001E-4</v>
      </c>
      <c r="G8382" s="3">
        <v>7.3000000000000001E-3</v>
      </c>
      <c r="H8382">
        <v>1995</v>
      </c>
      <c r="I8382">
        <v>1995</v>
      </c>
      <c r="J8382">
        <v>1995</v>
      </c>
    </row>
    <row r="8383" spans="1:10">
      <c r="A8383" t="s">
        <v>200</v>
      </c>
      <c r="B8383" t="s">
        <v>200</v>
      </c>
      <c r="C8383" t="s">
        <v>200</v>
      </c>
      <c r="D8383" t="s">
        <v>1635</v>
      </c>
      <c r="E8383" s="3">
        <v>5.3E-3</v>
      </c>
      <c r="F8383" s="3">
        <v>1.3299999999999999E-2</v>
      </c>
      <c r="G8383" s="3">
        <v>4.1500000000000002E-2</v>
      </c>
      <c r="H8383">
        <v>1995</v>
      </c>
      <c r="I8383">
        <v>1995</v>
      </c>
      <c r="J8383">
        <v>1995</v>
      </c>
    </row>
    <row r="8384" spans="1:10">
      <c r="A8384" t="s">
        <v>200</v>
      </c>
      <c r="B8384" t="s">
        <v>200</v>
      </c>
      <c r="C8384" t="s">
        <v>200</v>
      </c>
      <c r="D8384" t="s">
        <v>1636</v>
      </c>
      <c r="E8384" s="3">
        <v>0.37080000000000002</v>
      </c>
      <c r="F8384" s="3">
        <v>0.2258</v>
      </c>
      <c r="G8384" s="3">
        <v>7.7700000000000005E-2</v>
      </c>
      <c r="H8384">
        <v>1995</v>
      </c>
      <c r="I8384">
        <v>1995</v>
      </c>
      <c r="J8384">
        <v>1995</v>
      </c>
    </row>
    <row r="8385" spans="1:31">
      <c r="A8385" t="s">
        <v>200</v>
      </c>
      <c r="B8385" t="s">
        <v>200</v>
      </c>
      <c r="C8385" t="s">
        <v>200</v>
      </c>
      <c r="D8385" t="s">
        <v>1637</v>
      </c>
      <c r="E8385" s="3">
        <v>0.38950000000000001</v>
      </c>
      <c r="F8385" s="3">
        <v>0.1105</v>
      </c>
      <c r="G8385" s="3">
        <v>3.7499999999999999E-2</v>
      </c>
      <c r="H8385">
        <v>1995</v>
      </c>
      <c r="I8385">
        <v>1995</v>
      </c>
      <c r="J8385">
        <v>1995</v>
      </c>
    </row>
    <row r="8386" spans="1:31">
      <c r="A8386" t="s">
        <v>200</v>
      </c>
      <c r="B8386" t="s">
        <v>200</v>
      </c>
      <c r="C8386" t="s">
        <v>200</v>
      </c>
      <c r="D8386" t="s">
        <v>274</v>
      </c>
      <c r="E8386" s="3">
        <v>6.9999999999999999E-4</v>
      </c>
      <c r="F8386" s="3">
        <v>9.1999999999999998E-3</v>
      </c>
      <c r="G8386" s="3">
        <v>1.32E-2</v>
      </c>
      <c r="H8386">
        <v>1995</v>
      </c>
      <c r="I8386">
        <v>1995</v>
      </c>
      <c r="J8386">
        <v>1995</v>
      </c>
    </row>
    <row r="8387" spans="1:31">
      <c r="A8387" t="s">
        <v>200</v>
      </c>
      <c r="B8387" t="s">
        <v>200</v>
      </c>
      <c r="C8387" t="s">
        <v>200</v>
      </c>
      <c r="D8387" t="s">
        <v>247</v>
      </c>
      <c r="E8387" s="3">
        <v>4.8999999999999998E-3</v>
      </c>
      <c r="F8387" s="3">
        <v>0</v>
      </c>
      <c r="G8387" s="3">
        <v>1.4E-3</v>
      </c>
      <c r="H8387">
        <v>1995</v>
      </c>
      <c r="I8387">
        <v>1995</v>
      </c>
      <c r="J8387">
        <v>1995</v>
      </c>
    </row>
    <row r="8388" spans="1:31">
      <c r="A8388" t="s">
        <v>200</v>
      </c>
      <c r="B8388" t="s">
        <v>200</v>
      </c>
      <c r="C8388" t="s">
        <v>200</v>
      </c>
      <c r="D8388" t="s">
        <v>1643</v>
      </c>
      <c r="E8388" s="3">
        <v>1E-4</v>
      </c>
      <c r="F8388" s="3">
        <v>1.2E-2</v>
      </c>
      <c r="G8388" s="3">
        <v>0.02</v>
      </c>
      <c r="H8388">
        <v>1995</v>
      </c>
      <c r="I8388">
        <v>1995</v>
      </c>
      <c r="J8388">
        <v>1995</v>
      </c>
    </row>
    <row r="8390" spans="1:31" ht="45">
      <c r="A8390" s="22" t="s">
        <v>1652</v>
      </c>
    </row>
    <row r="8391" spans="1:31">
      <c r="A8391" t="s">
        <v>185</v>
      </c>
      <c r="B8391" t="s">
        <v>186</v>
      </c>
      <c r="C8391" t="s">
        <v>192</v>
      </c>
      <c r="D8391" t="s">
        <v>184</v>
      </c>
      <c r="E8391" t="s">
        <v>193</v>
      </c>
      <c r="F8391" t="s">
        <v>1653</v>
      </c>
      <c r="G8391" t="s">
        <v>1654</v>
      </c>
      <c r="H8391" t="s">
        <v>1655</v>
      </c>
      <c r="I8391" t="s">
        <v>1656</v>
      </c>
      <c r="J8391" t="s">
        <v>1657</v>
      </c>
      <c r="K8391" t="s">
        <v>1658</v>
      </c>
      <c r="L8391" t="s">
        <v>1659</v>
      </c>
      <c r="M8391" t="s">
        <v>1660</v>
      </c>
      <c r="N8391" t="s">
        <v>1661</v>
      </c>
      <c r="O8391" t="s">
        <v>1662</v>
      </c>
      <c r="P8391" t="s">
        <v>1663</v>
      </c>
      <c r="Q8391" t="s">
        <v>1664</v>
      </c>
      <c r="R8391" t="s">
        <v>1665</v>
      </c>
      <c r="S8391" t="s">
        <v>329</v>
      </c>
      <c r="T8391" t="s">
        <v>1666</v>
      </c>
      <c r="U8391" t="s">
        <v>1667</v>
      </c>
      <c r="V8391" t="s">
        <v>274</v>
      </c>
      <c r="W8391" t="s">
        <v>1668</v>
      </c>
      <c r="X8391" t="s">
        <v>1669</v>
      </c>
      <c r="Y8391" t="s">
        <v>1670</v>
      </c>
      <c r="Z8391" t="s">
        <v>1671</v>
      </c>
      <c r="AA8391" t="s">
        <v>1672</v>
      </c>
      <c r="AB8391" t="s">
        <v>1673</v>
      </c>
      <c r="AC8391" t="s">
        <v>1674</v>
      </c>
      <c r="AD8391" t="s">
        <v>1675</v>
      </c>
      <c r="AE8391" t="s">
        <v>1676</v>
      </c>
    </row>
    <row r="8392" spans="1:31">
      <c r="A8392" t="s">
        <v>195</v>
      </c>
      <c r="B8392" t="s">
        <v>222</v>
      </c>
      <c r="C8392">
        <v>177</v>
      </c>
      <c r="D8392" t="s">
        <v>194</v>
      </c>
      <c r="E8392">
        <v>1948</v>
      </c>
      <c r="F8392" s="3">
        <v>2.5499999999999998E-2</v>
      </c>
      <c r="G8392" s="3">
        <v>5.33E-2</v>
      </c>
      <c r="H8392" s="3">
        <v>0.64790000000000003</v>
      </c>
      <c r="I8392" s="3">
        <v>1.9800000000000002E-2</v>
      </c>
      <c r="J8392" s="3">
        <v>6.2799999999999995E-2</v>
      </c>
      <c r="K8392" s="3">
        <v>9.3200000000000005E-2</v>
      </c>
      <c r="L8392" s="3">
        <v>1.9E-2</v>
      </c>
      <c r="M8392" s="3">
        <v>6.13E-2</v>
      </c>
      <c r="N8392" s="3">
        <v>0.2195</v>
      </c>
      <c r="O8392" s="3">
        <v>0.26329999999999998</v>
      </c>
      <c r="P8392" s="3">
        <v>4.8899999999999999E-2</v>
      </c>
      <c r="Q8392" s="3">
        <v>0.16220000000000001</v>
      </c>
      <c r="R8392" s="3">
        <v>0.1205</v>
      </c>
      <c r="S8392" s="3">
        <v>0.1167</v>
      </c>
      <c r="T8392" s="3">
        <v>9.6699999999999994E-2</v>
      </c>
      <c r="U8392" s="3">
        <v>3.6799999999999999E-2</v>
      </c>
      <c r="V8392" s="3">
        <v>2E-3</v>
      </c>
      <c r="W8392" s="3">
        <v>0.12479999999999999</v>
      </c>
      <c r="X8392" s="3">
        <v>0.12659999999999999</v>
      </c>
      <c r="Y8392" s="3">
        <v>3.4200000000000001E-2</v>
      </c>
      <c r="Z8392" s="3">
        <v>2.1700000000000001E-2</v>
      </c>
      <c r="AA8392" s="3">
        <v>0.28699999999999998</v>
      </c>
      <c r="AB8392" s="3">
        <v>9.3899999999999997E-2</v>
      </c>
      <c r="AC8392" s="3">
        <v>1.8E-3</v>
      </c>
      <c r="AD8392" s="3">
        <v>7.8299999999999995E-2</v>
      </c>
    </row>
    <row r="8393" spans="1:31">
      <c r="A8393" t="s">
        <v>195</v>
      </c>
      <c r="B8393" t="s">
        <v>224</v>
      </c>
      <c r="C8393">
        <v>744</v>
      </c>
      <c r="D8393" t="s">
        <v>194</v>
      </c>
      <c r="E8393">
        <v>1948</v>
      </c>
      <c r="F8393" s="3">
        <v>2.1000000000000001E-2</v>
      </c>
      <c r="G8393" s="3">
        <v>5.9900000000000002E-2</v>
      </c>
      <c r="H8393" s="3">
        <v>0.67620000000000002</v>
      </c>
      <c r="I8393" s="3">
        <v>5.0000000000000001E-3</v>
      </c>
      <c r="J8393" s="3">
        <v>0.13569999999999999</v>
      </c>
      <c r="K8393" s="3">
        <v>0.15279999999999999</v>
      </c>
      <c r="L8393" s="3">
        <v>3.95E-2</v>
      </c>
      <c r="M8393" s="3">
        <v>0.10730000000000001</v>
      </c>
      <c r="N8393" s="3">
        <v>0.44779999999999998</v>
      </c>
      <c r="O8393" s="3">
        <v>0.32990000000000003</v>
      </c>
      <c r="P8393" s="3">
        <v>2.7799999999999998E-2</v>
      </c>
      <c r="Q8393" s="3">
        <v>0.15279999999999999</v>
      </c>
      <c r="R8393" s="3">
        <v>0.1084</v>
      </c>
      <c r="S8393" s="3">
        <v>5.0900000000000001E-2</v>
      </c>
      <c r="T8393" s="3">
        <v>2.87E-2</v>
      </c>
      <c r="U8393" s="3">
        <v>2.2499999999999999E-2</v>
      </c>
      <c r="V8393" s="3">
        <v>5.0000000000000001E-3</v>
      </c>
      <c r="W8393" s="3">
        <v>0.16750000000000001</v>
      </c>
      <c r="X8393" s="3">
        <v>0.22750000000000001</v>
      </c>
      <c r="Y8393" s="3">
        <v>5.1900000000000002E-2</v>
      </c>
      <c r="Z8393" s="3">
        <v>4.0000000000000001E-3</v>
      </c>
      <c r="AA8393" s="3">
        <v>0.2056</v>
      </c>
      <c r="AB8393" s="3">
        <v>2.7699999999999999E-2</v>
      </c>
      <c r="AC8393" s="3">
        <v>0.01</v>
      </c>
      <c r="AD8393" s="3">
        <v>1.8599999999999998E-2</v>
      </c>
      <c r="AE8393" s="3">
        <v>1.04E-2</v>
      </c>
    </row>
    <row r="8394" spans="1:31">
      <c r="A8394" t="s">
        <v>199</v>
      </c>
      <c r="B8394" t="s">
        <v>222</v>
      </c>
      <c r="C8394">
        <v>246</v>
      </c>
      <c r="D8394" t="s">
        <v>194</v>
      </c>
      <c r="E8394">
        <v>1948</v>
      </c>
      <c r="F8394" s="3">
        <v>6.6299999999999998E-2</v>
      </c>
      <c r="G8394" s="3">
        <v>3.8100000000000002E-2</v>
      </c>
      <c r="H8394" s="3">
        <v>0.3463</v>
      </c>
      <c r="I8394" s="3">
        <v>2.3999999999999998E-3</v>
      </c>
      <c r="J8394" s="3">
        <v>2.2200000000000001E-2</v>
      </c>
      <c r="K8394" s="3">
        <v>7.4000000000000003E-3</v>
      </c>
      <c r="L8394" s="3">
        <v>1.9199999999999998E-2</v>
      </c>
      <c r="M8394" s="3">
        <v>7.7999999999999996E-3</v>
      </c>
      <c r="N8394" s="3">
        <v>0.14099999999999999</v>
      </c>
      <c r="O8394" s="3">
        <v>0.18190000000000001</v>
      </c>
      <c r="P8394" s="3">
        <v>2.0999999999999999E-3</v>
      </c>
      <c r="Q8394" s="3">
        <v>0.1197</v>
      </c>
      <c r="R8394" s="3">
        <v>4.0000000000000002E-4</v>
      </c>
      <c r="S8394" s="3">
        <v>0.42070000000000002</v>
      </c>
      <c r="T8394" s="3">
        <v>1.4200000000000001E-2</v>
      </c>
      <c r="V8394" s="3">
        <v>1.8E-3</v>
      </c>
      <c r="W8394" s="3">
        <v>2.1700000000000001E-2</v>
      </c>
      <c r="X8394" s="3">
        <v>6.88E-2</v>
      </c>
      <c r="Y8394" s="3">
        <v>4.5999999999999999E-2</v>
      </c>
      <c r="Z8394" s="3">
        <v>2.3999999999999998E-3</v>
      </c>
      <c r="AA8394" s="3">
        <v>1.2500000000000001E-2</v>
      </c>
      <c r="AB8394" s="3">
        <v>2.4899999999999999E-2</v>
      </c>
      <c r="AC8394" s="3">
        <v>6.1000000000000004E-3</v>
      </c>
      <c r="AD8394" s="3">
        <v>3.9199999999999999E-2</v>
      </c>
      <c r="AE8394" s="3">
        <v>8.9999999999999998E-4</v>
      </c>
    </row>
    <row r="8395" spans="1:31">
      <c r="A8395" t="s">
        <v>199</v>
      </c>
      <c r="B8395" t="s">
        <v>224</v>
      </c>
      <c r="C8395">
        <v>781</v>
      </c>
      <c r="D8395" t="s">
        <v>194</v>
      </c>
      <c r="E8395">
        <v>1948</v>
      </c>
      <c r="F8395" s="3">
        <v>3.7100000000000001E-2</v>
      </c>
      <c r="G8395" s="3">
        <v>3.3700000000000001E-2</v>
      </c>
      <c r="H8395" s="3">
        <v>0.39750000000000002</v>
      </c>
      <c r="I8395" s="3">
        <v>6.4999999999999997E-3</v>
      </c>
      <c r="J8395" s="3">
        <v>5.8299999999999998E-2</v>
      </c>
      <c r="K8395" s="3">
        <v>2.92E-2</v>
      </c>
      <c r="L8395" s="3">
        <v>3.0300000000000001E-2</v>
      </c>
      <c r="M8395" s="3">
        <v>5.2200000000000003E-2</v>
      </c>
      <c r="N8395" s="3">
        <v>0.24440000000000001</v>
      </c>
      <c r="O8395" s="3">
        <v>0.2359</v>
      </c>
      <c r="P8395" s="3">
        <v>1.34E-2</v>
      </c>
      <c r="Q8395" s="3">
        <v>7.2700000000000001E-2</v>
      </c>
      <c r="R8395" s="3">
        <v>3.0999999999999999E-3</v>
      </c>
      <c r="S8395" s="3">
        <v>0.3306</v>
      </c>
      <c r="T8395" s="3">
        <v>3.2500000000000001E-2</v>
      </c>
      <c r="U8395" s="3">
        <v>8.9999999999999998E-4</v>
      </c>
      <c r="V8395" s="3">
        <v>2.3999999999999998E-3</v>
      </c>
      <c r="W8395" s="3">
        <v>5.7299999999999997E-2</v>
      </c>
      <c r="X8395" s="3">
        <v>0.1047</v>
      </c>
      <c r="Y8395" s="3">
        <v>6.9000000000000006E-2</v>
      </c>
      <c r="Z8395" s="3">
        <v>6.0000000000000001E-3</v>
      </c>
      <c r="AA8395" s="3">
        <v>4.3900000000000002E-2</v>
      </c>
      <c r="AB8395" s="3">
        <v>4.1599999999999998E-2</v>
      </c>
      <c r="AC8395" s="3">
        <v>2.8400000000000002E-2</v>
      </c>
      <c r="AD8395" s="3">
        <v>4.3400000000000001E-2</v>
      </c>
      <c r="AE8395" s="3">
        <v>1.2200000000000001E-2</v>
      </c>
    </row>
    <row r="8396" spans="1:31">
      <c r="A8396" t="s">
        <v>200</v>
      </c>
      <c r="B8396" t="s">
        <v>200</v>
      </c>
      <c r="C8396">
        <v>1948</v>
      </c>
      <c r="D8396" t="s">
        <v>200</v>
      </c>
      <c r="E8396">
        <v>1948</v>
      </c>
      <c r="F8396" s="3">
        <v>3.3799999999999997E-2</v>
      </c>
      <c r="G8396" s="3">
        <v>4.6699999999999998E-2</v>
      </c>
      <c r="H8396" s="3">
        <v>0.52600000000000002</v>
      </c>
      <c r="I8396" s="3">
        <v>6.7999999999999996E-3</v>
      </c>
      <c r="J8396" s="3">
        <v>8.3500000000000005E-2</v>
      </c>
      <c r="K8396" s="3">
        <v>8.1000000000000003E-2</v>
      </c>
      <c r="L8396" s="3">
        <v>3.1E-2</v>
      </c>
      <c r="M8396" s="3">
        <v>6.8099999999999994E-2</v>
      </c>
      <c r="N8396" s="3">
        <v>0.30520000000000003</v>
      </c>
      <c r="O8396" s="3">
        <v>0.26750000000000002</v>
      </c>
      <c r="P8396" s="3">
        <v>2.1299999999999999E-2</v>
      </c>
      <c r="Q8396" s="3">
        <v>0.1205</v>
      </c>
      <c r="R8396" s="3">
        <v>5.6599999999999998E-2</v>
      </c>
      <c r="S8396" s="3">
        <v>0.21149999999999999</v>
      </c>
      <c r="T8396" s="3">
        <v>3.56E-2</v>
      </c>
      <c r="U8396" s="3">
        <v>1.3100000000000001E-2</v>
      </c>
      <c r="V8396" s="3">
        <v>3.3E-3</v>
      </c>
      <c r="W8396" s="3">
        <v>0.1023</v>
      </c>
      <c r="X8396" s="3">
        <v>0.14940000000000001</v>
      </c>
      <c r="Y8396" s="3">
        <v>5.5100000000000003E-2</v>
      </c>
      <c r="Z8396" s="3">
        <v>6.4999999999999997E-3</v>
      </c>
      <c r="AA8396" s="3">
        <v>0.12920000000000001</v>
      </c>
      <c r="AB8396" s="3">
        <v>3.9699999999999999E-2</v>
      </c>
      <c r="AC8396" s="3">
        <v>1.5100000000000001E-2</v>
      </c>
      <c r="AD8396" s="3">
        <v>3.7100000000000001E-2</v>
      </c>
      <c r="AE8396" s="3">
        <v>8.5000000000000006E-3</v>
      </c>
    </row>
    <row r="8398" spans="1:31" ht="30">
      <c r="A8398" s="22" t="s">
        <v>1677</v>
      </c>
    </row>
    <row r="8399" spans="1:31">
      <c r="A8399" t="s">
        <v>185</v>
      </c>
      <c r="B8399" t="s">
        <v>186</v>
      </c>
      <c r="C8399" t="s">
        <v>192</v>
      </c>
      <c r="D8399" t="s">
        <v>184</v>
      </c>
      <c r="E8399" t="s">
        <v>193</v>
      </c>
      <c r="F8399" t="s">
        <v>1653</v>
      </c>
      <c r="G8399" t="s">
        <v>1654</v>
      </c>
      <c r="H8399" t="s">
        <v>1655</v>
      </c>
      <c r="I8399" t="s">
        <v>1656</v>
      </c>
      <c r="J8399" t="s">
        <v>1657</v>
      </c>
      <c r="K8399" t="s">
        <v>1658</v>
      </c>
      <c r="L8399" t="s">
        <v>1659</v>
      </c>
      <c r="M8399" t="s">
        <v>1660</v>
      </c>
      <c r="N8399" t="s">
        <v>1661</v>
      </c>
      <c r="O8399" t="s">
        <v>1662</v>
      </c>
      <c r="P8399" t="s">
        <v>1663</v>
      </c>
      <c r="Q8399" t="s">
        <v>1664</v>
      </c>
      <c r="R8399" t="s">
        <v>1665</v>
      </c>
      <c r="S8399" t="s">
        <v>329</v>
      </c>
      <c r="T8399" t="s">
        <v>1666</v>
      </c>
      <c r="U8399" t="s">
        <v>1667</v>
      </c>
      <c r="V8399" t="s">
        <v>274</v>
      </c>
      <c r="W8399" t="s">
        <v>1668</v>
      </c>
      <c r="X8399" t="s">
        <v>1669</v>
      </c>
      <c r="Y8399" t="s">
        <v>1670</v>
      </c>
      <c r="Z8399" t="s">
        <v>1671</v>
      </c>
      <c r="AA8399" t="s">
        <v>1672</v>
      </c>
      <c r="AB8399" t="s">
        <v>1673</v>
      </c>
      <c r="AC8399" t="s">
        <v>1674</v>
      </c>
      <c r="AD8399" t="s">
        <v>1675</v>
      </c>
      <c r="AE8399" t="s">
        <v>1676</v>
      </c>
    </row>
    <row r="8400" spans="1:31">
      <c r="A8400" t="s">
        <v>195</v>
      </c>
      <c r="B8400" t="s">
        <v>229</v>
      </c>
      <c r="C8400">
        <v>92</v>
      </c>
      <c r="D8400" t="s">
        <v>194</v>
      </c>
      <c r="E8400">
        <v>1948</v>
      </c>
      <c r="F8400" s="3">
        <v>1.7899999999999999E-2</v>
      </c>
      <c r="G8400" s="3">
        <v>5.04E-2</v>
      </c>
      <c r="H8400" s="3">
        <v>0.74</v>
      </c>
      <c r="I8400" s="3">
        <v>4.5999999999999999E-3</v>
      </c>
      <c r="J8400" s="3">
        <v>9.8100000000000007E-2</v>
      </c>
      <c r="K8400" s="3">
        <v>0.1046</v>
      </c>
      <c r="L8400" s="3">
        <v>4.5900000000000003E-2</v>
      </c>
      <c r="M8400" s="3">
        <v>0.1225</v>
      </c>
      <c r="N8400" s="3">
        <v>0.30409999999999998</v>
      </c>
      <c r="O8400" s="3">
        <v>0.16739999999999999</v>
      </c>
      <c r="P8400" s="3">
        <v>6.1000000000000004E-3</v>
      </c>
      <c r="Q8400" s="3">
        <v>0.15640000000000001</v>
      </c>
      <c r="R8400" s="3">
        <v>8.7599999999999997E-2</v>
      </c>
      <c r="S8400" s="3">
        <v>7.9100000000000004E-2</v>
      </c>
      <c r="T8400" s="3">
        <v>5.96E-2</v>
      </c>
      <c r="U8400" s="3">
        <v>1.14E-2</v>
      </c>
      <c r="W8400" s="3">
        <v>0.151</v>
      </c>
      <c r="X8400" s="3">
        <v>0.14760000000000001</v>
      </c>
      <c r="Y8400" s="3">
        <v>3.8600000000000002E-2</v>
      </c>
      <c r="Z8400" s="3">
        <v>1.1999999999999999E-3</v>
      </c>
      <c r="AA8400" s="3">
        <v>0.192</v>
      </c>
      <c r="AB8400" s="3">
        <v>4.4999999999999998E-2</v>
      </c>
      <c r="AD8400" s="3">
        <v>3.1899999999999998E-2</v>
      </c>
    </row>
    <row r="8401" spans="1:31">
      <c r="A8401" t="s">
        <v>195</v>
      </c>
      <c r="B8401" t="s">
        <v>230</v>
      </c>
      <c r="C8401">
        <v>373</v>
      </c>
      <c r="D8401" t="s">
        <v>194</v>
      </c>
      <c r="E8401">
        <v>1948</v>
      </c>
      <c r="F8401" s="3">
        <v>2.1600000000000001E-2</v>
      </c>
      <c r="G8401" s="3">
        <v>4.7899999999999998E-2</v>
      </c>
      <c r="H8401" s="3">
        <v>0.61260000000000003</v>
      </c>
      <c r="I8401" s="3">
        <v>1.8100000000000002E-2</v>
      </c>
      <c r="J8401" s="3">
        <v>0.12959999999999999</v>
      </c>
      <c r="K8401" s="3">
        <v>0.13270000000000001</v>
      </c>
      <c r="L8401" s="3">
        <v>0.06</v>
      </c>
      <c r="M8401" s="3">
        <v>0.12139999999999999</v>
      </c>
      <c r="N8401" s="3">
        <v>0.43590000000000001</v>
      </c>
      <c r="O8401" s="3">
        <v>0.24390000000000001</v>
      </c>
      <c r="P8401" s="3">
        <v>4.1000000000000002E-2</v>
      </c>
      <c r="Q8401" s="3">
        <v>0.21079999999999999</v>
      </c>
      <c r="R8401" s="3">
        <v>0.13300000000000001</v>
      </c>
      <c r="S8401" s="3">
        <v>9.5399999999999999E-2</v>
      </c>
      <c r="T8401" s="3">
        <v>3.95E-2</v>
      </c>
      <c r="U8401" s="3">
        <v>2.6800000000000001E-2</v>
      </c>
      <c r="V8401" s="3">
        <v>7.7999999999999996E-3</v>
      </c>
      <c r="W8401" s="3">
        <v>0.15229999999999999</v>
      </c>
      <c r="X8401" s="3">
        <v>0.2319</v>
      </c>
      <c r="Y8401" s="3">
        <v>7.4200000000000002E-2</v>
      </c>
      <c r="Z8401" s="3">
        <v>4.3E-3</v>
      </c>
      <c r="AA8401" s="3">
        <v>0.21299999999999999</v>
      </c>
      <c r="AB8401" s="3">
        <v>4.9200000000000001E-2</v>
      </c>
      <c r="AC8401" s="3">
        <v>0.02</v>
      </c>
      <c r="AD8401" s="3">
        <v>3.85E-2</v>
      </c>
      <c r="AE8401" s="3">
        <v>1.4500000000000001E-2</v>
      </c>
    </row>
    <row r="8402" spans="1:31">
      <c r="A8402" t="s">
        <v>195</v>
      </c>
      <c r="B8402" t="s">
        <v>231</v>
      </c>
      <c r="C8402">
        <v>238</v>
      </c>
      <c r="D8402" t="s">
        <v>194</v>
      </c>
      <c r="E8402">
        <v>1948</v>
      </c>
      <c r="F8402" s="3">
        <v>1.9599999999999999E-2</v>
      </c>
      <c r="G8402" s="3">
        <v>6.1100000000000002E-2</v>
      </c>
      <c r="H8402" s="3">
        <v>0.68620000000000003</v>
      </c>
      <c r="I8402" s="3">
        <v>4.0000000000000002E-4</v>
      </c>
      <c r="J8402" s="3">
        <v>0.10979999999999999</v>
      </c>
      <c r="K8402" s="3">
        <v>0.18310000000000001</v>
      </c>
      <c r="L8402" s="3">
        <v>1.95E-2</v>
      </c>
      <c r="M8402" s="3">
        <v>9.8299999999999998E-2</v>
      </c>
      <c r="N8402" s="3">
        <v>0.37609999999999999</v>
      </c>
      <c r="O8402" s="3">
        <v>0.3947</v>
      </c>
      <c r="P8402" s="3">
        <v>2.3400000000000001E-2</v>
      </c>
      <c r="Q8402" s="3">
        <v>0.1114</v>
      </c>
      <c r="R8402" s="3">
        <v>0.15709999999999999</v>
      </c>
      <c r="S8402" s="3">
        <v>3.5000000000000003E-2</v>
      </c>
      <c r="T8402" s="3">
        <v>6.4899999999999999E-2</v>
      </c>
      <c r="U8402" s="3">
        <v>3.2800000000000003E-2</v>
      </c>
      <c r="V8402" s="3">
        <v>5.0000000000000001E-3</v>
      </c>
      <c r="W8402" s="3">
        <v>0.15110000000000001</v>
      </c>
      <c r="X8402" s="3">
        <v>0.15379999999999999</v>
      </c>
      <c r="Y8402" s="3">
        <v>3.0599999999999999E-2</v>
      </c>
      <c r="Z8402" s="3">
        <v>8.8999999999999999E-3</v>
      </c>
      <c r="AA8402" s="3">
        <v>0.24970000000000001</v>
      </c>
      <c r="AB8402" s="3">
        <v>4.3200000000000002E-2</v>
      </c>
      <c r="AC8402" s="3">
        <v>5.9999999999999995E-4</v>
      </c>
      <c r="AD8402" s="3">
        <v>1.7500000000000002E-2</v>
      </c>
      <c r="AE8402" s="3">
        <v>9.4000000000000004E-3</v>
      </c>
    </row>
    <row r="8403" spans="1:31">
      <c r="A8403" t="s">
        <v>195</v>
      </c>
      <c r="B8403" t="s">
        <v>232</v>
      </c>
      <c r="C8403">
        <v>218</v>
      </c>
      <c r="D8403" t="s">
        <v>194</v>
      </c>
      <c r="E8403">
        <v>1948</v>
      </c>
      <c r="F8403" s="3">
        <v>2.7900000000000001E-2</v>
      </c>
      <c r="G8403" s="3">
        <v>7.9100000000000004E-2</v>
      </c>
      <c r="H8403" s="3">
        <v>0.71050000000000002</v>
      </c>
      <c r="I8403" s="3">
        <v>1.8E-3</v>
      </c>
      <c r="J8403" s="3">
        <v>0.12379999999999999</v>
      </c>
      <c r="K8403" s="3">
        <v>0.127</v>
      </c>
      <c r="M8403" s="3">
        <v>3.6499999999999998E-2</v>
      </c>
      <c r="N8403" s="3">
        <v>0.40439999999999998</v>
      </c>
      <c r="O8403" s="3">
        <v>0.44729999999999998</v>
      </c>
      <c r="P8403" s="3">
        <v>4.3299999999999998E-2</v>
      </c>
      <c r="Q8403" s="3">
        <v>0.1011</v>
      </c>
      <c r="R8403" s="3">
        <v>3.9E-2</v>
      </c>
      <c r="S8403" s="3">
        <v>3.73E-2</v>
      </c>
      <c r="T8403" s="3">
        <v>2.07E-2</v>
      </c>
      <c r="U8403" s="3">
        <v>2.52E-2</v>
      </c>
      <c r="W8403" s="3">
        <v>0.1789</v>
      </c>
      <c r="X8403" s="3">
        <v>0.24529999999999999</v>
      </c>
      <c r="Y8403" s="3">
        <v>2.5600000000000001E-2</v>
      </c>
      <c r="Z8403" s="3">
        <v>1.7600000000000001E-2</v>
      </c>
      <c r="AA8403" s="3">
        <v>0.23580000000000001</v>
      </c>
      <c r="AB8403" s="3">
        <v>2.9000000000000001E-2</v>
      </c>
      <c r="AD8403" s="3">
        <v>3.5799999999999998E-2</v>
      </c>
      <c r="AE8403" s="3">
        <v>2.0000000000000001E-4</v>
      </c>
    </row>
    <row r="8404" spans="1:31">
      <c r="A8404" t="s">
        <v>199</v>
      </c>
      <c r="B8404" t="s">
        <v>229</v>
      </c>
      <c r="C8404">
        <v>96</v>
      </c>
      <c r="D8404" t="s">
        <v>194</v>
      </c>
      <c r="E8404">
        <v>1948</v>
      </c>
      <c r="F8404" s="3">
        <v>2.75E-2</v>
      </c>
      <c r="G8404" s="3">
        <v>3.5999999999999999E-3</v>
      </c>
      <c r="H8404" s="3">
        <v>0.1822</v>
      </c>
      <c r="J8404" s="3">
        <v>3.3599999999999998E-2</v>
      </c>
      <c r="K8404" s="3">
        <v>1.6000000000000001E-3</v>
      </c>
      <c r="L8404" s="3">
        <v>0.01</v>
      </c>
      <c r="M8404" s="3">
        <v>2.8899999999999999E-2</v>
      </c>
      <c r="N8404" s="3">
        <v>9.2999999999999999E-2</v>
      </c>
      <c r="O8404" s="3">
        <v>0.14849999999999999</v>
      </c>
      <c r="P8404" s="3">
        <v>4.0000000000000002E-4</v>
      </c>
      <c r="Q8404" s="3">
        <v>4.3299999999999998E-2</v>
      </c>
      <c r="S8404" s="3">
        <v>0.54430000000000001</v>
      </c>
      <c r="T8404" s="3">
        <v>8.8599999999999998E-2</v>
      </c>
      <c r="V8404" s="3">
        <v>5.9999999999999995E-4</v>
      </c>
      <c r="W8404" s="3">
        <v>1.72E-2</v>
      </c>
      <c r="X8404" s="3">
        <v>6.7100000000000007E-2</v>
      </c>
      <c r="Y8404" s="3">
        <v>7.4700000000000003E-2</v>
      </c>
      <c r="Z8404" s="3">
        <v>3.3E-3</v>
      </c>
      <c r="AA8404" s="3">
        <v>9.7000000000000003E-3</v>
      </c>
      <c r="AB8404" s="3">
        <v>4.8999999999999998E-3</v>
      </c>
      <c r="AC8404" s="3">
        <v>6.6E-3</v>
      </c>
      <c r="AD8404" s="3">
        <v>3.09E-2</v>
      </c>
    </row>
    <row r="8405" spans="1:31">
      <c r="A8405" t="s">
        <v>199</v>
      </c>
      <c r="B8405" t="s">
        <v>230</v>
      </c>
      <c r="C8405">
        <v>466</v>
      </c>
      <c r="D8405" t="s">
        <v>194</v>
      </c>
      <c r="E8405">
        <v>1948</v>
      </c>
      <c r="F8405" s="3">
        <v>6.1400000000000003E-2</v>
      </c>
      <c r="G8405" s="3">
        <v>3.1800000000000002E-2</v>
      </c>
      <c r="H8405" s="3">
        <v>0.39129999999999998</v>
      </c>
      <c r="I8405" s="3">
        <v>2.7000000000000001E-3</v>
      </c>
      <c r="J8405" s="3">
        <v>3.5799999999999998E-2</v>
      </c>
      <c r="K8405" s="3">
        <v>1.0699999999999999E-2</v>
      </c>
      <c r="L8405" s="3">
        <v>4.5600000000000002E-2</v>
      </c>
      <c r="M8405" s="3">
        <v>4.07E-2</v>
      </c>
      <c r="N8405" s="3">
        <v>0.16350000000000001</v>
      </c>
      <c r="O8405" s="3">
        <v>0.1081</v>
      </c>
      <c r="P8405" s="3">
        <v>1.34E-2</v>
      </c>
      <c r="Q8405" s="3">
        <v>8.8800000000000004E-2</v>
      </c>
      <c r="R8405" s="3">
        <v>4.1999999999999997E-3</v>
      </c>
      <c r="S8405" s="3">
        <v>0.4012</v>
      </c>
      <c r="T8405" s="3">
        <v>1.8100000000000002E-2</v>
      </c>
      <c r="U8405" s="3">
        <v>8.0000000000000004E-4</v>
      </c>
      <c r="V8405" s="3">
        <v>2.3E-3</v>
      </c>
      <c r="W8405" s="3">
        <v>2.5100000000000001E-2</v>
      </c>
      <c r="X8405" s="3">
        <v>6.9599999999999995E-2</v>
      </c>
      <c r="Y8405" s="3">
        <v>5.8400000000000001E-2</v>
      </c>
      <c r="Z8405" s="3">
        <v>1.1000000000000001E-3</v>
      </c>
      <c r="AA8405" s="3">
        <v>3.1699999999999999E-2</v>
      </c>
      <c r="AB8405" s="3">
        <v>5.2200000000000003E-2</v>
      </c>
      <c r="AC8405" s="3">
        <v>2.63E-2</v>
      </c>
      <c r="AD8405" s="3">
        <v>2.18E-2</v>
      </c>
      <c r="AE8405" s="3">
        <v>5.7999999999999996E-3</v>
      </c>
    </row>
    <row r="8406" spans="1:31">
      <c r="A8406" t="s">
        <v>199</v>
      </c>
      <c r="B8406" t="s">
        <v>231</v>
      </c>
      <c r="C8406">
        <v>287</v>
      </c>
      <c r="D8406" t="s">
        <v>194</v>
      </c>
      <c r="E8406">
        <v>1948</v>
      </c>
      <c r="F8406" s="3">
        <v>4.48E-2</v>
      </c>
      <c r="G8406" s="3">
        <v>4.6800000000000001E-2</v>
      </c>
      <c r="H8406" s="3">
        <v>0.41589999999999999</v>
      </c>
      <c r="I8406" s="3">
        <v>1.47E-2</v>
      </c>
      <c r="J8406" s="3">
        <v>9.2899999999999996E-2</v>
      </c>
      <c r="K8406" s="3">
        <v>4.6300000000000001E-2</v>
      </c>
      <c r="L8406" s="3">
        <v>2.1600000000000001E-2</v>
      </c>
      <c r="M8406" s="3">
        <v>4.9099999999999998E-2</v>
      </c>
      <c r="N8406" s="3">
        <v>0.18859999999999999</v>
      </c>
      <c r="O8406" s="3">
        <v>0.28599999999999998</v>
      </c>
      <c r="P8406" s="3">
        <v>2.1000000000000001E-2</v>
      </c>
      <c r="Q8406" s="3">
        <v>0.151</v>
      </c>
      <c r="R8406" s="3">
        <v>2E-3</v>
      </c>
      <c r="S8406" s="3">
        <v>0.2767</v>
      </c>
      <c r="T8406" s="3">
        <v>7.1999999999999998E-3</v>
      </c>
      <c r="U8406" s="3">
        <v>1.1999999999999999E-3</v>
      </c>
      <c r="V8406" s="3">
        <v>5.7999999999999996E-3</v>
      </c>
      <c r="W8406" s="3">
        <v>5.4600000000000003E-2</v>
      </c>
      <c r="X8406" s="3">
        <v>8.7300000000000003E-2</v>
      </c>
      <c r="Y8406" s="3">
        <v>6.0199999999999997E-2</v>
      </c>
      <c r="Z8406" s="3">
        <v>1.55E-2</v>
      </c>
      <c r="AA8406" s="3">
        <v>5.9400000000000001E-2</v>
      </c>
      <c r="AB8406" s="3">
        <v>4.0599999999999997E-2</v>
      </c>
      <c r="AC8406" s="3">
        <v>3.7000000000000002E-3</v>
      </c>
      <c r="AD8406" s="3">
        <v>7.8899999999999998E-2</v>
      </c>
      <c r="AE8406" s="3">
        <v>2.4299999999999999E-2</v>
      </c>
    </row>
    <row r="8407" spans="1:31">
      <c r="A8407" t="s">
        <v>199</v>
      </c>
      <c r="B8407" t="s">
        <v>232</v>
      </c>
      <c r="C8407">
        <v>178</v>
      </c>
      <c r="D8407" t="s">
        <v>194</v>
      </c>
      <c r="E8407">
        <v>1948</v>
      </c>
      <c r="F8407" s="3">
        <v>2.1499999999999998E-2</v>
      </c>
      <c r="G8407" s="3">
        <v>6.1600000000000002E-2</v>
      </c>
      <c r="H8407" s="3">
        <v>0.51980000000000004</v>
      </c>
      <c r="I8407" s="3">
        <v>7.7999999999999996E-3</v>
      </c>
      <c r="J8407" s="3">
        <v>4.8300000000000003E-2</v>
      </c>
      <c r="K8407" s="3">
        <v>5.2200000000000003E-2</v>
      </c>
      <c r="M8407" s="3">
        <v>3.6200000000000003E-2</v>
      </c>
      <c r="N8407" s="3">
        <v>0.49220000000000003</v>
      </c>
      <c r="O8407" s="3">
        <v>0.52010000000000001</v>
      </c>
      <c r="Q8407" s="3">
        <v>5.6399999999999999E-2</v>
      </c>
      <c r="S8407" s="3">
        <v>0.13800000000000001</v>
      </c>
      <c r="T8407" s="3">
        <v>1.23E-2</v>
      </c>
      <c r="V8407" s="3">
        <v>2.0000000000000001E-4</v>
      </c>
      <c r="W8407" s="3">
        <v>0.126</v>
      </c>
      <c r="X8407" s="3">
        <v>0.19289999999999999</v>
      </c>
      <c r="Y8407" s="3">
        <v>6.3200000000000006E-2</v>
      </c>
      <c r="Z8407" s="3">
        <v>6.1999999999999998E-3</v>
      </c>
      <c r="AA8407" s="3">
        <v>4.2700000000000002E-2</v>
      </c>
      <c r="AB8407" s="3">
        <v>2.29E-2</v>
      </c>
      <c r="AC8407" s="3">
        <v>4.36E-2</v>
      </c>
      <c r="AD8407" s="3">
        <v>7.0000000000000007E-2</v>
      </c>
      <c r="AE8407" s="3">
        <v>1.06E-2</v>
      </c>
    </row>
    <row r="8408" spans="1:31">
      <c r="A8408" t="s">
        <v>200</v>
      </c>
      <c r="B8408" t="s">
        <v>200</v>
      </c>
      <c r="C8408">
        <v>1948</v>
      </c>
      <c r="D8408" t="s">
        <v>200</v>
      </c>
      <c r="E8408">
        <v>1948</v>
      </c>
      <c r="F8408" s="3">
        <v>3.3799999999999997E-2</v>
      </c>
      <c r="G8408" s="3">
        <v>4.6699999999999998E-2</v>
      </c>
      <c r="H8408" s="3">
        <v>0.52600000000000002</v>
      </c>
      <c r="I8408" s="3">
        <v>6.7999999999999996E-3</v>
      </c>
      <c r="J8408" s="3">
        <v>8.3500000000000005E-2</v>
      </c>
      <c r="K8408" s="3">
        <v>8.1000000000000003E-2</v>
      </c>
      <c r="L8408" s="3">
        <v>3.1E-2</v>
      </c>
      <c r="M8408" s="3">
        <v>6.8099999999999994E-2</v>
      </c>
      <c r="N8408" s="3">
        <v>0.30520000000000003</v>
      </c>
      <c r="O8408" s="3">
        <v>0.26750000000000002</v>
      </c>
      <c r="P8408" s="3">
        <v>2.1299999999999999E-2</v>
      </c>
      <c r="Q8408" s="3">
        <v>0.1205</v>
      </c>
      <c r="R8408" s="3">
        <v>5.6599999999999998E-2</v>
      </c>
      <c r="S8408" s="3">
        <v>0.21149999999999999</v>
      </c>
      <c r="T8408" s="3">
        <v>3.56E-2</v>
      </c>
      <c r="U8408" s="3">
        <v>1.3100000000000001E-2</v>
      </c>
      <c r="V8408" s="3">
        <v>3.3E-3</v>
      </c>
      <c r="W8408" s="3">
        <v>0.1023</v>
      </c>
      <c r="X8408" s="3">
        <v>0.14940000000000001</v>
      </c>
      <c r="Y8408" s="3">
        <v>5.5100000000000003E-2</v>
      </c>
      <c r="Z8408" s="3">
        <v>6.4999999999999997E-3</v>
      </c>
      <c r="AA8408" s="3">
        <v>0.12920000000000001</v>
      </c>
      <c r="AB8408" s="3">
        <v>3.9699999999999999E-2</v>
      </c>
      <c r="AC8408" s="3">
        <v>1.5100000000000001E-2</v>
      </c>
      <c r="AD8408" s="3">
        <v>3.7100000000000001E-2</v>
      </c>
      <c r="AE8408" s="3">
        <v>8.5000000000000006E-3</v>
      </c>
    </row>
    <row r="8410" spans="1:31" ht="30">
      <c r="A8410" s="22" t="s">
        <v>1678</v>
      </c>
    </row>
    <row r="8411" spans="1:31">
      <c r="A8411" t="s">
        <v>185</v>
      </c>
      <c r="B8411" t="s">
        <v>186</v>
      </c>
      <c r="C8411" t="s">
        <v>192</v>
      </c>
      <c r="D8411" t="s">
        <v>184</v>
      </c>
      <c r="E8411" t="s">
        <v>193</v>
      </c>
      <c r="F8411" t="s">
        <v>1653</v>
      </c>
      <c r="G8411" t="s">
        <v>1654</v>
      </c>
      <c r="H8411" t="s">
        <v>1655</v>
      </c>
      <c r="I8411" t="s">
        <v>1656</v>
      </c>
      <c r="J8411" t="s">
        <v>1657</v>
      </c>
      <c r="K8411" t="s">
        <v>1658</v>
      </c>
      <c r="L8411" t="s">
        <v>1659</v>
      </c>
      <c r="M8411" t="s">
        <v>1660</v>
      </c>
      <c r="N8411" t="s">
        <v>1661</v>
      </c>
      <c r="O8411" t="s">
        <v>1662</v>
      </c>
      <c r="P8411" t="s">
        <v>1663</v>
      </c>
      <c r="Q8411" t="s">
        <v>1664</v>
      </c>
      <c r="R8411" t="s">
        <v>1665</v>
      </c>
      <c r="S8411" t="s">
        <v>329</v>
      </c>
      <c r="T8411" t="s">
        <v>1666</v>
      </c>
      <c r="U8411" t="s">
        <v>1667</v>
      </c>
      <c r="V8411" t="s">
        <v>274</v>
      </c>
      <c r="W8411" t="s">
        <v>1668</v>
      </c>
      <c r="X8411" t="s">
        <v>1669</v>
      </c>
      <c r="Y8411" t="s">
        <v>1670</v>
      </c>
      <c r="Z8411" t="s">
        <v>1671</v>
      </c>
      <c r="AA8411" t="s">
        <v>1672</v>
      </c>
      <c r="AB8411" t="s">
        <v>1673</v>
      </c>
      <c r="AC8411" t="s">
        <v>1674</v>
      </c>
      <c r="AD8411" t="s">
        <v>1675</v>
      </c>
      <c r="AE8411" t="s">
        <v>1676</v>
      </c>
    </row>
    <row r="8412" spans="1:31">
      <c r="A8412" t="s">
        <v>195</v>
      </c>
      <c r="B8412" t="s">
        <v>196</v>
      </c>
      <c r="C8412">
        <v>324</v>
      </c>
      <c r="D8412" t="s">
        <v>194</v>
      </c>
      <c r="E8412">
        <v>1948</v>
      </c>
      <c r="F8412" s="3">
        <v>3.0599999999999999E-2</v>
      </c>
      <c r="G8412" s="3">
        <v>0.1258</v>
      </c>
      <c r="H8412" s="3">
        <v>0.59430000000000005</v>
      </c>
      <c r="I8412" s="3">
        <v>6.3E-3</v>
      </c>
      <c r="J8412" s="3">
        <v>0.1046</v>
      </c>
      <c r="K8412" s="3">
        <v>0.11749999999999999</v>
      </c>
      <c r="L8412" s="3">
        <v>4.1700000000000001E-2</v>
      </c>
      <c r="M8412" s="3">
        <v>7.1300000000000002E-2</v>
      </c>
      <c r="N8412" s="3">
        <v>0.41649999999999998</v>
      </c>
      <c r="O8412" s="3">
        <v>0.27200000000000002</v>
      </c>
      <c r="P8412" s="3">
        <v>3.04E-2</v>
      </c>
      <c r="Q8412" s="3">
        <v>0.14050000000000001</v>
      </c>
      <c r="R8412" s="3">
        <v>9.8000000000000004E-2</v>
      </c>
      <c r="S8412" s="3">
        <v>0.11070000000000001</v>
      </c>
      <c r="T8412" s="3">
        <v>2.12E-2</v>
      </c>
      <c r="U8412" s="3">
        <v>1.72E-2</v>
      </c>
      <c r="V8412" s="3">
        <v>4.7000000000000002E-3</v>
      </c>
      <c r="W8412" s="3">
        <v>0.1449</v>
      </c>
      <c r="X8412" s="3">
        <v>0.1968</v>
      </c>
      <c r="Y8412" s="3">
        <v>3.0599999999999999E-2</v>
      </c>
      <c r="Z8412" s="3">
        <v>8.0000000000000002E-3</v>
      </c>
      <c r="AA8412" s="3">
        <v>0.18390000000000001</v>
      </c>
      <c r="AB8412" s="3">
        <v>3.2099999999999997E-2</v>
      </c>
      <c r="AC8412" s="3">
        <v>5.9999999999999995E-4</v>
      </c>
      <c r="AD8412" s="3">
        <v>4.6899999999999997E-2</v>
      </c>
      <c r="AE8412" s="3">
        <v>4.8999999999999998E-3</v>
      </c>
    </row>
    <row r="8413" spans="1:31">
      <c r="A8413" t="s">
        <v>195</v>
      </c>
      <c r="B8413" t="s">
        <v>198</v>
      </c>
      <c r="C8413">
        <v>581</v>
      </c>
      <c r="D8413" t="s">
        <v>194</v>
      </c>
      <c r="E8413">
        <v>1948</v>
      </c>
      <c r="F8413" s="3">
        <v>1.8800000000000001E-2</v>
      </c>
      <c r="G8413" s="3">
        <v>3.3399999999999999E-2</v>
      </c>
      <c r="H8413" s="3">
        <v>0.69969999999999999</v>
      </c>
      <c r="I8413" s="3">
        <v>9.1999999999999998E-3</v>
      </c>
      <c r="J8413" s="3">
        <v>0.12479999999999999</v>
      </c>
      <c r="K8413" s="3">
        <v>0.14580000000000001</v>
      </c>
      <c r="L8413" s="3">
        <v>3.2199999999999999E-2</v>
      </c>
      <c r="M8413" s="3">
        <v>0.106</v>
      </c>
      <c r="N8413" s="3">
        <v>0.38979999999999998</v>
      </c>
      <c r="O8413" s="3">
        <v>0.32940000000000003</v>
      </c>
      <c r="P8413" s="3">
        <v>3.3399999999999999E-2</v>
      </c>
      <c r="Q8413" s="3">
        <v>0.16109999999999999</v>
      </c>
      <c r="R8413" s="3">
        <v>0.1162</v>
      </c>
      <c r="S8413" s="3">
        <v>4.9299999999999997E-2</v>
      </c>
      <c r="T8413" s="3">
        <v>5.2699999999999997E-2</v>
      </c>
      <c r="U8413" s="3">
        <v>2.87E-2</v>
      </c>
      <c r="V8413" s="3">
        <v>4.1999999999999997E-3</v>
      </c>
      <c r="W8413" s="3">
        <v>0.16200000000000001</v>
      </c>
      <c r="X8413" s="3">
        <v>0.20799999999999999</v>
      </c>
      <c r="Y8413" s="3">
        <v>5.4800000000000001E-2</v>
      </c>
      <c r="Z8413" s="3">
        <v>8.0000000000000002E-3</v>
      </c>
      <c r="AA8413" s="3">
        <v>0.24010000000000001</v>
      </c>
      <c r="AB8413" s="3">
        <v>4.6899999999999997E-2</v>
      </c>
      <c r="AC8413" s="3">
        <v>1.0999999999999999E-2</v>
      </c>
      <c r="AD8413" s="3">
        <v>2.6700000000000002E-2</v>
      </c>
      <c r="AE8413" s="3">
        <v>9.2999999999999992E-3</v>
      </c>
    </row>
    <row r="8414" spans="1:31">
      <c r="A8414" t="s">
        <v>199</v>
      </c>
      <c r="B8414" t="s">
        <v>196</v>
      </c>
      <c r="C8414">
        <v>362</v>
      </c>
      <c r="D8414" t="s">
        <v>194</v>
      </c>
      <c r="E8414">
        <v>1948</v>
      </c>
      <c r="F8414" s="3">
        <v>3.49E-2</v>
      </c>
      <c r="G8414" s="3">
        <v>7.8299999999999995E-2</v>
      </c>
      <c r="H8414" s="3">
        <v>0.36249999999999999</v>
      </c>
      <c r="I8414" s="3">
        <v>1.04E-2</v>
      </c>
      <c r="J8414" s="3">
        <v>5.0999999999999997E-2</v>
      </c>
      <c r="K8414" s="3">
        <v>3.1800000000000002E-2</v>
      </c>
      <c r="L8414" s="3">
        <v>7.6799999999999993E-2</v>
      </c>
      <c r="M8414" s="3">
        <v>2.46E-2</v>
      </c>
      <c r="N8414" s="3">
        <v>0.17449999999999999</v>
      </c>
      <c r="O8414" s="3">
        <v>0.2717</v>
      </c>
      <c r="P8414" s="3">
        <v>1.2800000000000001E-2</v>
      </c>
      <c r="Q8414" s="3">
        <v>4.8000000000000001E-2</v>
      </c>
      <c r="R8414" s="3">
        <v>1.1999999999999999E-3</v>
      </c>
      <c r="S8414" s="3">
        <v>0.317</v>
      </c>
      <c r="T8414" s="3">
        <v>7.3000000000000001E-3</v>
      </c>
      <c r="U8414" s="3">
        <v>1E-3</v>
      </c>
      <c r="V8414" s="3">
        <v>2.5999999999999999E-3</v>
      </c>
      <c r="W8414" s="3">
        <v>4.5100000000000001E-2</v>
      </c>
      <c r="X8414" s="3">
        <v>8.0799999999999997E-2</v>
      </c>
      <c r="Y8414" s="3">
        <v>5.0799999999999998E-2</v>
      </c>
      <c r="Z8414" s="3">
        <v>2.5399999999999999E-2</v>
      </c>
      <c r="AA8414" s="3">
        <v>7.7200000000000005E-2</v>
      </c>
      <c r="AB8414" s="3">
        <v>4.19E-2</v>
      </c>
      <c r="AC8414" s="3">
        <v>2.0899999999999998E-2</v>
      </c>
      <c r="AD8414" s="3">
        <v>8.3699999999999997E-2</v>
      </c>
      <c r="AE8414" s="3">
        <v>2.6599999999999999E-2</v>
      </c>
    </row>
    <row r="8415" spans="1:31">
      <c r="A8415" t="s">
        <v>199</v>
      </c>
      <c r="B8415" t="s">
        <v>198</v>
      </c>
      <c r="C8415">
        <v>650</v>
      </c>
      <c r="D8415" t="s">
        <v>194</v>
      </c>
      <c r="E8415">
        <v>1948</v>
      </c>
      <c r="F8415" s="3">
        <v>4.7899999999999998E-2</v>
      </c>
      <c r="G8415" s="3">
        <v>2.5399999999999999E-2</v>
      </c>
      <c r="H8415" s="3">
        <v>0.38700000000000001</v>
      </c>
      <c r="I8415" s="3">
        <v>4.1999999999999997E-3</v>
      </c>
      <c r="J8415" s="3">
        <v>4.6899999999999997E-2</v>
      </c>
      <c r="K8415" s="3">
        <v>2.1000000000000001E-2</v>
      </c>
      <c r="L8415" s="3">
        <v>1.61E-2</v>
      </c>
      <c r="M8415" s="3">
        <v>4.2700000000000002E-2</v>
      </c>
      <c r="N8415" s="3">
        <v>0.2238</v>
      </c>
      <c r="O8415" s="3">
        <v>0.2094</v>
      </c>
      <c r="P8415" s="3">
        <v>9.4999999999999998E-3</v>
      </c>
      <c r="Q8415" s="3">
        <v>9.4899999999999998E-2</v>
      </c>
      <c r="R8415" s="3">
        <v>2.5999999999999999E-3</v>
      </c>
      <c r="S8415" s="3">
        <v>0.3654</v>
      </c>
      <c r="T8415" s="3">
        <v>3.1699999999999999E-2</v>
      </c>
      <c r="U8415" s="3">
        <v>5.0000000000000001E-4</v>
      </c>
      <c r="V8415" s="3">
        <v>2.0999999999999999E-3</v>
      </c>
      <c r="W8415" s="3">
        <v>4.7500000000000001E-2</v>
      </c>
      <c r="X8415" s="3">
        <v>9.7199999999999995E-2</v>
      </c>
      <c r="Y8415" s="3">
        <v>6.5000000000000002E-2</v>
      </c>
      <c r="Z8415" s="3">
        <v>5.0000000000000001E-4</v>
      </c>
      <c r="AA8415" s="3">
        <v>2.5499999999999998E-2</v>
      </c>
      <c r="AB8415" s="3">
        <v>3.5700000000000003E-2</v>
      </c>
      <c r="AC8415" s="3">
        <v>2.23E-2</v>
      </c>
      <c r="AD8415" s="3">
        <v>3.3099999999999997E-2</v>
      </c>
      <c r="AE8415" s="3">
        <v>5.1000000000000004E-3</v>
      </c>
    </row>
    <row r="8416" spans="1:31">
      <c r="A8416" t="s">
        <v>200</v>
      </c>
      <c r="B8416" t="s">
        <v>200</v>
      </c>
      <c r="C8416">
        <v>1948</v>
      </c>
      <c r="D8416" t="s">
        <v>200</v>
      </c>
      <c r="E8416">
        <v>1948</v>
      </c>
      <c r="F8416" s="3">
        <v>3.3799999999999997E-2</v>
      </c>
      <c r="G8416" s="3">
        <v>4.6699999999999998E-2</v>
      </c>
      <c r="H8416" s="3">
        <v>0.52600000000000002</v>
      </c>
      <c r="I8416" s="3">
        <v>6.7999999999999996E-3</v>
      </c>
      <c r="J8416" s="3">
        <v>8.3500000000000005E-2</v>
      </c>
      <c r="K8416" s="3">
        <v>8.1000000000000003E-2</v>
      </c>
      <c r="L8416" s="3">
        <v>3.1E-2</v>
      </c>
      <c r="M8416" s="3">
        <v>6.8099999999999994E-2</v>
      </c>
      <c r="N8416" s="3">
        <v>0.30520000000000003</v>
      </c>
      <c r="O8416" s="3">
        <v>0.26750000000000002</v>
      </c>
      <c r="P8416" s="3">
        <v>2.1299999999999999E-2</v>
      </c>
      <c r="Q8416" s="3">
        <v>0.1205</v>
      </c>
      <c r="R8416" s="3">
        <v>5.6599999999999998E-2</v>
      </c>
      <c r="S8416" s="3">
        <v>0.21149999999999999</v>
      </c>
      <c r="T8416" s="3">
        <v>3.56E-2</v>
      </c>
      <c r="U8416" s="3">
        <v>1.3100000000000001E-2</v>
      </c>
      <c r="V8416" s="3">
        <v>3.3E-3</v>
      </c>
      <c r="W8416" s="3">
        <v>0.1023</v>
      </c>
      <c r="X8416" s="3">
        <v>0.14940000000000001</v>
      </c>
      <c r="Y8416" s="3">
        <v>5.5100000000000003E-2</v>
      </c>
      <c r="Z8416" s="3">
        <v>6.4999999999999997E-3</v>
      </c>
      <c r="AA8416" s="3">
        <v>0.12920000000000001</v>
      </c>
      <c r="AB8416" s="3">
        <v>3.9699999999999999E-2</v>
      </c>
      <c r="AC8416" s="3">
        <v>1.5100000000000001E-2</v>
      </c>
      <c r="AD8416" s="3">
        <v>3.7100000000000001E-2</v>
      </c>
      <c r="AE8416" s="3">
        <v>8.5000000000000006E-3</v>
      </c>
    </row>
    <row r="8418" spans="1:31" ht="45">
      <c r="A8418" s="22" t="s">
        <v>1679</v>
      </c>
    </row>
    <row r="8419" spans="1:31">
      <c r="A8419" t="s">
        <v>185</v>
      </c>
      <c r="B8419" t="s">
        <v>186</v>
      </c>
      <c r="C8419" t="s">
        <v>192</v>
      </c>
      <c r="D8419" t="s">
        <v>184</v>
      </c>
      <c r="E8419" t="s">
        <v>193</v>
      </c>
      <c r="F8419" t="s">
        <v>1653</v>
      </c>
      <c r="G8419" t="s">
        <v>1654</v>
      </c>
      <c r="H8419" t="s">
        <v>1655</v>
      </c>
      <c r="I8419" t="s">
        <v>1656</v>
      </c>
      <c r="J8419" t="s">
        <v>1657</v>
      </c>
      <c r="K8419" t="s">
        <v>1658</v>
      </c>
      <c r="L8419" t="s">
        <v>1659</v>
      </c>
      <c r="M8419" t="s">
        <v>1660</v>
      </c>
      <c r="N8419" t="s">
        <v>1661</v>
      </c>
      <c r="O8419" t="s">
        <v>1662</v>
      </c>
      <c r="P8419" t="s">
        <v>1663</v>
      </c>
      <c r="Q8419" t="s">
        <v>1664</v>
      </c>
      <c r="R8419" t="s">
        <v>1665</v>
      </c>
      <c r="S8419" t="s">
        <v>329</v>
      </c>
      <c r="T8419" t="s">
        <v>1666</v>
      </c>
      <c r="U8419" t="s">
        <v>1667</v>
      </c>
      <c r="V8419" t="s">
        <v>274</v>
      </c>
      <c r="W8419" t="s">
        <v>1668</v>
      </c>
      <c r="X8419" t="s">
        <v>1669</v>
      </c>
      <c r="Y8419" t="s">
        <v>1670</v>
      </c>
      <c r="Z8419" t="s">
        <v>1671</v>
      </c>
      <c r="AA8419" t="s">
        <v>1672</v>
      </c>
      <c r="AB8419" t="s">
        <v>1673</v>
      </c>
      <c r="AC8419" t="s">
        <v>1674</v>
      </c>
      <c r="AD8419" t="s">
        <v>1675</v>
      </c>
      <c r="AE8419" t="s">
        <v>1676</v>
      </c>
    </row>
    <row r="8420" spans="1:31">
      <c r="A8420" t="s">
        <v>195</v>
      </c>
      <c r="B8420" t="s">
        <v>202</v>
      </c>
      <c r="C8420">
        <v>405</v>
      </c>
      <c r="D8420" t="s">
        <v>194</v>
      </c>
      <c r="E8420">
        <v>1948</v>
      </c>
      <c r="F8420" s="3">
        <v>2.23E-2</v>
      </c>
      <c r="G8420" s="3">
        <v>5.5899999999999998E-2</v>
      </c>
      <c r="H8420" s="3">
        <v>0.6331</v>
      </c>
      <c r="I8420" s="3">
        <v>7.4999999999999997E-3</v>
      </c>
      <c r="J8420" s="3">
        <v>0.13539999999999999</v>
      </c>
      <c r="K8420" s="3">
        <v>0.15290000000000001</v>
      </c>
      <c r="L8420" s="3">
        <v>3.3399999999999999E-2</v>
      </c>
      <c r="M8420" s="3">
        <v>9.4700000000000006E-2</v>
      </c>
      <c r="N8420" s="3">
        <v>0.41670000000000001</v>
      </c>
      <c r="O8420" s="3">
        <v>0.34</v>
      </c>
      <c r="P8420" s="3">
        <v>3.6499999999999998E-2</v>
      </c>
      <c r="Q8420" s="3">
        <v>0.14119999999999999</v>
      </c>
      <c r="R8420" s="3">
        <v>0.11650000000000001</v>
      </c>
      <c r="S8420" s="3">
        <v>7.1599999999999997E-2</v>
      </c>
      <c r="T8420" s="3">
        <v>5.5100000000000003E-2</v>
      </c>
      <c r="U8420" s="3">
        <v>2.9899999999999999E-2</v>
      </c>
      <c r="V8420" s="3">
        <v>1.6999999999999999E-3</v>
      </c>
      <c r="W8420" s="3">
        <v>0.1472</v>
      </c>
      <c r="X8420" s="3">
        <v>0.18310000000000001</v>
      </c>
      <c r="Y8420" s="3">
        <v>5.7799999999999997E-2</v>
      </c>
      <c r="Z8420" s="3">
        <v>1.17E-2</v>
      </c>
      <c r="AA8420" s="3">
        <v>0.19700000000000001</v>
      </c>
      <c r="AB8420" s="3">
        <v>4.3400000000000001E-2</v>
      </c>
      <c r="AC8420" s="3">
        <v>8.8000000000000005E-3</v>
      </c>
      <c r="AD8420" s="3">
        <v>3.85E-2</v>
      </c>
      <c r="AE8420" s="3">
        <v>2.3E-3</v>
      </c>
    </row>
    <row r="8421" spans="1:31">
      <c r="A8421" t="s">
        <v>195</v>
      </c>
      <c r="B8421" t="s">
        <v>204</v>
      </c>
      <c r="C8421">
        <v>240</v>
      </c>
      <c r="D8421" t="s">
        <v>194</v>
      </c>
      <c r="E8421">
        <v>1948</v>
      </c>
      <c r="F8421" s="3">
        <v>2.0500000000000001E-2</v>
      </c>
      <c r="G8421" s="3">
        <v>6.8699999999999997E-2</v>
      </c>
      <c r="H8421" s="3">
        <v>0.71840000000000004</v>
      </c>
      <c r="I8421" s="3">
        <v>1.44E-2</v>
      </c>
      <c r="J8421" s="3">
        <v>7.8799999999999995E-2</v>
      </c>
      <c r="K8421" s="3">
        <v>0.1356</v>
      </c>
      <c r="L8421" s="3">
        <v>4.2700000000000002E-2</v>
      </c>
      <c r="M8421" s="3">
        <v>9.1200000000000003E-2</v>
      </c>
      <c r="N8421" s="3">
        <v>0.34899999999999998</v>
      </c>
      <c r="O8421" s="3">
        <v>0.22489999999999999</v>
      </c>
      <c r="P8421" s="3">
        <v>2.9499999999999998E-2</v>
      </c>
      <c r="Q8421" s="3">
        <v>9.7199999999999995E-2</v>
      </c>
      <c r="R8421" s="3">
        <v>0.1348</v>
      </c>
      <c r="S8421" s="3">
        <v>8.0199999999999994E-2</v>
      </c>
      <c r="T8421" s="3">
        <v>1.49E-2</v>
      </c>
      <c r="U8421" s="3">
        <v>2.6200000000000001E-2</v>
      </c>
      <c r="V8421" s="3">
        <v>9.7000000000000003E-3</v>
      </c>
      <c r="W8421" s="3">
        <v>0.1462</v>
      </c>
      <c r="X8421" s="3">
        <v>0.2417</v>
      </c>
      <c r="Y8421" s="3">
        <v>3.32E-2</v>
      </c>
      <c r="Z8421" s="3">
        <v>2.5000000000000001E-3</v>
      </c>
      <c r="AA8421" s="3">
        <v>0.31080000000000002</v>
      </c>
      <c r="AB8421" s="3">
        <v>3.4599999999999999E-2</v>
      </c>
      <c r="AC8421" s="3">
        <v>5.5999999999999999E-3</v>
      </c>
      <c r="AD8421" s="3">
        <v>1.3599999999999999E-2</v>
      </c>
      <c r="AE8421" s="3">
        <v>2.52E-2</v>
      </c>
    </row>
    <row r="8422" spans="1:31">
      <c r="A8422" t="s">
        <v>195</v>
      </c>
      <c r="B8422" t="s">
        <v>205</v>
      </c>
      <c r="C8422">
        <v>260</v>
      </c>
      <c r="D8422" t="s">
        <v>194</v>
      </c>
      <c r="E8422">
        <v>1948</v>
      </c>
      <c r="F8422" s="3">
        <v>2.3199999999999998E-2</v>
      </c>
      <c r="G8422" s="3">
        <v>5.5300000000000002E-2</v>
      </c>
      <c r="H8422" s="3">
        <v>0.76759999999999995</v>
      </c>
      <c r="I8422" s="3">
        <v>3.3E-3</v>
      </c>
      <c r="J8422" s="3">
        <v>0.1087</v>
      </c>
      <c r="K8422" s="3">
        <v>7.6200000000000004E-2</v>
      </c>
      <c r="L8422" s="3">
        <v>2.8799999999999999E-2</v>
      </c>
      <c r="M8422" s="3">
        <v>0.1128</v>
      </c>
      <c r="N8422" s="3">
        <v>0.38240000000000002</v>
      </c>
      <c r="O8422" s="3">
        <v>0.33090000000000003</v>
      </c>
      <c r="P8422" s="3">
        <v>2.01E-2</v>
      </c>
      <c r="Q8422" s="3">
        <v>0.30640000000000001</v>
      </c>
      <c r="R8422" s="3">
        <v>5.2699999999999997E-2</v>
      </c>
      <c r="S8422" s="3">
        <v>0.02</v>
      </c>
      <c r="T8422" s="3">
        <v>3.9699999999999999E-2</v>
      </c>
      <c r="U8422" s="3">
        <v>5.1000000000000004E-3</v>
      </c>
      <c r="V8422" s="3">
        <v>7.9000000000000008E-3</v>
      </c>
      <c r="W8422" s="3">
        <v>0.21940000000000001</v>
      </c>
      <c r="X8422" s="3">
        <v>0.24679999999999999</v>
      </c>
      <c r="Y8422" s="3">
        <v>2.8000000000000001E-2</v>
      </c>
      <c r="AA8422" s="3">
        <v>0.21859999999999999</v>
      </c>
      <c r="AB8422" s="3">
        <v>5.28E-2</v>
      </c>
      <c r="AC8422" s="3">
        <v>9.2999999999999992E-3</v>
      </c>
      <c r="AD8422" s="3">
        <v>3.2199999999999999E-2</v>
      </c>
      <c r="AE8422" s="3">
        <v>8.0000000000000002E-3</v>
      </c>
    </row>
    <row r="8423" spans="1:31">
      <c r="A8423" t="s">
        <v>199</v>
      </c>
      <c r="B8423" t="s">
        <v>202</v>
      </c>
      <c r="C8423">
        <v>314</v>
      </c>
      <c r="D8423" t="s">
        <v>194</v>
      </c>
      <c r="E8423">
        <v>1948</v>
      </c>
      <c r="F8423" s="3">
        <v>4.5699999999999998E-2</v>
      </c>
      <c r="G8423" s="3">
        <v>1.9699999999999999E-2</v>
      </c>
      <c r="H8423" s="3">
        <v>0.24690000000000001</v>
      </c>
      <c r="I8423" s="3">
        <v>3.5000000000000001E-3</v>
      </c>
      <c r="J8423" s="3">
        <v>2.3400000000000001E-2</v>
      </c>
      <c r="K8423" s="3">
        <v>8.9999999999999993E-3</v>
      </c>
      <c r="L8423" s="3">
        <v>2.1299999999999999E-2</v>
      </c>
      <c r="M8423" s="3">
        <v>1.4800000000000001E-2</v>
      </c>
      <c r="N8423" s="3">
        <v>0.1736</v>
      </c>
      <c r="O8423" s="3">
        <v>0.20630000000000001</v>
      </c>
      <c r="P8423" s="3">
        <v>9.4000000000000004E-3</v>
      </c>
      <c r="Q8423" s="3">
        <v>6.5000000000000002E-2</v>
      </c>
      <c r="R8423" s="3">
        <v>2.0000000000000001E-4</v>
      </c>
      <c r="S8423" s="3">
        <v>0.44890000000000002</v>
      </c>
      <c r="T8423" s="3">
        <v>3.1699999999999999E-2</v>
      </c>
      <c r="V8423" s="3">
        <v>6.9999999999999999E-4</v>
      </c>
      <c r="W8423" s="3">
        <v>3.8100000000000002E-2</v>
      </c>
      <c r="X8423" s="3">
        <v>7.2300000000000003E-2</v>
      </c>
      <c r="Y8423" s="3">
        <v>5.4199999999999998E-2</v>
      </c>
      <c r="Z8423" s="3">
        <v>4.8999999999999998E-3</v>
      </c>
      <c r="AA8423" s="3">
        <v>3.49E-2</v>
      </c>
      <c r="AB8423" s="3">
        <v>3.7100000000000001E-2</v>
      </c>
      <c r="AC8423" s="3">
        <v>2.0899999999999998E-2</v>
      </c>
      <c r="AD8423" s="3">
        <v>1.4999999999999999E-2</v>
      </c>
      <c r="AE8423" s="3">
        <v>6.7000000000000002E-3</v>
      </c>
    </row>
    <row r="8424" spans="1:31">
      <c r="A8424" t="s">
        <v>199</v>
      </c>
      <c r="B8424" t="s">
        <v>204</v>
      </c>
      <c r="C8424">
        <v>320</v>
      </c>
      <c r="D8424" t="s">
        <v>194</v>
      </c>
      <c r="E8424">
        <v>1948</v>
      </c>
      <c r="F8424" s="3">
        <v>5.4300000000000001E-2</v>
      </c>
      <c r="G8424" s="3">
        <v>6.0199999999999997E-2</v>
      </c>
      <c r="H8424" s="3">
        <v>0.57820000000000005</v>
      </c>
      <c r="I8424" s="3">
        <v>1.0699999999999999E-2</v>
      </c>
      <c r="J8424" s="3">
        <v>4.3299999999999998E-2</v>
      </c>
      <c r="K8424" s="3">
        <v>1.6500000000000001E-2</v>
      </c>
      <c r="L8424" s="3">
        <v>2.9100000000000001E-2</v>
      </c>
      <c r="M8424" s="3">
        <v>5.2600000000000001E-2</v>
      </c>
      <c r="N8424" s="3">
        <v>0.2135</v>
      </c>
      <c r="O8424" s="3">
        <v>0.26440000000000002</v>
      </c>
      <c r="P8424" s="3">
        <v>1.5299999999999999E-2</v>
      </c>
      <c r="Q8424" s="3">
        <v>0.12909999999999999</v>
      </c>
      <c r="R8424" s="3">
        <v>6.1999999999999998E-3</v>
      </c>
      <c r="S8424" s="3">
        <v>0.2238</v>
      </c>
      <c r="T8424" s="3">
        <v>2.52E-2</v>
      </c>
      <c r="V8424" s="3">
        <v>1E-4</v>
      </c>
      <c r="W8424" s="3">
        <v>4.58E-2</v>
      </c>
      <c r="X8424" s="3">
        <v>0.13120000000000001</v>
      </c>
      <c r="Y8424" s="3">
        <v>7.0499999999999993E-2</v>
      </c>
      <c r="Z8424" s="3">
        <v>9.1000000000000004E-3</v>
      </c>
      <c r="AA8424" s="3">
        <v>1.89E-2</v>
      </c>
      <c r="AB8424" s="3">
        <v>2.35E-2</v>
      </c>
      <c r="AC8424" s="3">
        <v>1.4999999999999999E-2</v>
      </c>
      <c r="AD8424" s="3">
        <v>0.11600000000000001</v>
      </c>
      <c r="AE8424" s="3">
        <v>1.6899999999999998E-2</v>
      </c>
    </row>
    <row r="8425" spans="1:31">
      <c r="A8425" t="s">
        <v>199</v>
      </c>
      <c r="B8425" t="s">
        <v>205</v>
      </c>
      <c r="C8425">
        <v>378</v>
      </c>
      <c r="D8425" t="s">
        <v>194</v>
      </c>
      <c r="E8425">
        <v>1948</v>
      </c>
      <c r="F8425" s="3">
        <v>3.6600000000000001E-2</v>
      </c>
      <c r="G8425" s="3">
        <v>4.5999999999999999E-2</v>
      </c>
      <c r="H8425" s="3">
        <v>0.5071</v>
      </c>
      <c r="I8425" s="3">
        <v>4.1999999999999997E-3</v>
      </c>
      <c r="J8425" s="3">
        <v>0.10879999999999999</v>
      </c>
      <c r="K8425" s="3">
        <v>6.1800000000000001E-2</v>
      </c>
      <c r="L8425" s="3">
        <v>3.8800000000000001E-2</v>
      </c>
      <c r="M8425" s="3">
        <v>8.4099999999999994E-2</v>
      </c>
      <c r="N8425" s="3">
        <v>0.31269999999999998</v>
      </c>
      <c r="O8425" s="3">
        <v>0.2112</v>
      </c>
      <c r="P8425" s="3">
        <v>6.7000000000000002E-3</v>
      </c>
      <c r="Q8425" s="3">
        <v>9.4600000000000004E-2</v>
      </c>
      <c r="R8425" s="3">
        <v>3.5999999999999999E-3</v>
      </c>
      <c r="S8425" s="3">
        <v>0.27179999999999999</v>
      </c>
      <c r="T8425" s="3">
        <v>1.9E-2</v>
      </c>
      <c r="U8425" s="3">
        <v>2.7000000000000001E-3</v>
      </c>
      <c r="V8425" s="3">
        <v>7.7000000000000002E-3</v>
      </c>
      <c r="W8425" s="3">
        <v>6.9099999999999995E-2</v>
      </c>
      <c r="X8425" s="3">
        <v>0.10920000000000001</v>
      </c>
      <c r="Y8425" s="3">
        <v>7.3899999999999993E-2</v>
      </c>
      <c r="Z8425" s="3">
        <v>1.1000000000000001E-3</v>
      </c>
      <c r="AA8425" s="3">
        <v>5.0599999999999999E-2</v>
      </c>
      <c r="AB8425" s="3">
        <v>4.9299999999999997E-2</v>
      </c>
      <c r="AC8425" s="3">
        <v>3.1600000000000003E-2</v>
      </c>
      <c r="AD8425" s="3">
        <v>3.32E-2</v>
      </c>
      <c r="AE8425" s="3">
        <v>6.6E-3</v>
      </c>
    </row>
    <row r="8426" spans="1:31">
      <c r="A8426" t="s">
        <v>200</v>
      </c>
      <c r="B8426" t="s">
        <v>200</v>
      </c>
      <c r="C8426">
        <v>1948</v>
      </c>
      <c r="D8426" t="s">
        <v>200</v>
      </c>
      <c r="E8426">
        <v>1948</v>
      </c>
      <c r="F8426" s="3">
        <v>3.3799999999999997E-2</v>
      </c>
      <c r="G8426" s="3">
        <v>4.6699999999999998E-2</v>
      </c>
      <c r="H8426" s="3">
        <v>0.52600000000000002</v>
      </c>
      <c r="I8426" s="3">
        <v>6.7999999999999996E-3</v>
      </c>
      <c r="J8426" s="3">
        <v>8.3500000000000005E-2</v>
      </c>
      <c r="K8426" s="3">
        <v>8.1000000000000003E-2</v>
      </c>
      <c r="L8426" s="3">
        <v>3.1E-2</v>
      </c>
      <c r="M8426" s="3">
        <v>6.8099999999999994E-2</v>
      </c>
      <c r="N8426" s="3">
        <v>0.30520000000000003</v>
      </c>
      <c r="O8426" s="3">
        <v>0.26750000000000002</v>
      </c>
      <c r="P8426" s="3">
        <v>2.1299999999999999E-2</v>
      </c>
      <c r="Q8426" s="3">
        <v>0.1205</v>
      </c>
      <c r="R8426" s="3">
        <v>5.6599999999999998E-2</v>
      </c>
      <c r="S8426" s="3">
        <v>0.21149999999999999</v>
      </c>
      <c r="T8426" s="3">
        <v>3.56E-2</v>
      </c>
      <c r="U8426" s="3">
        <v>1.3100000000000001E-2</v>
      </c>
      <c r="V8426" s="3">
        <v>3.3E-3</v>
      </c>
      <c r="W8426" s="3">
        <v>0.1023</v>
      </c>
      <c r="X8426" s="3">
        <v>0.14940000000000001</v>
      </c>
      <c r="Y8426" s="3">
        <v>5.5100000000000003E-2</v>
      </c>
      <c r="Z8426" s="3">
        <v>6.4999999999999997E-3</v>
      </c>
      <c r="AA8426" s="3">
        <v>0.12920000000000001</v>
      </c>
      <c r="AB8426" s="3">
        <v>3.9699999999999999E-2</v>
      </c>
      <c r="AC8426" s="3">
        <v>1.5100000000000001E-2</v>
      </c>
      <c r="AD8426" s="3">
        <v>3.7100000000000001E-2</v>
      </c>
      <c r="AE8426" s="3">
        <v>8.5000000000000006E-3</v>
      </c>
    </row>
    <row r="8428" spans="1:31" ht="45">
      <c r="A8428" s="22" t="s">
        <v>1680</v>
      </c>
    </row>
    <row r="8429" spans="1:31">
      <c r="A8429" t="s">
        <v>185</v>
      </c>
      <c r="B8429" t="s">
        <v>186</v>
      </c>
      <c r="C8429" t="s">
        <v>192</v>
      </c>
      <c r="D8429" t="s">
        <v>184</v>
      </c>
      <c r="E8429" t="s">
        <v>193</v>
      </c>
      <c r="F8429" t="s">
        <v>1653</v>
      </c>
      <c r="G8429" t="s">
        <v>1654</v>
      </c>
      <c r="H8429" t="s">
        <v>1655</v>
      </c>
      <c r="I8429" t="s">
        <v>1656</v>
      </c>
      <c r="J8429" t="s">
        <v>1657</v>
      </c>
      <c r="K8429" t="s">
        <v>1658</v>
      </c>
      <c r="L8429" t="s">
        <v>1659</v>
      </c>
      <c r="M8429" t="s">
        <v>1660</v>
      </c>
      <c r="N8429" t="s">
        <v>1661</v>
      </c>
      <c r="O8429" t="s">
        <v>1662</v>
      </c>
      <c r="P8429" t="s">
        <v>1663</v>
      </c>
      <c r="Q8429" t="s">
        <v>1664</v>
      </c>
      <c r="R8429" t="s">
        <v>1665</v>
      </c>
      <c r="S8429" t="s">
        <v>329</v>
      </c>
      <c r="T8429" t="s">
        <v>1666</v>
      </c>
      <c r="U8429" t="s">
        <v>1667</v>
      </c>
      <c r="V8429" t="s">
        <v>274</v>
      </c>
      <c r="W8429" t="s">
        <v>1668</v>
      </c>
      <c r="X8429" t="s">
        <v>1669</v>
      </c>
      <c r="Y8429" t="s">
        <v>1670</v>
      </c>
      <c r="Z8429" t="s">
        <v>1671</v>
      </c>
      <c r="AA8429" t="s">
        <v>1672</v>
      </c>
      <c r="AB8429" t="s">
        <v>1673</v>
      </c>
      <c r="AC8429" t="s">
        <v>1674</v>
      </c>
      <c r="AD8429" t="s">
        <v>1675</v>
      </c>
      <c r="AE8429" t="s">
        <v>1676</v>
      </c>
    </row>
    <row r="8430" spans="1:31">
      <c r="A8430" t="s">
        <v>195</v>
      </c>
      <c r="B8430" t="s">
        <v>207</v>
      </c>
      <c r="C8430">
        <v>257</v>
      </c>
      <c r="D8430" t="s">
        <v>194</v>
      </c>
      <c r="E8430">
        <v>1948</v>
      </c>
      <c r="F8430" s="3">
        <v>3.1800000000000002E-2</v>
      </c>
      <c r="G8430" s="3">
        <v>8.7599999999999997E-2</v>
      </c>
      <c r="H8430" s="3">
        <v>0.65980000000000005</v>
      </c>
      <c r="I8430" s="3">
        <v>5.5999999999999999E-3</v>
      </c>
      <c r="J8430" s="3">
        <v>0.14030000000000001</v>
      </c>
      <c r="K8430" s="3">
        <v>0.1298</v>
      </c>
      <c r="L8430" s="3">
        <v>2.75E-2</v>
      </c>
      <c r="M8430" s="3">
        <v>0.13689999999999999</v>
      </c>
      <c r="N8430" s="3">
        <v>0.41320000000000001</v>
      </c>
      <c r="O8430" s="3">
        <v>0.49759999999999999</v>
      </c>
      <c r="P8430" s="3">
        <v>3.49E-2</v>
      </c>
      <c r="Q8430" s="3">
        <v>5.9900000000000002E-2</v>
      </c>
      <c r="R8430" s="3">
        <v>0.1162</v>
      </c>
      <c r="S8430" s="3">
        <v>3.0099999999999998E-2</v>
      </c>
      <c r="T8430" s="3">
        <v>5.6899999999999999E-2</v>
      </c>
      <c r="U8430" s="3">
        <v>1.3899999999999999E-2</v>
      </c>
      <c r="V8430" s="3">
        <v>7.9000000000000008E-3</v>
      </c>
      <c r="W8430" s="3">
        <v>0.2293</v>
      </c>
      <c r="X8430" s="3">
        <v>0.21199999999999999</v>
      </c>
      <c r="Y8430" s="3">
        <v>5.2999999999999999E-2</v>
      </c>
      <c r="Z8430" s="3">
        <v>1.49E-2</v>
      </c>
      <c r="AA8430" s="3">
        <v>0.20549999999999999</v>
      </c>
      <c r="AB8430" s="3">
        <v>6.2600000000000003E-2</v>
      </c>
      <c r="AD8430" s="3">
        <v>2.63E-2</v>
      </c>
      <c r="AE8430" s="3">
        <v>4.1999999999999997E-3</v>
      </c>
    </row>
    <row r="8431" spans="1:31">
      <c r="A8431" t="s">
        <v>195</v>
      </c>
      <c r="B8431" t="s">
        <v>209</v>
      </c>
      <c r="C8431">
        <v>664</v>
      </c>
      <c r="D8431" t="s">
        <v>194</v>
      </c>
      <c r="E8431">
        <v>1948</v>
      </c>
      <c r="F8431" s="3">
        <v>1.8499999999999999E-2</v>
      </c>
      <c r="G8431" s="3">
        <v>4.7899999999999998E-2</v>
      </c>
      <c r="H8431" s="3">
        <v>0.6734</v>
      </c>
      <c r="I8431" s="3">
        <v>9.2999999999999992E-3</v>
      </c>
      <c r="J8431" s="3">
        <v>0.11169999999999999</v>
      </c>
      <c r="K8431" s="3">
        <v>0.1429</v>
      </c>
      <c r="L8431" s="3">
        <v>3.7499999999999999E-2</v>
      </c>
      <c r="M8431" s="3">
        <v>8.2600000000000007E-2</v>
      </c>
      <c r="N8431" s="3">
        <v>0.39029999999999998</v>
      </c>
      <c r="O8431" s="3">
        <v>0.24940000000000001</v>
      </c>
      <c r="P8431" s="3">
        <v>3.1699999999999999E-2</v>
      </c>
      <c r="Q8431" s="3">
        <v>0.189</v>
      </c>
      <c r="R8431" s="3">
        <v>0.10929999999999999</v>
      </c>
      <c r="S8431" s="3">
        <v>7.85E-2</v>
      </c>
      <c r="T8431" s="3">
        <v>3.9399999999999998E-2</v>
      </c>
      <c r="U8431" s="3">
        <v>0.03</v>
      </c>
      <c r="V8431" s="3">
        <v>3.0000000000000001E-3</v>
      </c>
      <c r="W8431" s="3">
        <v>0.1323</v>
      </c>
      <c r="X8431" s="3">
        <v>0.20219999999999999</v>
      </c>
      <c r="Y8431" s="3">
        <v>4.6100000000000002E-2</v>
      </c>
      <c r="Z8431" s="3">
        <v>5.4999999999999997E-3</v>
      </c>
      <c r="AA8431" s="3">
        <v>0.23050000000000001</v>
      </c>
      <c r="AB8431" s="3">
        <v>3.5499999999999997E-2</v>
      </c>
      <c r="AC8431" s="3">
        <v>1.11E-2</v>
      </c>
      <c r="AD8431" s="3">
        <v>3.4099999999999998E-2</v>
      </c>
      <c r="AE8431" s="3">
        <v>9.4000000000000004E-3</v>
      </c>
    </row>
    <row r="8432" spans="1:31">
      <c r="A8432" t="s">
        <v>199</v>
      </c>
      <c r="B8432" t="s">
        <v>207</v>
      </c>
      <c r="C8432">
        <v>232</v>
      </c>
      <c r="D8432" t="s">
        <v>194</v>
      </c>
      <c r="E8432">
        <v>1948</v>
      </c>
      <c r="F8432" s="3">
        <v>3.6200000000000003E-2</v>
      </c>
      <c r="G8432" s="3">
        <v>6.0199999999999997E-2</v>
      </c>
      <c r="H8432" s="3">
        <v>0.53129999999999999</v>
      </c>
      <c r="I8432" s="3">
        <v>1.0500000000000001E-2</v>
      </c>
      <c r="J8432" s="3">
        <v>8.1199999999999994E-2</v>
      </c>
      <c r="K8432" s="3">
        <v>1.7500000000000002E-2</v>
      </c>
      <c r="L8432" s="3">
        <v>2.7699999999999999E-2</v>
      </c>
      <c r="M8432" s="3">
        <v>6.8599999999999994E-2</v>
      </c>
      <c r="N8432" s="3">
        <v>0.39629999999999999</v>
      </c>
      <c r="O8432" s="3">
        <v>0.41560000000000002</v>
      </c>
      <c r="P8432" s="3">
        <v>1.55E-2</v>
      </c>
      <c r="Q8432" s="3">
        <v>8.0799999999999997E-2</v>
      </c>
      <c r="R8432" s="3">
        <v>2.5999999999999999E-3</v>
      </c>
      <c r="S8432" s="3">
        <v>0.22420000000000001</v>
      </c>
      <c r="T8432" s="3">
        <v>1.77E-2</v>
      </c>
      <c r="U8432" s="3">
        <v>2.5999999999999999E-3</v>
      </c>
      <c r="V8432" s="3">
        <v>6.1999999999999998E-3</v>
      </c>
      <c r="W8432" s="3">
        <v>0.1023</v>
      </c>
      <c r="X8432" s="3">
        <v>0.18440000000000001</v>
      </c>
      <c r="Y8432" s="3">
        <v>2.8400000000000002E-2</v>
      </c>
      <c r="Z8432" s="3">
        <v>7.7000000000000002E-3</v>
      </c>
      <c r="AA8432" s="3">
        <v>6.0999999999999999E-2</v>
      </c>
      <c r="AB8432" s="3">
        <v>3.3000000000000002E-2</v>
      </c>
      <c r="AC8432" s="3">
        <v>1.5699999999999999E-2</v>
      </c>
      <c r="AD8432" s="3">
        <v>3.2800000000000003E-2</v>
      </c>
      <c r="AE8432" s="3">
        <v>7.9000000000000008E-3</v>
      </c>
    </row>
    <row r="8433" spans="1:31">
      <c r="A8433" t="s">
        <v>199</v>
      </c>
      <c r="B8433" t="s">
        <v>209</v>
      </c>
      <c r="C8433">
        <v>795</v>
      </c>
      <c r="D8433" t="s">
        <v>194</v>
      </c>
      <c r="E8433">
        <v>1948</v>
      </c>
      <c r="F8433" s="3">
        <v>4.7300000000000002E-2</v>
      </c>
      <c r="G8433" s="3">
        <v>3.0200000000000001E-2</v>
      </c>
      <c r="H8433" s="3">
        <v>0.35460000000000003</v>
      </c>
      <c r="I8433" s="3">
        <v>4.3E-3</v>
      </c>
      <c r="J8433" s="3">
        <v>4.1500000000000002E-2</v>
      </c>
      <c r="K8433" s="3">
        <v>2.3900000000000001E-2</v>
      </c>
      <c r="L8433" s="3">
        <v>2.7E-2</v>
      </c>
      <c r="M8433" s="3">
        <v>3.39E-2</v>
      </c>
      <c r="N8433" s="3">
        <v>0.18010000000000001</v>
      </c>
      <c r="O8433" s="3">
        <v>0.18329999999999999</v>
      </c>
      <c r="P8433" s="3">
        <v>9.1000000000000004E-3</v>
      </c>
      <c r="Q8433" s="3">
        <v>8.7300000000000003E-2</v>
      </c>
      <c r="R8433" s="3">
        <v>2.3E-3</v>
      </c>
      <c r="S8433" s="3">
        <v>0.38169999999999998</v>
      </c>
      <c r="T8433" s="3">
        <v>2.9000000000000001E-2</v>
      </c>
      <c r="U8433" s="3">
        <v>2.0000000000000001E-4</v>
      </c>
      <c r="V8433" s="3">
        <v>1.5E-3</v>
      </c>
      <c r="W8433" s="3">
        <v>3.6499999999999998E-2</v>
      </c>
      <c r="X8433" s="3">
        <v>7.7299999999999994E-2</v>
      </c>
      <c r="Y8433" s="3">
        <v>6.88E-2</v>
      </c>
      <c r="Z8433" s="3">
        <v>4.4999999999999997E-3</v>
      </c>
      <c r="AA8433" s="3">
        <v>2.9899999999999999E-2</v>
      </c>
      <c r="AB8433" s="3">
        <v>3.7499999999999999E-2</v>
      </c>
      <c r="AC8433" s="3">
        <v>2.3199999999999998E-2</v>
      </c>
      <c r="AD8433" s="3">
        <v>4.3900000000000002E-2</v>
      </c>
      <c r="AE8433" s="3">
        <v>9.1999999999999998E-3</v>
      </c>
    </row>
    <row r="8434" spans="1:31">
      <c r="A8434" t="s">
        <v>200</v>
      </c>
      <c r="B8434" t="s">
        <v>200</v>
      </c>
      <c r="C8434">
        <v>1948</v>
      </c>
      <c r="D8434" t="s">
        <v>200</v>
      </c>
      <c r="E8434">
        <v>1948</v>
      </c>
      <c r="F8434" s="3">
        <v>3.3799999999999997E-2</v>
      </c>
      <c r="G8434" s="3">
        <v>4.6699999999999998E-2</v>
      </c>
      <c r="H8434" s="3">
        <v>0.52600000000000002</v>
      </c>
      <c r="I8434" s="3">
        <v>6.7999999999999996E-3</v>
      </c>
      <c r="J8434" s="3">
        <v>8.3500000000000005E-2</v>
      </c>
      <c r="K8434" s="3">
        <v>8.1000000000000003E-2</v>
      </c>
      <c r="L8434" s="3">
        <v>3.1E-2</v>
      </c>
      <c r="M8434" s="3">
        <v>6.8099999999999994E-2</v>
      </c>
      <c r="N8434" s="3">
        <v>0.30520000000000003</v>
      </c>
      <c r="O8434" s="3">
        <v>0.26750000000000002</v>
      </c>
      <c r="P8434" s="3">
        <v>2.1299999999999999E-2</v>
      </c>
      <c r="Q8434" s="3">
        <v>0.1205</v>
      </c>
      <c r="R8434" s="3">
        <v>5.6599999999999998E-2</v>
      </c>
      <c r="S8434" s="3">
        <v>0.21149999999999999</v>
      </c>
      <c r="T8434" s="3">
        <v>3.56E-2</v>
      </c>
      <c r="U8434" s="3">
        <v>1.3100000000000001E-2</v>
      </c>
      <c r="V8434" s="3">
        <v>3.3E-3</v>
      </c>
      <c r="W8434" s="3">
        <v>0.1023</v>
      </c>
      <c r="X8434" s="3">
        <v>0.14940000000000001</v>
      </c>
      <c r="Y8434" s="3">
        <v>5.5100000000000003E-2</v>
      </c>
      <c r="Z8434" s="3">
        <v>6.4999999999999997E-3</v>
      </c>
      <c r="AA8434" s="3">
        <v>0.12920000000000001</v>
      </c>
      <c r="AB8434" s="3">
        <v>3.9699999999999999E-2</v>
      </c>
      <c r="AC8434" s="3">
        <v>1.5100000000000001E-2</v>
      </c>
      <c r="AD8434" s="3">
        <v>3.7100000000000001E-2</v>
      </c>
      <c r="AE8434" s="3">
        <v>8.5000000000000006E-3</v>
      </c>
    </row>
    <row r="8436" spans="1:31" ht="45">
      <c r="A8436" s="22" t="s">
        <v>1681</v>
      </c>
    </row>
    <row r="8437" spans="1:31">
      <c r="A8437" t="s">
        <v>185</v>
      </c>
      <c r="B8437" t="s">
        <v>192</v>
      </c>
      <c r="C8437" t="s">
        <v>184</v>
      </c>
      <c r="D8437" t="s">
        <v>193</v>
      </c>
      <c r="E8437" t="s">
        <v>1653</v>
      </c>
      <c r="F8437" t="s">
        <v>1654</v>
      </c>
      <c r="G8437" t="s">
        <v>1655</v>
      </c>
      <c r="H8437" t="s">
        <v>1656</v>
      </c>
      <c r="I8437" t="s">
        <v>1657</v>
      </c>
      <c r="J8437" t="s">
        <v>1658</v>
      </c>
      <c r="K8437" t="s">
        <v>1659</v>
      </c>
      <c r="L8437" t="s">
        <v>1660</v>
      </c>
      <c r="M8437" t="s">
        <v>1661</v>
      </c>
      <c r="N8437" t="s">
        <v>1662</v>
      </c>
      <c r="O8437" t="s">
        <v>1663</v>
      </c>
      <c r="P8437" t="s">
        <v>1664</v>
      </c>
      <c r="Q8437" t="s">
        <v>1665</v>
      </c>
      <c r="R8437" t="s">
        <v>329</v>
      </c>
      <c r="S8437" t="s">
        <v>1666</v>
      </c>
      <c r="T8437" t="s">
        <v>1667</v>
      </c>
      <c r="U8437" t="s">
        <v>274</v>
      </c>
      <c r="V8437" t="s">
        <v>1668</v>
      </c>
      <c r="W8437" t="s">
        <v>1669</v>
      </c>
      <c r="X8437" t="s">
        <v>1670</v>
      </c>
      <c r="Y8437" t="s">
        <v>1671</v>
      </c>
      <c r="Z8437" t="s">
        <v>1672</v>
      </c>
      <c r="AA8437" t="s">
        <v>1673</v>
      </c>
      <c r="AB8437" t="s">
        <v>1674</v>
      </c>
      <c r="AC8437" t="s">
        <v>1675</v>
      </c>
      <c r="AD8437" t="s">
        <v>1676</v>
      </c>
    </row>
    <row r="8438" spans="1:31">
      <c r="A8438" t="s">
        <v>195</v>
      </c>
      <c r="B8438">
        <v>921</v>
      </c>
      <c r="C8438" t="s">
        <v>194</v>
      </c>
      <c r="D8438">
        <v>1948</v>
      </c>
      <c r="E8438" s="3">
        <v>2.1999999999999999E-2</v>
      </c>
      <c r="F8438" s="3">
        <v>5.8400000000000001E-2</v>
      </c>
      <c r="G8438" s="3">
        <v>0.66979999999999995</v>
      </c>
      <c r="H8438" s="3">
        <v>8.3000000000000001E-3</v>
      </c>
      <c r="I8438" s="3">
        <v>0.1192</v>
      </c>
      <c r="J8438" s="3">
        <v>0.1394</v>
      </c>
      <c r="K8438" s="3">
        <v>3.49E-2</v>
      </c>
      <c r="L8438" s="3">
        <v>9.69E-2</v>
      </c>
      <c r="M8438" s="3">
        <v>0.39629999999999999</v>
      </c>
      <c r="N8438" s="3">
        <v>0.31490000000000001</v>
      </c>
      <c r="O8438" s="3">
        <v>3.2500000000000001E-2</v>
      </c>
      <c r="P8438" s="3">
        <v>0.15490000000000001</v>
      </c>
      <c r="Q8438" s="3">
        <v>0.1111</v>
      </c>
      <c r="R8438" s="3">
        <v>6.5799999999999997E-2</v>
      </c>
      <c r="S8438" s="3">
        <v>4.3999999999999997E-2</v>
      </c>
      <c r="T8438" s="3">
        <v>2.5700000000000001E-2</v>
      </c>
      <c r="U8438" s="3">
        <v>4.3E-3</v>
      </c>
      <c r="V8438" s="3">
        <v>0.15790000000000001</v>
      </c>
      <c r="W8438" s="3">
        <v>0.20480000000000001</v>
      </c>
      <c r="X8438" s="3">
        <v>4.7899999999999998E-2</v>
      </c>
      <c r="Y8438" s="3">
        <v>8.0000000000000002E-3</v>
      </c>
      <c r="Z8438" s="3">
        <v>0.22389999999999999</v>
      </c>
      <c r="AA8438" s="3">
        <v>4.2599999999999999E-2</v>
      </c>
      <c r="AB8438" s="3">
        <v>8.0999999999999996E-3</v>
      </c>
      <c r="AC8438" s="3">
        <v>3.2000000000000001E-2</v>
      </c>
      <c r="AD8438" s="3">
        <v>8.0000000000000002E-3</v>
      </c>
    </row>
    <row r="8439" spans="1:31">
      <c r="A8439" t="s">
        <v>199</v>
      </c>
      <c r="B8439">
        <v>1027</v>
      </c>
      <c r="C8439" t="s">
        <v>194</v>
      </c>
      <c r="D8439">
        <v>1948</v>
      </c>
      <c r="E8439" s="3">
        <v>4.5499999999999999E-2</v>
      </c>
      <c r="F8439" s="3">
        <v>3.5000000000000003E-2</v>
      </c>
      <c r="G8439" s="3">
        <v>0.38269999999999998</v>
      </c>
      <c r="H8439" s="3">
        <v>5.3E-3</v>
      </c>
      <c r="I8439" s="3">
        <v>4.7899999999999998E-2</v>
      </c>
      <c r="J8439" s="3">
        <v>2.29E-2</v>
      </c>
      <c r="K8439" s="3">
        <v>2.7099999999999999E-2</v>
      </c>
      <c r="L8439" s="3">
        <v>3.9399999999999998E-2</v>
      </c>
      <c r="M8439" s="3">
        <v>0.2145</v>
      </c>
      <c r="N8439" s="3">
        <v>0.2203</v>
      </c>
      <c r="O8439" s="3">
        <v>1.01E-2</v>
      </c>
      <c r="P8439" s="3">
        <v>8.6300000000000002E-2</v>
      </c>
      <c r="Q8439" s="3">
        <v>2.3E-3</v>
      </c>
      <c r="R8439" s="3">
        <v>0.35659999999999997</v>
      </c>
      <c r="S8439" s="3">
        <v>2.7199999999999998E-2</v>
      </c>
      <c r="T8439" s="3">
        <v>5.9999999999999995E-4</v>
      </c>
      <c r="U8439" s="3">
        <v>2.2000000000000001E-3</v>
      </c>
      <c r="V8439" s="3">
        <v>4.7E-2</v>
      </c>
      <c r="W8439" s="3">
        <v>9.4299999999999995E-2</v>
      </c>
      <c r="X8439" s="3">
        <v>6.2300000000000001E-2</v>
      </c>
      <c r="Y8439" s="3">
        <v>5.0000000000000001E-3</v>
      </c>
      <c r="Z8439" s="3">
        <v>3.49E-2</v>
      </c>
      <c r="AA8439" s="3">
        <v>3.6799999999999999E-2</v>
      </c>
      <c r="AB8439" s="3">
        <v>2.1999999999999999E-2</v>
      </c>
      <c r="AC8439" s="3">
        <v>4.2200000000000001E-2</v>
      </c>
      <c r="AD8439" s="3">
        <v>8.9999999999999993E-3</v>
      </c>
    </row>
    <row r="8440" spans="1:31">
      <c r="A8440" t="s">
        <v>200</v>
      </c>
      <c r="B8440">
        <v>1948</v>
      </c>
      <c r="C8440" t="s">
        <v>200</v>
      </c>
      <c r="D8440">
        <v>1948</v>
      </c>
      <c r="E8440" s="3">
        <v>3.3799999999999997E-2</v>
      </c>
      <c r="F8440" s="3">
        <v>4.6699999999999998E-2</v>
      </c>
      <c r="G8440" s="3">
        <v>0.52600000000000002</v>
      </c>
      <c r="H8440" s="3">
        <v>6.7999999999999996E-3</v>
      </c>
      <c r="I8440" s="3">
        <v>8.3500000000000005E-2</v>
      </c>
      <c r="J8440" s="3">
        <v>8.1000000000000003E-2</v>
      </c>
      <c r="K8440" s="3">
        <v>3.1E-2</v>
      </c>
      <c r="L8440" s="3">
        <v>6.8099999999999994E-2</v>
      </c>
      <c r="M8440" s="3">
        <v>0.30520000000000003</v>
      </c>
      <c r="N8440" s="3">
        <v>0.26750000000000002</v>
      </c>
      <c r="O8440" s="3">
        <v>2.1299999999999999E-2</v>
      </c>
      <c r="P8440" s="3">
        <v>0.1205</v>
      </c>
      <c r="Q8440" s="3">
        <v>5.6599999999999998E-2</v>
      </c>
      <c r="R8440" s="3">
        <v>0.21149999999999999</v>
      </c>
      <c r="S8440" s="3">
        <v>3.56E-2</v>
      </c>
      <c r="T8440" s="3">
        <v>1.3100000000000001E-2</v>
      </c>
      <c r="U8440" s="3">
        <v>3.3E-3</v>
      </c>
      <c r="V8440" s="3">
        <v>0.1023</v>
      </c>
      <c r="W8440" s="3">
        <v>0.14940000000000001</v>
      </c>
      <c r="X8440" s="3">
        <v>5.5100000000000003E-2</v>
      </c>
      <c r="Y8440" s="3">
        <v>6.4999999999999997E-3</v>
      </c>
      <c r="Z8440" s="3">
        <v>0.12920000000000001</v>
      </c>
      <c r="AA8440" s="3">
        <v>3.9699999999999999E-2</v>
      </c>
      <c r="AB8440" s="3">
        <v>1.5100000000000001E-2</v>
      </c>
      <c r="AC8440" s="3">
        <v>3.7100000000000001E-2</v>
      </c>
      <c r="AD8440" s="3">
        <v>8.5000000000000006E-3</v>
      </c>
    </row>
    <row r="8442" spans="1:31" ht="30">
      <c r="A8442" s="22" t="s">
        <v>1682</v>
      </c>
    </row>
    <row r="8443" spans="1:31">
      <c r="A8443" t="s">
        <v>185</v>
      </c>
      <c r="B8443" t="s">
        <v>186</v>
      </c>
      <c r="C8443" t="s">
        <v>192</v>
      </c>
      <c r="D8443" t="s">
        <v>184</v>
      </c>
      <c r="E8443" t="s">
        <v>193</v>
      </c>
      <c r="F8443" t="s">
        <v>1653</v>
      </c>
      <c r="G8443" t="s">
        <v>1654</v>
      </c>
      <c r="H8443" t="s">
        <v>1655</v>
      </c>
      <c r="I8443" t="s">
        <v>1656</v>
      </c>
      <c r="J8443" t="s">
        <v>1657</v>
      </c>
      <c r="K8443" t="s">
        <v>1658</v>
      </c>
      <c r="L8443" t="s">
        <v>1659</v>
      </c>
      <c r="M8443" t="s">
        <v>1660</v>
      </c>
      <c r="N8443" t="s">
        <v>1661</v>
      </c>
      <c r="O8443" t="s">
        <v>1662</v>
      </c>
      <c r="P8443" t="s">
        <v>1663</v>
      </c>
      <c r="Q8443" t="s">
        <v>1664</v>
      </c>
      <c r="R8443" t="s">
        <v>1665</v>
      </c>
      <c r="S8443" t="s">
        <v>329</v>
      </c>
      <c r="T8443" t="s">
        <v>1666</v>
      </c>
      <c r="U8443" t="s">
        <v>1667</v>
      </c>
      <c r="V8443" t="s">
        <v>274</v>
      </c>
      <c r="W8443" t="s">
        <v>1668</v>
      </c>
      <c r="X8443" t="s">
        <v>1669</v>
      </c>
      <c r="Y8443" t="s">
        <v>1670</v>
      </c>
      <c r="Z8443" t="s">
        <v>1671</v>
      </c>
      <c r="AA8443" t="s">
        <v>1672</v>
      </c>
      <c r="AB8443" t="s">
        <v>1673</v>
      </c>
      <c r="AC8443" t="s">
        <v>1674</v>
      </c>
      <c r="AD8443" t="s">
        <v>1675</v>
      </c>
      <c r="AE8443" t="s">
        <v>1676</v>
      </c>
    </row>
    <row r="8444" spans="1:31">
      <c r="A8444" t="s">
        <v>195</v>
      </c>
      <c r="B8444" t="s">
        <v>212</v>
      </c>
      <c r="C8444">
        <v>671</v>
      </c>
      <c r="D8444" t="s">
        <v>194</v>
      </c>
      <c r="E8444">
        <v>1948</v>
      </c>
      <c r="F8444" s="3">
        <v>2.7099999999999999E-2</v>
      </c>
      <c r="G8444" s="3">
        <v>6.3299999999999995E-2</v>
      </c>
      <c r="H8444" s="3">
        <v>0.67300000000000004</v>
      </c>
      <c r="I8444" s="3">
        <v>1.0500000000000001E-2</v>
      </c>
      <c r="J8444" s="3">
        <v>0.1208</v>
      </c>
      <c r="K8444" s="3">
        <v>0.15090000000000001</v>
      </c>
      <c r="L8444" s="3">
        <v>4.4299999999999999E-2</v>
      </c>
      <c r="M8444" s="3">
        <v>0.1118</v>
      </c>
      <c r="N8444" s="3">
        <v>0.36670000000000003</v>
      </c>
      <c r="O8444" s="3">
        <v>0.32169999999999999</v>
      </c>
      <c r="P8444" s="3">
        <v>3.7699999999999997E-2</v>
      </c>
      <c r="Q8444" s="3">
        <v>0.16520000000000001</v>
      </c>
      <c r="R8444" s="3">
        <v>0.1169</v>
      </c>
      <c r="S8444" s="3">
        <v>5.3100000000000001E-2</v>
      </c>
      <c r="T8444" s="3">
        <v>4.0899999999999999E-2</v>
      </c>
      <c r="U8444" s="3">
        <v>2.8000000000000001E-2</v>
      </c>
      <c r="V8444" s="3">
        <v>3.5000000000000001E-3</v>
      </c>
      <c r="W8444" s="3">
        <v>0.17069999999999999</v>
      </c>
      <c r="X8444" s="3">
        <v>0.2208</v>
      </c>
      <c r="Y8444" s="3">
        <v>5.3499999999999999E-2</v>
      </c>
      <c r="Z8444" s="3">
        <v>8.0999999999999996E-3</v>
      </c>
      <c r="AA8444" s="3">
        <v>0.22989999999999999</v>
      </c>
      <c r="AB8444" s="3">
        <v>3.4799999999999998E-2</v>
      </c>
      <c r="AC8444" s="3">
        <v>9.1999999999999998E-3</v>
      </c>
      <c r="AD8444" s="3">
        <v>2.7199999999999998E-2</v>
      </c>
      <c r="AE8444" s="3">
        <v>1.0699999999999999E-2</v>
      </c>
    </row>
    <row r="8445" spans="1:31">
      <c r="A8445" t="s">
        <v>195</v>
      </c>
      <c r="B8445" t="s">
        <v>214</v>
      </c>
      <c r="C8445">
        <v>145</v>
      </c>
      <c r="D8445" t="s">
        <v>194</v>
      </c>
      <c r="E8445">
        <v>1948</v>
      </c>
      <c r="F8445" s="3">
        <v>8.3999999999999995E-3</v>
      </c>
      <c r="G8445" s="3">
        <v>0.03</v>
      </c>
      <c r="H8445" s="3">
        <v>0.65780000000000005</v>
      </c>
      <c r="I8445" s="3">
        <v>5.0000000000000001E-4</v>
      </c>
      <c r="J8445" s="3">
        <v>0.1132</v>
      </c>
      <c r="K8445" s="3">
        <v>9.2299999999999993E-2</v>
      </c>
      <c r="M8445" s="3">
        <v>2.6599999999999999E-2</v>
      </c>
      <c r="N8445" s="3">
        <v>0.45879999999999999</v>
      </c>
      <c r="O8445" s="3">
        <v>0.25580000000000003</v>
      </c>
      <c r="P8445" s="3">
        <v>9.7000000000000003E-3</v>
      </c>
      <c r="Q8445" s="3">
        <v>9.0200000000000002E-2</v>
      </c>
      <c r="R8445" s="3">
        <v>9.5000000000000001E-2</v>
      </c>
      <c r="S8445" s="3">
        <v>0.1358</v>
      </c>
      <c r="T8445" s="3">
        <v>2.5700000000000001E-2</v>
      </c>
      <c r="U8445" s="3">
        <v>2.12E-2</v>
      </c>
      <c r="V8445" s="3">
        <v>2.8E-3</v>
      </c>
      <c r="W8445" s="3">
        <v>0.1188</v>
      </c>
      <c r="X8445" s="3">
        <v>0.17280000000000001</v>
      </c>
      <c r="Y8445" s="3">
        <v>8.0999999999999996E-3</v>
      </c>
      <c r="Z8445" s="3">
        <v>1.14E-2</v>
      </c>
      <c r="AA8445" s="3">
        <v>0.18940000000000001</v>
      </c>
      <c r="AB8445" s="3">
        <v>7.5999999999999998E-2</v>
      </c>
      <c r="AD8445" s="3">
        <v>6.1100000000000002E-2</v>
      </c>
    </row>
    <row r="8446" spans="1:31">
      <c r="A8446" t="s">
        <v>195</v>
      </c>
      <c r="B8446" t="s">
        <v>215</v>
      </c>
      <c r="C8446">
        <v>105</v>
      </c>
      <c r="D8446" t="s">
        <v>194</v>
      </c>
      <c r="E8446">
        <v>1948</v>
      </c>
      <c r="F8446" s="3">
        <v>3.3E-3</v>
      </c>
      <c r="G8446" s="3">
        <v>7.0800000000000002E-2</v>
      </c>
      <c r="H8446" s="3">
        <v>0.66500000000000004</v>
      </c>
      <c r="I8446" s="3">
        <v>4.4999999999999997E-3</v>
      </c>
      <c r="J8446" s="3">
        <v>0.1173</v>
      </c>
      <c r="K8446" s="3">
        <v>0.12959999999999999</v>
      </c>
      <c r="L8446" s="3">
        <v>1.9800000000000002E-2</v>
      </c>
      <c r="M8446" s="3">
        <v>0.10199999999999999</v>
      </c>
      <c r="N8446" s="3">
        <v>0.53749999999999998</v>
      </c>
      <c r="O8446" s="3">
        <v>0.36959999999999998</v>
      </c>
      <c r="P8446" s="3">
        <v>3.1300000000000001E-2</v>
      </c>
      <c r="Q8446" s="3">
        <v>0.1908</v>
      </c>
      <c r="R8446" s="3">
        <v>9.11E-2</v>
      </c>
      <c r="S8446" s="3">
        <v>4.1399999999999999E-2</v>
      </c>
      <c r="T8446" s="3">
        <v>0.10780000000000001</v>
      </c>
      <c r="U8446" s="3">
        <v>1.4200000000000001E-2</v>
      </c>
      <c r="V8446" s="3">
        <v>1.3899999999999999E-2</v>
      </c>
      <c r="W8446" s="3">
        <v>0.1197</v>
      </c>
      <c r="X8446" s="3">
        <v>0.12520000000000001</v>
      </c>
      <c r="Y8446" s="3">
        <v>7.6200000000000004E-2</v>
      </c>
      <c r="AA8446" s="3">
        <v>0.2384</v>
      </c>
      <c r="AB8446" s="3">
        <v>4.6600000000000003E-2</v>
      </c>
      <c r="AC8446" s="3">
        <v>1.4200000000000001E-2</v>
      </c>
      <c r="AD8446" s="3">
        <v>1.84E-2</v>
      </c>
    </row>
    <row r="8447" spans="1:31">
      <c r="A8447" t="s">
        <v>199</v>
      </c>
      <c r="B8447" t="s">
        <v>212</v>
      </c>
      <c r="C8447">
        <v>756</v>
      </c>
      <c r="D8447" t="s">
        <v>194</v>
      </c>
      <c r="E8447">
        <v>1948</v>
      </c>
      <c r="F8447" s="3">
        <v>4.4200000000000003E-2</v>
      </c>
      <c r="G8447" s="3">
        <v>3.1199999999999999E-2</v>
      </c>
      <c r="H8447" s="3">
        <v>0.40179999999999999</v>
      </c>
      <c r="I8447" s="3">
        <v>5.7000000000000002E-3</v>
      </c>
      <c r="J8447" s="3">
        <v>4.6199999999999998E-2</v>
      </c>
      <c r="K8447" s="3">
        <v>2.2800000000000001E-2</v>
      </c>
      <c r="L8447" s="3">
        <v>2.1399999999999999E-2</v>
      </c>
      <c r="M8447" s="3">
        <v>3.8899999999999997E-2</v>
      </c>
      <c r="N8447" s="3">
        <v>0.19739999999999999</v>
      </c>
      <c r="O8447" s="3">
        <v>0.21909999999999999</v>
      </c>
      <c r="P8447" s="3">
        <v>1.2500000000000001E-2</v>
      </c>
      <c r="Q8447" s="3">
        <v>8.0399999999999999E-2</v>
      </c>
      <c r="R8447" s="3">
        <v>3.0000000000000001E-3</v>
      </c>
      <c r="S8447" s="3">
        <v>0.38040000000000002</v>
      </c>
      <c r="T8447" s="3">
        <v>3.15E-2</v>
      </c>
      <c r="U8447" s="3">
        <v>8.0000000000000004E-4</v>
      </c>
      <c r="V8447" s="3">
        <v>1.8E-3</v>
      </c>
      <c r="W8447" s="3">
        <v>3.9800000000000002E-2</v>
      </c>
      <c r="X8447" s="3">
        <v>9.5100000000000004E-2</v>
      </c>
      <c r="Y8447" s="3">
        <v>5.2999999999999999E-2</v>
      </c>
      <c r="Z8447" s="3">
        <v>3.8999999999999998E-3</v>
      </c>
      <c r="AA8447" s="3">
        <v>3.0800000000000001E-2</v>
      </c>
      <c r="AB8447" s="3">
        <v>3.5099999999999999E-2</v>
      </c>
      <c r="AC8447" s="3">
        <v>2.6100000000000002E-2</v>
      </c>
      <c r="AD8447" s="3">
        <v>4.3999999999999997E-2</v>
      </c>
      <c r="AE8447" s="3">
        <v>7.1999999999999998E-3</v>
      </c>
    </row>
    <row r="8448" spans="1:31">
      <c r="A8448" t="s">
        <v>199</v>
      </c>
      <c r="B8448" t="s">
        <v>214</v>
      </c>
      <c r="C8448">
        <v>144</v>
      </c>
      <c r="D8448" t="s">
        <v>194</v>
      </c>
      <c r="E8448">
        <v>1948</v>
      </c>
      <c r="F8448" s="3">
        <v>3.6299999999999999E-2</v>
      </c>
      <c r="G8448" s="3">
        <v>3.6499999999999998E-2</v>
      </c>
      <c r="H8448" s="3">
        <v>0.29270000000000002</v>
      </c>
      <c r="I8448" s="3">
        <v>1.1999999999999999E-3</v>
      </c>
      <c r="J8448" s="3">
        <v>3.27E-2</v>
      </c>
      <c r="K8448" s="3">
        <v>3.3099999999999997E-2</v>
      </c>
      <c r="M8448" s="3">
        <v>1.24E-2</v>
      </c>
      <c r="N8448" s="3">
        <v>0.2843</v>
      </c>
      <c r="O8448" s="3">
        <v>0.27179999999999999</v>
      </c>
      <c r="P8448" s="3">
        <v>5.7999999999999996E-3</v>
      </c>
      <c r="Q8448" s="3">
        <v>0.1138</v>
      </c>
      <c r="R8448" s="3">
        <v>1.1000000000000001E-3</v>
      </c>
      <c r="S8448" s="3">
        <v>0.27639999999999998</v>
      </c>
      <c r="T8448" s="3">
        <v>1.4E-3</v>
      </c>
      <c r="V8448" s="3">
        <v>2.5000000000000001E-3</v>
      </c>
      <c r="W8448" s="3">
        <v>7.8299999999999995E-2</v>
      </c>
      <c r="X8448" s="3">
        <v>8.0399999999999999E-2</v>
      </c>
      <c r="Y8448" s="3">
        <v>0.1017</v>
      </c>
      <c r="Z8448" s="3">
        <v>7.1000000000000004E-3</v>
      </c>
      <c r="AA8448" s="3">
        <v>2.4E-2</v>
      </c>
      <c r="AB8448" s="3">
        <v>1.3599999999999999E-2</v>
      </c>
      <c r="AC8448" s="3">
        <v>7.1000000000000004E-3</v>
      </c>
      <c r="AD8448" s="3">
        <v>4.5499999999999999E-2</v>
      </c>
      <c r="AE8448" s="3">
        <v>1.72E-2</v>
      </c>
    </row>
    <row r="8449" spans="1:31">
      <c r="A8449" t="s">
        <v>199</v>
      </c>
      <c r="B8449" t="s">
        <v>215</v>
      </c>
      <c r="C8449">
        <v>127</v>
      </c>
      <c r="D8449" t="s">
        <v>194</v>
      </c>
      <c r="E8449">
        <v>1948</v>
      </c>
      <c r="F8449" s="3">
        <v>7.0900000000000005E-2</v>
      </c>
      <c r="G8449" s="3">
        <v>5.9700000000000003E-2</v>
      </c>
      <c r="H8449" s="3">
        <v>0.39800000000000002</v>
      </c>
      <c r="I8449" s="3">
        <v>9.1000000000000004E-3</v>
      </c>
      <c r="J8449" s="3">
        <v>8.5599999999999996E-2</v>
      </c>
      <c r="K8449" s="3">
        <v>5.8999999999999999E-3</v>
      </c>
      <c r="L8449" s="3">
        <v>0.1152</v>
      </c>
      <c r="M8449" s="3">
        <v>8.9300000000000004E-2</v>
      </c>
      <c r="N8449" s="3">
        <v>0.21990000000000001</v>
      </c>
      <c r="O8449" s="3">
        <v>0.14069999999999999</v>
      </c>
      <c r="Q8449" s="3">
        <v>8.1799999999999998E-2</v>
      </c>
      <c r="S8449" s="3">
        <v>0.32069999999999999</v>
      </c>
      <c r="T8449" s="3">
        <v>3.9899999999999998E-2</v>
      </c>
      <c r="V8449" s="3">
        <v>4.7999999999999996E-3</v>
      </c>
      <c r="W8449" s="3">
        <v>4.6100000000000002E-2</v>
      </c>
      <c r="X8449" s="3">
        <v>0.1125</v>
      </c>
      <c r="Y8449" s="3">
        <v>6.2899999999999998E-2</v>
      </c>
      <c r="Z8449" s="3">
        <v>9.1000000000000004E-3</v>
      </c>
      <c r="AA8449" s="3">
        <v>8.2799999999999999E-2</v>
      </c>
      <c r="AB8449" s="3">
        <v>8.8599999999999998E-2</v>
      </c>
      <c r="AC8449" s="3">
        <v>1.7600000000000001E-2</v>
      </c>
      <c r="AD8449" s="3">
        <v>2.3E-2</v>
      </c>
      <c r="AE8449" s="3">
        <v>7.4999999999999997E-3</v>
      </c>
    </row>
    <row r="8450" spans="1:31">
      <c r="A8450" t="s">
        <v>200</v>
      </c>
      <c r="B8450" t="s">
        <v>200</v>
      </c>
      <c r="C8450">
        <v>1948</v>
      </c>
      <c r="D8450" t="s">
        <v>200</v>
      </c>
      <c r="E8450">
        <v>1948</v>
      </c>
      <c r="F8450" s="3">
        <v>3.3799999999999997E-2</v>
      </c>
      <c r="G8450" s="3">
        <v>4.6699999999999998E-2</v>
      </c>
      <c r="H8450" s="3">
        <v>0.52600000000000002</v>
      </c>
      <c r="I8450" s="3">
        <v>6.7999999999999996E-3</v>
      </c>
      <c r="J8450" s="3">
        <v>8.3500000000000005E-2</v>
      </c>
      <c r="K8450" s="3">
        <v>8.1000000000000003E-2</v>
      </c>
      <c r="L8450" s="3">
        <v>3.1E-2</v>
      </c>
      <c r="M8450" s="3">
        <v>6.8099999999999994E-2</v>
      </c>
      <c r="N8450" s="3">
        <v>0.30520000000000003</v>
      </c>
      <c r="O8450" s="3">
        <v>0.26750000000000002</v>
      </c>
      <c r="P8450" s="3">
        <v>2.1299999999999999E-2</v>
      </c>
      <c r="Q8450" s="3">
        <v>0.1205</v>
      </c>
      <c r="R8450" s="3">
        <v>5.6599999999999998E-2</v>
      </c>
      <c r="S8450" s="3">
        <v>0.21149999999999999</v>
      </c>
      <c r="T8450" s="3">
        <v>3.56E-2</v>
      </c>
      <c r="U8450" s="3">
        <v>1.3100000000000001E-2</v>
      </c>
      <c r="V8450" s="3">
        <v>3.3E-3</v>
      </c>
      <c r="W8450" s="3">
        <v>0.1023</v>
      </c>
      <c r="X8450" s="3">
        <v>0.14940000000000001</v>
      </c>
      <c r="Y8450" s="3">
        <v>5.5100000000000003E-2</v>
      </c>
      <c r="Z8450" s="3">
        <v>6.4999999999999997E-3</v>
      </c>
      <c r="AA8450" s="3">
        <v>0.12920000000000001</v>
      </c>
      <c r="AB8450" s="3">
        <v>3.9699999999999999E-2</v>
      </c>
      <c r="AC8450" s="3">
        <v>1.5100000000000001E-2</v>
      </c>
      <c r="AD8450" s="3">
        <v>3.7100000000000001E-2</v>
      </c>
      <c r="AE8450" s="3">
        <v>8.5000000000000006E-3</v>
      </c>
    </row>
    <row r="8452" spans="1:31" ht="45">
      <c r="A8452" s="22" t="s">
        <v>1683</v>
      </c>
    </row>
    <row r="8453" spans="1:31">
      <c r="A8453" t="s">
        <v>185</v>
      </c>
      <c r="B8453" t="s">
        <v>186</v>
      </c>
      <c r="C8453" t="s">
        <v>192</v>
      </c>
      <c r="D8453" t="s">
        <v>184</v>
      </c>
      <c r="E8453" t="s">
        <v>193</v>
      </c>
      <c r="F8453" t="s">
        <v>1653</v>
      </c>
      <c r="G8453" t="s">
        <v>1654</v>
      </c>
      <c r="H8453" t="s">
        <v>1655</v>
      </c>
      <c r="I8453" t="s">
        <v>1656</v>
      </c>
      <c r="J8453" t="s">
        <v>1657</v>
      </c>
      <c r="K8453" t="s">
        <v>1658</v>
      </c>
      <c r="L8453" t="s">
        <v>1659</v>
      </c>
      <c r="M8453" t="s">
        <v>1660</v>
      </c>
      <c r="N8453" t="s">
        <v>1661</v>
      </c>
      <c r="O8453" t="s">
        <v>1662</v>
      </c>
      <c r="P8453" t="s">
        <v>1663</v>
      </c>
      <c r="Q8453" t="s">
        <v>1664</v>
      </c>
      <c r="R8453" t="s">
        <v>1665</v>
      </c>
      <c r="S8453" t="s">
        <v>329</v>
      </c>
      <c r="T8453" t="s">
        <v>1666</v>
      </c>
      <c r="U8453" t="s">
        <v>1667</v>
      </c>
      <c r="V8453" t="s">
        <v>274</v>
      </c>
      <c r="W8453" t="s">
        <v>1668</v>
      </c>
      <c r="X8453" t="s">
        <v>1669</v>
      </c>
      <c r="Y8453" t="s">
        <v>1670</v>
      </c>
      <c r="Z8453" t="s">
        <v>1671</v>
      </c>
      <c r="AA8453" t="s">
        <v>1672</v>
      </c>
      <c r="AB8453" t="s">
        <v>1673</v>
      </c>
      <c r="AC8453" t="s">
        <v>1674</v>
      </c>
      <c r="AD8453" t="s">
        <v>1675</v>
      </c>
      <c r="AE8453" t="s">
        <v>1676</v>
      </c>
    </row>
    <row r="8454" spans="1:31">
      <c r="A8454" t="s">
        <v>195</v>
      </c>
      <c r="B8454" t="s">
        <v>217</v>
      </c>
      <c r="C8454">
        <v>398</v>
      </c>
      <c r="D8454" t="s">
        <v>194</v>
      </c>
      <c r="E8454">
        <v>1948</v>
      </c>
      <c r="F8454" s="3">
        <v>1.15E-2</v>
      </c>
      <c r="G8454" s="3">
        <v>6.7699999999999996E-2</v>
      </c>
      <c r="H8454" s="3">
        <v>0.66069999999999995</v>
      </c>
      <c r="I8454" s="3">
        <v>8.3000000000000001E-3</v>
      </c>
      <c r="J8454" s="3">
        <v>0.1145</v>
      </c>
      <c r="K8454" s="3">
        <v>0.13880000000000001</v>
      </c>
      <c r="L8454" s="3">
        <v>4.02E-2</v>
      </c>
      <c r="M8454" s="3">
        <v>8.6400000000000005E-2</v>
      </c>
      <c r="N8454" s="3">
        <v>0.37430000000000002</v>
      </c>
      <c r="O8454" s="3">
        <v>0.32950000000000002</v>
      </c>
      <c r="P8454" s="3">
        <v>4.2700000000000002E-2</v>
      </c>
      <c r="Q8454" s="3">
        <v>0.20280000000000001</v>
      </c>
      <c r="R8454" s="3">
        <v>9.7299999999999998E-2</v>
      </c>
      <c r="S8454" s="3">
        <v>6.2399999999999997E-2</v>
      </c>
      <c r="T8454" s="3">
        <v>5.0599999999999999E-2</v>
      </c>
      <c r="U8454" s="3">
        <v>1.67E-2</v>
      </c>
      <c r="V8454" s="3">
        <v>6.4999999999999997E-3</v>
      </c>
      <c r="W8454" s="3">
        <v>0.14050000000000001</v>
      </c>
      <c r="X8454" s="3">
        <v>0.1867</v>
      </c>
      <c r="Y8454" s="3">
        <v>4.3900000000000002E-2</v>
      </c>
      <c r="Z8454" s="3">
        <v>3.0000000000000001E-3</v>
      </c>
      <c r="AA8454" s="3">
        <v>0.21990000000000001</v>
      </c>
      <c r="AB8454" s="3">
        <v>3.6400000000000002E-2</v>
      </c>
      <c r="AC8454" s="3">
        <v>9.7999999999999997E-3</v>
      </c>
      <c r="AD8454" s="3">
        <v>2.53E-2</v>
      </c>
      <c r="AE8454" s="3">
        <v>5.7000000000000002E-3</v>
      </c>
    </row>
    <row r="8455" spans="1:31">
      <c r="A8455" t="s">
        <v>195</v>
      </c>
      <c r="B8455" t="s">
        <v>219</v>
      </c>
      <c r="C8455">
        <v>396</v>
      </c>
      <c r="D8455" t="s">
        <v>194</v>
      </c>
      <c r="E8455">
        <v>1948</v>
      </c>
      <c r="F8455" s="3">
        <v>2.7699999999999999E-2</v>
      </c>
      <c r="G8455" s="3">
        <v>5.6800000000000003E-2</v>
      </c>
      <c r="H8455" s="3">
        <v>0.68189999999999995</v>
      </c>
      <c r="I8455" s="3">
        <v>5.4999999999999997E-3</v>
      </c>
      <c r="J8455" s="3">
        <v>0.15060000000000001</v>
      </c>
      <c r="K8455" s="3">
        <v>0.13880000000000001</v>
      </c>
      <c r="L8455" s="3">
        <v>3.4000000000000002E-2</v>
      </c>
      <c r="M8455" s="3">
        <v>0.1091</v>
      </c>
      <c r="N8455" s="3">
        <v>0.46899999999999997</v>
      </c>
      <c r="O8455" s="3">
        <v>0.31940000000000002</v>
      </c>
      <c r="P8455" s="3">
        <v>2.3E-2</v>
      </c>
      <c r="Q8455" s="3">
        <v>0.1159</v>
      </c>
      <c r="R8455" s="3">
        <v>8.4199999999999997E-2</v>
      </c>
      <c r="S8455" s="3">
        <v>4.7E-2</v>
      </c>
      <c r="T8455" s="3">
        <v>1.46E-2</v>
      </c>
      <c r="U8455" s="3">
        <v>2.4299999999999999E-2</v>
      </c>
      <c r="V8455" s="3">
        <v>2.7000000000000001E-3</v>
      </c>
      <c r="W8455" s="3">
        <v>0.20469999999999999</v>
      </c>
      <c r="X8455" s="3">
        <v>0.25940000000000002</v>
      </c>
      <c r="Y8455" s="3">
        <v>5.6000000000000001E-2</v>
      </c>
      <c r="Z8455" s="3">
        <v>4.5999999999999999E-3</v>
      </c>
      <c r="AA8455" s="3">
        <v>0.1933</v>
      </c>
      <c r="AB8455" s="3">
        <v>2.8799999999999999E-2</v>
      </c>
      <c r="AC8455" s="3">
        <v>0.01</v>
      </c>
      <c r="AD8455" s="3">
        <v>2.0299999999999999E-2</v>
      </c>
      <c r="AE8455" s="3">
        <v>8.6999999999999994E-3</v>
      </c>
    </row>
    <row r="8456" spans="1:31">
      <c r="A8456" t="s">
        <v>195</v>
      </c>
      <c r="B8456" t="s">
        <v>220</v>
      </c>
      <c r="C8456">
        <v>127</v>
      </c>
      <c r="D8456" t="s">
        <v>194</v>
      </c>
      <c r="E8456">
        <v>1948</v>
      </c>
      <c r="F8456" s="3">
        <v>3.5000000000000003E-2</v>
      </c>
      <c r="G8456" s="3">
        <v>3.95E-2</v>
      </c>
      <c r="H8456" s="3">
        <v>0.66600000000000004</v>
      </c>
      <c r="I8456" s="3">
        <v>1.4500000000000001E-2</v>
      </c>
      <c r="J8456" s="3">
        <v>6.3600000000000004E-2</v>
      </c>
      <c r="K8456" s="3">
        <v>0.14199999999999999</v>
      </c>
      <c r="L8456" s="3">
        <v>2.4E-2</v>
      </c>
      <c r="M8456" s="3">
        <v>9.5899999999999999E-2</v>
      </c>
      <c r="N8456" s="3">
        <v>0.29380000000000001</v>
      </c>
      <c r="O8456" s="3">
        <v>0.2702</v>
      </c>
      <c r="P8456" s="3">
        <v>2.86E-2</v>
      </c>
      <c r="Q8456" s="3">
        <v>0.1237</v>
      </c>
      <c r="R8456" s="3">
        <v>0.20169999999999999</v>
      </c>
      <c r="S8456" s="3">
        <v>0.1139</v>
      </c>
      <c r="T8456" s="3">
        <v>9.1200000000000003E-2</v>
      </c>
      <c r="U8456" s="3">
        <v>5.0200000000000002E-2</v>
      </c>
      <c r="V8456" s="3">
        <v>2.5000000000000001E-3</v>
      </c>
      <c r="W8456" s="3">
        <v>9.9099999999999994E-2</v>
      </c>
      <c r="X8456" s="3">
        <v>0.13109999999999999</v>
      </c>
      <c r="Y8456" s="3">
        <v>4.02E-2</v>
      </c>
      <c r="Z8456" s="3">
        <v>2.7099999999999999E-2</v>
      </c>
      <c r="AA8456" s="3">
        <v>0.29899999999999999</v>
      </c>
      <c r="AB8456" s="3">
        <v>8.7099999999999997E-2</v>
      </c>
      <c r="AD8456" s="3">
        <v>7.3300000000000004E-2</v>
      </c>
      <c r="AE8456" s="3">
        <v>1.23E-2</v>
      </c>
    </row>
    <row r="8457" spans="1:31">
      <c r="A8457" t="s">
        <v>199</v>
      </c>
      <c r="B8457" t="s">
        <v>217</v>
      </c>
      <c r="C8457">
        <v>547</v>
      </c>
      <c r="D8457" t="s">
        <v>194</v>
      </c>
      <c r="E8457">
        <v>1948</v>
      </c>
      <c r="F8457" s="3">
        <v>5.8799999999999998E-2</v>
      </c>
      <c r="G8457" s="3">
        <v>3.0800000000000001E-2</v>
      </c>
      <c r="H8457" s="3">
        <v>0.42320000000000002</v>
      </c>
      <c r="I8457" s="3">
        <v>4.4000000000000003E-3</v>
      </c>
      <c r="J8457" s="3">
        <v>4.3299999999999998E-2</v>
      </c>
      <c r="K8457" s="3">
        <v>2.75E-2</v>
      </c>
      <c r="L8457" s="3">
        <v>4.2200000000000001E-2</v>
      </c>
      <c r="M8457" s="3">
        <v>3.8800000000000001E-2</v>
      </c>
      <c r="N8457" s="3">
        <v>0.1726</v>
      </c>
      <c r="O8457" s="3">
        <v>0.21049999999999999</v>
      </c>
      <c r="P8457" s="3">
        <v>8.0999999999999996E-3</v>
      </c>
      <c r="Q8457" s="3">
        <v>8.3199999999999996E-2</v>
      </c>
      <c r="R8457" s="3">
        <v>2.3999999999999998E-3</v>
      </c>
      <c r="S8457" s="3">
        <v>0.33510000000000001</v>
      </c>
      <c r="T8457" s="3">
        <v>3.5999999999999997E-2</v>
      </c>
      <c r="U8457" s="3">
        <v>4.0000000000000002E-4</v>
      </c>
      <c r="V8457" s="3">
        <v>2E-3</v>
      </c>
      <c r="W8457" s="3">
        <v>4.1300000000000003E-2</v>
      </c>
      <c r="X8457" s="3">
        <v>8.5900000000000004E-2</v>
      </c>
      <c r="Y8457" s="3">
        <v>6.59E-2</v>
      </c>
      <c r="Z8457" s="3">
        <v>3.0000000000000001E-3</v>
      </c>
      <c r="AA8457" s="3">
        <v>4.4499999999999998E-2</v>
      </c>
      <c r="AB8457" s="3">
        <v>5.5300000000000002E-2</v>
      </c>
      <c r="AC8457" s="3">
        <v>3.3700000000000001E-2</v>
      </c>
      <c r="AD8457" s="3">
        <v>3.6999999999999998E-2</v>
      </c>
      <c r="AE8457" s="3">
        <v>6.1000000000000004E-3</v>
      </c>
    </row>
    <row r="8458" spans="1:31">
      <c r="A8458" t="s">
        <v>199</v>
      </c>
      <c r="B8458" t="s">
        <v>219</v>
      </c>
      <c r="C8458">
        <v>332</v>
      </c>
      <c r="D8458" t="s">
        <v>194</v>
      </c>
      <c r="E8458">
        <v>1948</v>
      </c>
      <c r="F8458" s="3">
        <v>3.7600000000000001E-2</v>
      </c>
      <c r="G8458" s="3">
        <v>4.7500000000000001E-2</v>
      </c>
      <c r="H8458" s="3">
        <v>0.3533</v>
      </c>
      <c r="I8458" s="3">
        <v>1.0500000000000001E-2</v>
      </c>
      <c r="J8458" s="3">
        <v>7.3099999999999998E-2</v>
      </c>
      <c r="K8458" s="3">
        <v>2.5000000000000001E-2</v>
      </c>
      <c r="L8458" s="3">
        <v>1.2699999999999999E-2</v>
      </c>
      <c r="M8458" s="3">
        <v>5.8999999999999997E-2</v>
      </c>
      <c r="N8458" s="3">
        <v>0.3463</v>
      </c>
      <c r="O8458" s="3">
        <v>0.29220000000000002</v>
      </c>
      <c r="P8458" s="3">
        <v>7.7999999999999996E-3</v>
      </c>
      <c r="Q8458" s="3">
        <v>0.1082</v>
      </c>
      <c r="R8458" s="3">
        <v>3.8E-3</v>
      </c>
      <c r="S8458" s="3">
        <v>0.32890000000000003</v>
      </c>
      <c r="T8458" s="3">
        <v>1.06E-2</v>
      </c>
      <c r="U8458" s="3">
        <v>1.5E-3</v>
      </c>
      <c r="V8458" s="3">
        <v>3.0000000000000001E-3</v>
      </c>
      <c r="W8458" s="3">
        <v>7.6499999999999999E-2</v>
      </c>
      <c r="X8458" s="3">
        <v>0.13700000000000001</v>
      </c>
      <c r="Y8458" s="3">
        <v>6.5199999999999994E-2</v>
      </c>
      <c r="Z8458" s="3">
        <v>8.6E-3</v>
      </c>
      <c r="AA8458" s="3">
        <v>3.0200000000000001E-2</v>
      </c>
      <c r="AB8458" s="3">
        <v>9.2999999999999992E-3</v>
      </c>
      <c r="AC8458" s="3">
        <v>1.1299999999999999E-2</v>
      </c>
      <c r="AD8458" s="3">
        <v>5.5800000000000002E-2</v>
      </c>
      <c r="AE8458" s="3">
        <v>1.46E-2</v>
      </c>
    </row>
    <row r="8459" spans="1:31">
      <c r="A8459" t="s">
        <v>199</v>
      </c>
      <c r="B8459" t="s">
        <v>220</v>
      </c>
      <c r="C8459">
        <v>148</v>
      </c>
      <c r="D8459" t="s">
        <v>194</v>
      </c>
      <c r="E8459">
        <v>1948</v>
      </c>
      <c r="F8459" s="3">
        <v>1.49E-2</v>
      </c>
      <c r="G8459" s="3">
        <v>2.9100000000000001E-2</v>
      </c>
      <c r="H8459" s="3">
        <v>0.29780000000000001</v>
      </c>
      <c r="J8459" s="3">
        <v>2.3900000000000001E-2</v>
      </c>
      <c r="K8459" s="3">
        <v>4.8999999999999998E-3</v>
      </c>
      <c r="L8459" s="3">
        <v>4.0000000000000002E-4</v>
      </c>
      <c r="M8459" s="3">
        <v>1.17E-2</v>
      </c>
      <c r="N8459" s="3">
        <v>0.1487</v>
      </c>
      <c r="O8459" s="3">
        <v>0.14230000000000001</v>
      </c>
      <c r="P8459" s="3">
        <v>2.0199999999999999E-2</v>
      </c>
      <c r="Q8459" s="3">
        <v>6.2700000000000006E-2</v>
      </c>
      <c r="S8459" s="3">
        <v>0.46739999999999998</v>
      </c>
      <c r="T8459" s="3">
        <v>2.4199999999999999E-2</v>
      </c>
      <c r="V8459" s="3">
        <v>1.9E-3</v>
      </c>
      <c r="W8459" s="3">
        <v>2.0400000000000001E-2</v>
      </c>
      <c r="X8459" s="3">
        <v>5.6500000000000002E-2</v>
      </c>
      <c r="Y8459" s="3">
        <v>4.65E-2</v>
      </c>
      <c r="Z8459" s="3">
        <v>5.8999999999999999E-3</v>
      </c>
      <c r="AA8459" s="3">
        <v>1.0999999999999999E-2</v>
      </c>
      <c r="AB8459" s="3">
        <v>1.9300000000000001E-2</v>
      </c>
      <c r="AC8459" s="3">
        <v>5.9999999999999995E-4</v>
      </c>
      <c r="AD8459" s="3">
        <v>3.7999999999999999E-2</v>
      </c>
      <c r="AE8459" s="3">
        <v>9.4999999999999998E-3</v>
      </c>
    </row>
    <row r="8460" spans="1:31">
      <c r="A8460" t="s">
        <v>200</v>
      </c>
      <c r="B8460" t="s">
        <v>200</v>
      </c>
      <c r="C8460">
        <v>1948</v>
      </c>
      <c r="D8460" t="s">
        <v>200</v>
      </c>
      <c r="E8460">
        <v>1948</v>
      </c>
      <c r="F8460" s="3">
        <v>3.3799999999999997E-2</v>
      </c>
      <c r="G8460" s="3">
        <v>4.6699999999999998E-2</v>
      </c>
      <c r="H8460" s="3">
        <v>0.52600000000000002</v>
      </c>
      <c r="I8460" s="3">
        <v>6.7999999999999996E-3</v>
      </c>
      <c r="J8460" s="3">
        <v>8.3500000000000005E-2</v>
      </c>
      <c r="K8460" s="3">
        <v>8.1000000000000003E-2</v>
      </c>
      <c r="L8460" s="3">
        <v>3.1E-2</v>
      </c>
      <c r="M8460" s="3">
        <v>6.8099999999999994E-2</v>
      </c>
      <c r="N8460" s="3">
        <v>0.30520000000000003</v>
      </c>
      <c r="O8460" s="3">
        <v>0.26750000000000002</v>
      </c>
      <c r="P8460" s="3">
        <v>2.1299999999999999E-2</v>
      </c>
      <c r="Q8460" s="3">
        <v>0.1205</v>
      </c>
      <c r="R8460" s="3">
        <v>5.6599999999999998E-2</v>
      </c>
      <c r="S8460" s="3">
        <v>0.21149999999999999</v>
      </c>
      <c r="T8460" s="3">
        <v>3.56E-2</v>
      </c>
      <c r="U8460" s="3">
        <v>1.3100000000000001E-2</v>
      </c>
      <c r="V8460" s="3">
        <v>3.3E-3</v>
      </c>
      <c r="W8460" s="3">
        <v>0.1023</v>
      </c>
      <c r="X8460" s="3">
        <v>0.14940000000000001</v>
      </c>
      <c r="Y8460" s="3">
        <v>5.5100000000000003E-2</v>
      </c>
      <c r="Z8460" s="3">
        <v>6.4999999999999997E-3</v>
      </c>
      <c r="AA8460" s="3">
        <v>0.12920000000000001</v>
      </c>
      <c r="AB8460" s="3">
        <v>3.9699999999999999E-2</v>
      </c>
      <c r="AC8460" s="3">
        <v>1.5100000000000001E-2</v>
      </c>
      <c r="AD8460" s="3">
        <v>3.7100000000000001E-2</v>
      </c>
      <c r="AE8460" s="3">
        <v>8.5000000000000006E-3</v>
      </c>
    </row>
    <row r="8462" spans="1:31" ht="30">
      <c r="A8462" s="22" t="s">
        <v>1684</v>
      </c>
    </row>
    <row r="8463" spans="1:31">
      <c r="A8463" t="s">
        <v>185</v>
      </c>
      <c r="B8463" t="s">
        <v>186</v>
      </c>
      <c r="C8463" t="s">
        <v>192</v>
      </c>
      <c r="D8463" t="s">
        <v>184</v>
      </c>
      <c r="E8463" t="s">
        <v>193</v>
      </c>
      <c r="F8463" t="s">
        <v>1685</v>
      </c>
      <c r="G8463" t="s">
        <v>1686</v>
      </c>
      <c r="H8463" t="s">
        <v>257</v>
      </c>
      <c r="I8463" t="s">
        <v>1687</v>
      </c>
      <c r="J8463" t="s">
        <v>1688</v>
      </c>
      <c r="K8463" t="s">
        <v>1689</v>
      </c>
      <c r="L8463" t="s">
        <v>247</v>
      </c>
      <c r="M8463" t="s">
        <v>1690</v>
      </c>
      <c r="N8463" t="s">
        <v>1691</v>
      </c>
    </row>
    <row r="8464" spans="1:31">
      <c r="A8464" t="s">
        <v>195</v>
      </c>
      <c r="B8464" t="s">
        <v>222</v>
      </c>
      <c r="C8464">
        <v>248</v>
      </c>
      <c r="D8464" t="s">
        <v>194</v>
      </c>
      <c r="E8464">
        <v>2676</v>
      </c>
      <c r="F8464" s="3">
        <v>0.40739999999999998</v>
      </c>
      <c r="G8464" s="3">
        <v>0.31819999999999998</v>
      </c>
      <c r="H8464" s="3">
        <v>3.1199999999999999E-2</v>
      </c>
      <c r="I8464" s="3">
        <v>0.1085</v>
      </c>
      <c r="J8464" s="3">
        <v>9.4200000000000006E-2</v>
      </c>
      <c r="K8464" s="3">
        <v>5.1999999999999998E-3</v>
      </c>
      <c r="M8464" s="3">
        <v>1.1299999999999999E-2</v>
      </c>
      <c r="N8464" s="3">
        <v>2.3900000000000001E-2</v>
      </c>
    </row>
    <row r="8465" spans="1:14">
      <c r="A8465" t="s">
        <v>195</v>
      </c>
      <c r="B8465" t="s">
        <v>224</v>
      </c>
      <c r="C8465">
        <v>941</v>
      </c>
      <c r="D8465" t="s">
        <v>194</v>
      </c>
      <c r="E8465">
        <v>2676</v>
      </c>
      <c r="F8465" s="3">
        <v>0.48099999999999998</v>
      </c>
      <c r="G8465" s="3">
        <v>0.25059999999999999</v>
      </c>
      <c r="H8465" s="3">
        <v>2.9100000000000001E-2</v>
      </c>
      <c r="I8465" s="3">
        <v>4.1000000000000002E-2</v>
      </c>
      <c r="J8465" s="3">
        <v>0.13780000000000001</v>
      </c>
      <c r="M8465" s="3">
        <v>2.5700000000000001E-2</v>
      </c>
      <c r="N8465" s="3">
        <v>3.4799999999999998E-2</v>
      </c>
    </row>
    <row r="8466" spans="1:14">
      <c r="A8466" t="s">
        <v>199</v>
      </c>
      <c r="B8466" t="s">
        <v>222</v>
      </c>
      <c r="C8466">
        <v>390</v>
      </c>
      <c r="D8466" t="s">
        <v>194</v>
      </c>
      <c r="E8466">
        <v>2676</v>
      </c>
      <c r="F8466" s="3">
        <v>0.18840000000000001</v>
      </c>
      <c r="G8466" s="3">
        <v>0.13320000000000001</v>
      </c>
      <c r="H8466" s="3">
        <v>2.8299999999999999E-2</v>
      </c>
      <c r="I8466" s="3">
        <v>0.51060000000000005</v>
      </c>
      <c r="J8466" s="3">
        <v>6.8900000000000003E-2</v>
      </c>
      <c r="L8466" s="3">
        <v>1E-4</v>
      </c>
      <c r="M8466" s="3">
        <v>6.3500000000000001E-2</v>
      </c>
      <c r="N8466" s="3">
        <v>7.1999999999999998E-3</v>
      </c>
    </row>
    <row r="8467" spans="1:14">
      <c r="A8467" t="s">
        <v>199</v>
      </c>
      <c r="B8467" t="s">
        <v>224</v>
      </c>
      <c r="C8467">
        <v>1097</v>
      </c>
      <c r="D8467" t="s">
        <v>194</v>
      </c>
      <c r="E8467">
        <v>2676</v>
      </c>
      <c r="F8467" s="3">
        <v>0.22650000000000001</v>
      </c>
      <c r="G8467" s="3">
        <v>0.17660000000000001</v>
      </c>
      <c r="H8467" s="3">
        <v>2.2499999999999999E-2</v>
      </c>
      <c r="I8467" s="3">
        <v>0.34029999999999999</v>
      </c>
      <c r="J8467" s="3">
        <v>0.12720000000000001</v>
      </c>
      <c r="L8467" s="3">
        <v>9.4999999999999998E-3</v>
      </c>
      <c r="M8467" s="3">
        <v>8.1600000000000006E-2</v>
      </c>
      <c r="N8467" s="3">
        <v>1.5800000000000002E-2</v>
      </c>
    </row>
    <row r="8468" spans="1:14">
      <c r="A8468" t="s">
        <v>200</v>
      </c>
      <c r="B8468" t="s">
        <v>200</v>
      </c>
      <c r="C8468">
        <v>2676</v>
      </c>
      <c r="D8468" t="s">
        <v>200</v>
      </c>
      <c r="E8468">
        <v>2676</v>
      </c>
      <c r="F8468" s="3">
        <v>0.32519999999999999</v>
      </c>
      <c r="G8468" s="3">
        <v>0.20930000000000001</v>
      </c>
      <c r="H8468" s="3">
        <v>2.6700000000000002E-2</v>
      </c>
      <c r="I8468" s="3">
        <v>0.24349999999999999</v>
      </c>
      <c r="J8468" s="3">
        <v>0.1173</v>
      </c>
      <c r="K8468" s="3">
        <v>5.9999999999999995E-4</v>
      </c>
      <c r="L8468" s="3">
        <v>3.7000000000000002E-3</v>
      </c>
      <c r="M8468" s="3">
        <v>5.21E-2</v>
      </c>
      <c r="N8468" s="3">
        <v>2.1600000000000001E-2</v>
      </c>
    </row>
    <row r="8470" spans="1:14" ht="30">
      <c r="A8470" s="22" t="s">
        <v>1692</v>
      </c>
    </row>
    <row r="8471" spans="1:14">
      <c r="A8471" t="s">
        <v>185</v>
      </c>
      <c r="B8471" t="s">
        <v>186</v>
      </c>
      <c r="C8471" t="s">
        <v>192</v>
      </c>
      <c r="D8471" t="s">
        <v>184</v>
      </c>
      <c r="E8471" t="s">
        <v>193</v>
      </c>
      <c r="F8471" t="s">
        <v>1685</v>
      </c>
      <c r="G8471" t="s">
        <v>1686</v>
      </c>
      <c r="H8471" t="s">
        <v>257</v>
      </c>
      <c r="I8471" t="s">
        <v>1687</v>
      </c>
      <c r="J8471" t="s">
        <v>1688</v>
      </c>
      <c r="K8471" t="s">
        <v>1689</v>
      </c>
      <c r="L8471" t="s">
        <v>247</v>
      </c>
      <c r="M8471" t="s">
        <v>1690</v>
      </c>
      <c r="N8471" t="s">
        <v>1691</v>
      </c>
    </row>
    <row r="8472" spans="1:14">
      <c r="A8472" t="s">
        <v>195</v>
      </c>
      <c r="B8472" t="s">
        <v>229</v>
      </c>
      <c r="C8472">
        <v>130</v>
      </c>
      <c r="D8472" t="s">
        <v>194</v>
      </c>
      <c r="E8472">
        <v>2676</v>
      </c>
      <c r="F8472" s="3">
        <v>0.43359999999999999</v>
      </c>
      <c r="G8472" s="3">
        <v>0.25019999999999998</v>
      </c>
      <c r="H8472" s="3">
        <v>3.3999999999999998E-3</v>
      </c>
      <c r="I8472" s="3">
        <v>0.1152</v>
      </c>
      <c r="J8472" s="3">
        <v>8.3299999999999999E-2</v>
      </c>
      <c r="K8472" s="3">
        <v>8.3999999999999995E-3</v>
      </c>
      <c r="M8472" s="3">
        <v>3.6400000000000002E-2</v>
      </c>
      <c r="N8472" s="3">
        <v>6.9599999999999995E-2</v>
      </c>
    </row>
    <row r="8473" spans="1:14">
      <c r="A8473" t="s">
        <v>195</v>
      </c>
      <c r="B8473" t="s">
        <v>230</v>
      </c>
      <c r="C8473">
        <v>486</v>
      </c>
      <c r="D8473" t="s">
        <v>194</v>
      </c>
      <c r="E8473">
        <v>2676</v>
      </c>
      <c r="F8473" s="3">
        <v>0.45950000000000002</v>
      </c>
      <c r="G8473" s="3">
        <v>0.248</v>
      </c>
      <c r="H8473" s="3">
        <v>4.02E-2</v>
      </c>
      <c r="I8473" s="3">
        <v>5.6000000000000001E-2</v>
      </c>
      <c r="J8473" s="3">
        <v>0.1255</v>
      </c>
      <c r="M8473" s="3">
        <v>2.64E-2</v>
      </c>
      <c r="N8473" s="3">
        <v>4.4299999999999999E-2</v>
      </c>
    </row>
    <row r="8474" spans="1:14">
      <c r="A8474" t="s">
        <v>195</v>
      </c>
      <c r="B8474" t="s">
        <v>231</v>
      </c>
      <c r="C8474">
        <v>305</v>
      </c>
      <c r="D8474" t="s">
        <v>194</v>
      </c>
      <c r="E8474">
        <v>2676</v>
      </c>
      <c r="F8474" s="3">
        <v>0.443</v>
      </c>
      <c r="G8474" s="3">
        <v>0.3528</v>
      </c>
      <c r="H8474" s="3">
        <v>1.6799999999999999E-2</v>
      </c>
      <c r="I8474" s="3">
        <v>6.2399999999999997E-2</v>
      </c>
      <c r="J8474" s="3">
        <v>0.1091</v>
      </c>
      <c r="M8474" s="3">
        <v>9.4000000000000004E-3</v>
      </c>
      <c r="N8474" s="3">
        <v>6.4999999999999997E-3</v>
      </c>
    </row>
    <row r="8475" spans="1:14">
      <c r="A8475" t="s">
        <v>195</v>
      </c>
      <c r="B8475" t="s">
        <v>232</v>
      </c>
      <c r="C8475">
        <v>268</v>
      </c>
      <c r="D8475" t="s">
        <v>194</v>
      </c>
      <c r="E8475">
        <v>2676</v>
      </c>
      <c r="F8475" s="3">
        <v>0.51429999999999998</v>
      </c>
      <c r="G8475" s="3">
        <v>0.216</v>
      </c>
      <c r="H8475" s="3">
        <v>4.2900000000000001E-2</v>
      </c>
      <c r="I8475" s="3">
        <v>1.32E-2</v>
      </c>
      <c r="J8475" s="3">
        <v>0.18229999999999999</v>
      </c>
      <c r="M8475" s="3">
        <v>1.9E-2</v>
      </c>
      <c r="N8475" s="3">
        <v>1.2500000000000001E-2</v>
      </c>
    </row>
    <row r="8476" spans="1:14">
      <c r="A8476" t="s">
        <v>199</v>
      </c>
      <c r="B8476" t="s">
        <v>229</v>
      </c>
      <c r="C8476">
        <v>150</v>
      </c>
      <c r="D8476" t="s">
        <v>194</v>
      </c>
      <c r="E8476">
        <v>2676</v>
      </c>
      <c r="F8476" s="3">
        <v>0.18870000000000001</v>
      </c>
      <c r="G8476" s="3">
        <v>9.2499999999999999E-2</v>
      </c>
      <c r="H8476" s="3">
        <v>2.87E-2</v>
      </c>
      <c r="I8476" s="3">
        <v>0.44450000000000001</v>
      </c>
      <c r="J8476" s="3">
        <v>8.9499999999999996E-2</v>
      </c>
      <c r="L8476" s="3">
        <v>2.7400000000000001E-2</v>
      </c>
      <c r="M8476" s="3">
        <v>6.9400000000000003E-2</v>
      </c>
      <c r="N8476" s="3">
        <v>5.9200000000000003E-2</v>
      </c>
    </row>
    <row r="8477" spans="1:14">
      <c r="A8477" t="s">
        <v>199</v>
      </c>
      <c r="B8477" t="s">
        <v>230</v>
      </c>
      <c r="C8477">
        <v>700</v>
      </c>
      <c r="D8477" t="s">
        <v>194</v>
      </c>
      <c r="E8477">
        <v>2676</v>
      </c>
      <c r="F8477" s="3">
        <v>0.2114</v>
      </c>
      <c r="G8477" s="3">
        <v>0.1636</v>
      </c>
      <c r="H8477" s="3">
        <v>2.1399999999999999E-2</v>
      </c>
      <c r="I8477" s="3">
        <v>0.434</v>
      </c>
      <c r="J8477" s="3">
        <v>8.43E-2</v>
      </c>
      <c r="M8477" s="3">
        <v>8.0299999999999996E-2</v>
      </c>
      <c r="N8477" s="3">
        <v>4.8999999999999998E-3</v>
      </c>
    </row>
    <row r="8478" spans="1:14">
      <c r="A8478" t="s">
        <v>199</v>
      </c>
      <c r="B8478" t="s">
        <v>231</v>
      </c>
      <c r="C8478">
        <v>397</v>
      </c>
      <c r="D8478" t="s">
        <v>194</v>
      </c>
      <c r="E8478">
        <v>2676</v>
      </c>
      <c r="F8478" s="3">
        <v>0.25169999999999998</v>
      </c>
      <c r="G8478" s="3">
        <v>0.18079999999999999</v>
      </c>
      <c r="H8478" s="3">
        <v>1.83E-2</v>
      </c>
      <c r="I8478" s="3">
        <v>0.3483</v>
      </c>
      <c r="J8478" s="3">
        <v>0.11700000000000001</v>
      </c>
      <c r="M8478" s="3">
        <v>8.2500000000000004E-2</v>
      </c>
      <c r="N8478" s="3">
        <v>1.4E-3</v>
      </c>
    </row>
    <row r="8479" spans="1:14">
      <c r="A8479" t="s">
        <v>199</v>
      </c>
      <c r="B8479" t="s">
        <v>232</v>
      </c>
      <c r="C8479">
        <v>240</v>
      </c>
      <c r="D8479" t="s">
        <v>194</v>
      </c>
      <c r="E8479">
        <v>2676</v>
      </c>
      <c r="F8479" s="3">
        <v>0.21129999999999999</v>
      </c>
      <c r="G8479" s="3">
        <v>0.21840000000000001</v>
      </c>
      <c r="H8479" s="3">
        <v>3.4200000000000001E-2</v>
      </c>
      <c r="I8479" s="3">
        <v>0.26979999999999998</v>
      </c>
      <c r="J8479" s="3">
        <v>0.19189999999999999</v>
      </c>
      <c r="L8479" s="3">
        <v>1.03E-2</v>
      </c>
      <c r="M8479" s="3">
        <v>6.4100000000000004E-2</v>
      </c>
    </row>
    <row r="8480" spans="1:14">
      <c r="A8480" t="s">
        <v>200</v>
      </c>
      <c r="B8480" t="s">
        <v>200</v>
      </c>
      <c r="C8480">
        <v>2676</v>
      </c>
      <c r="D8480" t="s">
        <v>200</v>
      </c>
      <c r="E8480">
        <v>2676</v>
      </c>
      <c r="F8480" s="3">
        <v>0.32519999999999999</v>
      </c>
      <c r="G8480" s="3">
        <v>0.20930000000000001</v>
      </c>
      <c r="H8480" s="3">
        <v>2.6700000000000002E-2</v>
      </c>
      <c r="I8480" s="3">
        <v>0.24349999999999999</v>
      </c>
      <c r="J8480" s="3">
        <v>0.1173</v>
      </c>
      <c r="K8480" s="3">
        <v>5.9999999999999995E-4</v>
      </c>
      <c r="L8480" s="3">
        <v>3.7000000000000002E-3</v>
      </c>
      <c r="M8480" s="3">
        <v>5.21E-2</v>
      </c>
      <c r="N8480" s="3">
        <v>2.1600000000000001E-2</v>
      </c>
    </row>
    <row r="8482" spans="1:14" ht="30">
      <c r="A8482" s="22" t="s">
        <v>1693</v>
      </c>
    </row>
    <row r="8483" spans="1:14">
      <c r="A8483" t="s">
        <v>185</v>
      </c>
      <c r="B8483" t="s">
        <v>186</v>
      </c>
      <c r="C8483" t="s">
        <v>192</v>
      </c>
      <c r="D8483" t="s">
        <v>184</v>
      </c>
      <c r="E8483" t="s">
        <v>193</v>
      </c>
      <c r="F8483" t="s">
        <v>1685</v>
      </c>
      <c r="G8483" t="s">
        <v>1686</v>
      </c>
      <c r="H8483" t="s">
        <v>257</v>
      </c>
      <c r="I8483" t="s">
        <v>1687</v>
      </c>
      <c r="J8483" t="s">
        <v>1688</v>
      </c>
      <c r="K8483" t="s">
        <v>1689</v>
      </c>
      <c r="L8483" t="s">
        <v>247</v>
      </c>
      <c r="M8483" t="s">
        <v>1690</v>
      </c>
      <c r="N8483" t="s">
        <v>1691</v>
      </c>
    </row>
    <row r="8484" spans="1:14">
      <c r="A8484" t="s">
        <v>195</v>
      </c>
      <c r="B8484" t="s">
        <v>196</v>
      </c>
      <c r="C8484">
        <v>413</v>
      </c>
      <c r="D8484" t="s">
        <v>194</v>
      </c>
      <c r="E8484">
        <v>2676</v>
      </c>
      <c r="F8484" s="3">
        <v>0.47470000000000001</v>
      </c>
      <c r="G8484" s="3">
        <v>0.1943</v>
      </c>
      <c r="H8484" s="3">
        <v>5.1400000000000001E-2</v>
      </c>
      <c r="I8484" s="3">
        <v>9.6299999999999997E-2</v>
      </c>
      <c r="J8484" s="3">
        <v>0.13420000000000001</v>
      </c>
      <c r="K8484" s="3">
        <v>4.7000000000000002E-3</v>
      </c>
      <c r="M8484" s="3">
        <v>1.83E-2</v>
      </c>
      <c r="N8484" s="3">
        <v>2.5999999999999999E-2</v>
      </c>
    </row>
    <row r="8485" spans="1:14">
      <c r="A8485" t="s">
        <v>195</v>
      </c>
      <c r="B8485" t="s">
        <v>198</v>
      </c>
      <c r="C8485">
        <v>755</v>
      </c>
      <c r="D8485" t="s">
        <v>194</v>
      </c>
      <c r="E8485">
        <v>2676</v>
      </c>
      <c r="F8485" s="3">
        <v>0.45779999999999998</v>
      </c>
      <c r="G8485" s="3">
        <v>0.29380000000000001</v>
      </c>
      <c r="H8485" s="3">
        <v>2.18E-2</v>
      </c>
      <c r="I8485" s="3">
        <v>4.3400000000000001E-2</v>
      </c>
      <c r="J8485" s="3">
        <v>0.12479999999999999</v>
      </c>
      <c r="M8485" s="3">
        <v>2.3800000000000002E-2</v>
      </c>
      <c r="N8485" s="3">
        <v>3.4599999999999999E-2</v>
      </c>
    </row>
    <row r="8486" spans="1:14">
      <c r="A8486" t="s">
        <v>199</v>
      </c>
      <c r="B8486" t="s">
        <v>196</v>
      </c>
      <c r="C8486">
        <v>525</v>
      </c>
      <c r="D8486" t="s">
        <v>194</v>
      </c>
      <c r="E8486">
        <v>2676</v>
      </c>
      <c r="F8486" s="3">
        <v>0.2225</v>
      </c>
      <c r="G8486" s="3">
        <v>0.2155</v>
      </c>
      <c r="H8486" s="3">
        <v>8.9999999999999993E-3</v>
      </c>
      <c r="I8486" s="3">
        <v>0.3357</v>
      </c>
      <c r="J8486" s="3">
        <v>0.1056</v>
      </c>
      <c r="L8486" s="3">
        <v>1E-4</v>
      </c>
      <c r="M8486" s="3">
        <v>0.11119999999999999</v>
      </c>
      <c r="N8486" s="3">
        <v>4.0000000000000002E-4</v>
      </c>
    </row>
    <row r="8487" spans="1:14">
      <c r="A8487" t="s">
        <v>199</v>
      </c>
      <c r="B8487" t="s">
        <v>198</v>
      </c>
      <c r="C8487">
        <v>944</v>
      </c>
      <c r="D8487" t="s">
        <v>194</v>
      </c>
      <c r="E8487">
        <v>2676</v>
      </c>
      <c r="F8487" s="3">
        <v>0.2127</v>
      </c>
      <c r="G8487" s="3">
        <v>0.1515</v>
      </c>
      <c r="H8487" s="3">
        <v>2.7799999999999998E-2</v>
      </c>
      <c r="I8487" s="3">
        <v>0.40589999999999998</v>
      </c>
      <c r="J8487" s="3">
        <v>0.1101</v>
      </c>
      <c r="L8487" s="3">
        <v>8.0999999999999996E-3</v>
      </c>
      <c r="M8487" s="3">
        <v>6.8000000000000005E-2</v>
      </c>
      <c r="N8487" s="3">
        <v>1.5900000000000001E-2</v>
      </c>
    </row>
    <row r="8488" spans="1:14">
      <c r="A8488" t="s">
        <v>200</v>
      </c>
      <c r="B8488" t="s">
        <v>200</v>
      </c>
      <c r="C8488">
        <v>2676</v>
      </c>
      <c r="D8488" t="s">
        <v>200</v>
      </c>
      <c r="E8488">
        <v>2676</v>
      </c>
      <c r="F8488" s="3">
        <v>0.32519999999999999</v>
      </c>
      <c r="G8488" s="3">
        <v>0.20930000000000001</v>
      </c>
      <c r="H8488" s="3">
        <v>2.6700000000000002E-2</v>
      </c>
      <c r="I8488" s="3">
        <v>0.24349999999999999</v>
      </c>
      <c r="J8488" s="3">
        <v>0.1173</v>
      </c>
      <c r="K8488" s="3">
        <v>5.9999999999999995E-4</v>
      </c>
      <c r="L8488" s="3">
        <v>3.7000000000000002E-3</v>
      </c>
      <c r="M8488" s="3">
        <v>5.21E-2</v>
      </c>
      <c r="N8488" s="3">
        <v>2.1600000000000001E-2</v>
      </c>
    </row>
    <row r="8490" spans="1:14" ht="45">
      <c r="A8490" s="22" t="s">
        <v>1694</v>
      </c>
    </row>
    <row r="8491" spans="1:14">
      <c r="A8491" t="s">
        <v>185</v>
      </c>
      <c r="B8491" t="s">
        <v>186</v>
      </c>
      <c r="C8491" t="s">
        <v>192</v>
      </c>
      <c r="D8491" t="s">
        <v>184</v>
      </c>
      <c r="E8491" t="s">
        <v>193</v>
      </c>
      <c r="F8491" t="s">
        <v>1685</v>
      </c>
      <c r="G8491" t="s">
        <v>1686</v>
      </c>
      <c r="H8491" t="s">
        <v>257</v>
      </c>
      <c r="I8491" t="s">
        <v>1687</v>
      </c>
      <c r="J8491" t="s">
        <v>1688</v>
      </c>
      <c r="K8491" t="s">
        <v>1689</v>
      </c>
      <c r="L8491" t="s">
        <v>247</v>
      </c>
      <c r="M8491" t="s">
        <v>1690</v>
      </c>
      <c r="N8491" t="s">
        <v>1691</v>
      </c>
    </row>
    <row r="8492" spans="1:14">
      <c r="A8492" t="s">
        <v>195</v>
      </c>
      <c r="B8492" t="s">
        <v>202</v>
      </c>
      <c r="C8492">
        <v>533</v>
      </c>
      <c r="D8492" t="s">
        <v>194</v>
      </c>
      <c r="E8492">
        <v>2676</v>
      </c>
      <c r="F8492" s="3">
        <v>0.46600000000000003</v>
      </c>
      <c r="G8492" s="3">
        <v>0.25750000000000001</v>
      </c>
      <c r="H8492" s="3">
        <v>2.7E-2</v>
      </c>
      <c r="I8492" s="3">
        <v>7.0699999999999999E-2</v>
      </c>
      <c r="J8492" s="3">
        <v>0.1265</v>
      </c>
      <c r="K8492" s="3">
        <v>2E-3</v>
      </c>
      <c r="M8492" s="3">
        <v>1.6E-2</v>
      </c>
      <c r="N8492" s="3">
        <v>3.4500000000000003E-2</v>
      </c>
    </row>
    <row r="8493" spans="1:14">
      <c r="A8493" t="s">
        <v>195</v>
      </c>
      <c r="B8493" t="s">
        <v>204</v>
      </c>
      <c r="C8493">
        <v>301</v>
      </c>
      <c r="D8493" t="s">
        <v>194</v>
      </c>
      <c r="E8493">
        <v>2676</v>
      </c>
      <c r="F8493" s="3">
        <v>0.43099999999999999</v>
      </c>
      <c r="G8493" s="3">
        <v>0.31140000000000001</v>
      </c>
      <c r="H8493" s="3">
        <v>3.9199999999999999E-2</v>
      </c>
      <c r="I8493" s="3">
        <v>3.1300000000000001E-2</v>
      </c>
      <c r="J8493" s="3">
        <v>0.1376</v>
      </c>
      <c r="M8493" s="3">
        <v>3.0700000000000002E-2</v>
      </c>
      <c r="N8493" s="3">
        <v>1.8800000000000001E-2</v>
      </c>
    </row>
    <row r="8494" spans="1:14">
      <c r="A8494" t="s">
        <v>195</v>
      </c>
      <c r="B8494" t="s">
        <v>205</v>
      </c>
      <c r="C8494">
        <v>334</v>
      </c>
      <c r="D8494" t="s">
        <v>194</v>
      </c>
      <c r="E8494">
        <v>2676</v>
      </c>
      <c r="F8494" s="3">
        <v>0.49459999999999998</v>
      </c>
      <c r="G8494" s="3">
        <v>0.24379999999999999</v>
      </c>
      <c r="H8494" s="3">
        <v>2.75E-2</v>
      </c>
      <c r="I8494" s="3">
        <v>3.6299999999999999E-2</v>
      </c>
      <c r="J8494" s="3">
        <v>0.11509999999999999</v>
      </c>
      <c r="M8494" s="3">
        <v>3.9600000000000003E-2</v>
      </c>
      <c r="N8494" s="3">
        <v>4.3200000000000002E-2</v>
      </c>
    </row>
    <row r="8495" spans="1:14">
      <c r="A8495" t="s">
        <v>199</v>
      </c>
      <c r="B8495" t="s">
        <v>202</v>
      </c>
      <c r="C8495">
        <v>538</v>
      </c>
      <c r="D8495" t="s">
        <v>194</v>
      </c>
      <c r="E8495">
        <v>2676</v>
      </c>
      <c r="F8495" s="3">
        <v>0.1275</v>
      </c>
      <c r="G8495" s="3">
        <v>0.14430000000000001</v>
      </c>
      <c r="H8495" s="3">
        <v>2.4199999999999999E-2</v>
      </c>
      <c r="I8495" s="3">
        <v>0.51670000000000005</v>
      </c>
      <c r="J8495" s="3">
        <v>8.0500000000000002E-2</v>
      </c>
      <c r="L8495" s="3">
        <v>9.2999999999999992E-3</v>
      </c>
      <c r="M8495" s="3">
        <v>8.1900000000000001E-2</v>
      </c>
      <c r="N8495" s="3">
        <v>1.55E-2</v>
      </c>
    </row>
    <row r="8496" spans="1:14">
      <c r="A8496" t="s">
        <v>199</v>
      </c>
      <c r="B8496" t="s">
        <v>204</v>
      </c>
      <c r="C8496">
        <v>426</v>
      </c>
      <c r="D8496" t="s">
        <v>194</v>
      </c>
      <c r="E8496">
        <v>2676</v>
      </c>
      <c r="F8496" s="3">
        <v>0.37790000000000001</v>
      </c>
      <c r="G8496" s="3">
        <v>0.21340000000000001</v>
      </c>
      <c r="H8496" s="3">
        <v>1.2E-2</v>
      </c>
      <c r="I8496" s="3">
        <v>0.1391</v>
      </c>
      <c r="J8496" s="3">
        <v>0.1986</v>
      </c>
      <c r="L8496" s="3">
        <v>3.5000000000000001E-3</v>
      </c>
      <c r="M8496" s="3">
        <v>5.1999999999999998E-2</v>
      </c>
      <c r="N8496" s="3">
        <v>3.5000000000000001E-3</v>
      </c>
    </row>
    <row r="8497" spans="1:14">
      <c r="A8497" t="s">
        <v>199</v>
      </c>
      <c r="B8497" t="s">
        <v>205</v>
      </c>
      <c r="C8497">
        <v>505</v>
      </c>
      <c r="D8497" t="s">
        <v>194</v>
      </c>
      <c r="E8497">
        <v>2676</v>
      </c>
      <c r="F8497" s="3">
        <v>0.35510000000000003</v>
      </c>
      <c r="G8497" s="3">
        <v>0.17799999999999999</v>
      </c>
      <c r="H8497" s="3">
        <v>3.8600000000000002E-2</v>
      </c>
      <c r="I8497" s="3">
        <v>0.21729999999999999</v>
      </c>
      <c r="J8497" s="3">
        <v>0.1148</v>
      </c>
      <c r="M8497" s="3">
        <v>8.1500000000000003E-2</v>
      </c>
      <c r="N8497" s="3">
        <v>1.47E-2</v>
      </c>
    </row>
    <row r="8498" spans="1:14">
      <c r="A8498" t="s">
        <v>200</v>
      </c>
      <c r="B8498" t="s">
        <v>200</v>
      </c>
      <c r="C8498">
        <v>2676</v>
      </c>
      <c r="D8498" t="s">
        <v>200</v>
      </c>
      <c r="E8498">
        <v>2676</v>
      </c>
      <c r="F8498" s="3">
        <v>0.32519999999999999</v>
      </c>
      <c r="G8498" s="3">
        <v>0.20930000000000001</v>
      </c>
      <c r="H8498" s="3">
        <v>2.6700000000000002E-2</v>
      </c>
      <c r="I8498" s="3">
        <v>0.24349999999999999</v>
      </c>
      <c r="J8498" s="3">
        <v>0.1173</v>
      </c>
      <c r="K8498" s="3">
        <v>5.9999999999999995E-4</v>
      </c>
      <c r="L8498" s="3">
        <v>3.7000000000000002E-3</v>
      </c>
      <c r="M8498" s="3">
        <v>5.21E-2</v>
      </c>
      <c r="N8498" s="3">
        <v>2.1600000000000001E-2</v>
      </c>
    </row>
    <row r="8500" spans="1:14" ht="45">
      <c r="A8500" s="22" t="s">
        <v>1695</v>
      </c>
    </row>
    <row r="8501" spans="1:14">
      <c r="A8501" t="s">
        <v>185</v>
      </c>
      <c r="B8501" t="s">
        <v>186</v>
      </c>
      <c r="C8501" t="s">
        <v>192</v>
      </c>
      <c r="D8501" t="s">
        <v>184</v>
      </c>
      <c r="E8501" t="s">
        <v>193</v>
      </c>
      <c r="F8501" t="s">
        <v>1685</v>
      </c>
      <c r="G8501" t="s">
        <v>1686</v>
      </c>
      <c r="H8501" t="s">
        <v>257</v>
      </c>
      <c r="I8501" t="s">
        <v>1687</v>
      </c>
      <c r="J8501" t="s">
        <v>1688</v>
      </c>
      <c r="K8501" t="s">
        <v>1689</v>
      </c>
      <c r="L8501" t="s">
        <v>247</v>
      </c>
      <c r="M8501" t="s">
        <v>1690</v>
      </c>
      <c r="N8501" t="s">
        <v>1691</v>
      </c>
    </row>
    <row r="8502" spans="1:14">
      <c r="A8502" t="s">
        <v>195</v>
      </c>
      <c r="B8502" t="s">
        <v>207</v>
      </c>
      <c r="C8502">
        <v>322</v>
      </c>
      <c r="D8502" t="s">
        <v>194</v>
      </c>
      <c r="E8502">
        <v>2676</v>
      </c>
      <c r="F8502" s="3">
        <v>0.51270000000000004</v>
      </c>
      <c r="G8502" s="3">
        <v>0.2218</v>
      </c>
      <c r="H8502" s="3">
        <v>2.1499999999999998E-2</v>
      </c>
      <c r="I8502" s="3">
        <v>2.1299999999999999E-2</v>
      </c>
      <c r="J8502" s="3">
        <v>0.17829999999999999</v>
      </c>
      <c r="M8502" s="3">
        <v>1.5599999999999999E-2</v>
      </c>
      <c r="N8502" s="3">
        <v>2.8799999999999999E-2</v>
      </c>
    </row>
    <row r="8503" spans="1:14">
      <c r="A8503" t="s">
        <v>195</v>
      </c>
      <c r="B8503" t="s">
        <v>209</v>
      </c>
      <c r="C8503">
        <v>867</v>
      </c>
      <c r="D8503" t="s">
        <v>194</v>
      </c>
      <c r="E8503">
        <v>2676</v>
      </c>
      <c r="F8503" s="3">
        <v>0.44619999999999999</v>
      </c>
      <c r="G8503" s="3">
        <v>0.28249999999999997</v>
      </c>
      <c r="H8503" s="3">
        <v>3.2399999999999998E-2</v>
      </c>
      <c r="I8503" s="3">
        <v>6.9699999999999998E-2</v>
      </c>
      <c r="J8503" s="3">
        <v>0.10970000000000001</v>
      </c>
      <c r="K8503" s="3">
        <v>1.6999999999999999E-3</v>
      </c>
      <c r="M8503" s="3">
        <v>2.4500000000000001E-2</v>
      </c>
      <c r="N8503" s="3">
        <v>3.3300000000000003E-2</v>
      </c>
    </row>
    <row r="8504" spans="1:14">
      <c r="A8504" t="s">
        <v>199</v>
      </c>
      <c r="B8504" t="s">
        <v>207</v>
      </c>
      <c r="C8504">
        <v>283</v>
      </c>
      <c r="D8504" t="s">
        <v>194</v>
      </c>
      <c r="E8504">
        <v>2676</v>
      </c>
      <c r="F8504" s="3">
        <v>0.28720000000000001</v>
      </c>
      <c r="G8504" s="3">
        <v>0.26450000000000001</v>
      </c>
      <c r="H8504" s="3">
        <v>1.49E-2</v>
      </c>
      <c r="I8504" s="3">
        <v>0.22570000000000001</v>
      </c>
      <c r="J8504" s="3">
        <v>0.12590000000000001</v>
      </c>
      <c r="L8504" s="3">
        <v>8.8000000000000005E-3</v>
      </c>
      <c r="M8504" s="3">
        <v>7.1599999999999997E-2</v>
      </c>
      <c r="N8504" s="3">
        <v>1.4E-3</v>
      </c>
    </row>
    <row r="8505" spans="1:14">
      <c r="A8505" t="s">
        <v>199</v>
      </c>
      <c r="B8505" t="s">
        <v>209</v>
      </c>
      <c r="C8505">
        <v>1204</v>
      </c>
      <c r="D8505" t="s">
        <v>194</v>
      </c>
      <c r="E8505">
        <v>2676</v>
      </c>
      <c r="F8505" s="3">
        <v>0.20469999999999999</v>
      </c>
      <c r="G8505" s="3">
        <v>0.14929999999999999</v>
      </c>
      <c r="H8505" s="3">
        <v>2.5600000000000001E-2</v>
      </c>
      <c r="I8505" s="3">
        <v>0.41560000000000002</v>
      </c>
      <c r="J8505" s="3">
        <v>0.1071</v>
      </c>
      <c r="L8505" s="3">
        <v>6.3E-3</v>
      </c>
      <c r="M8505" s="3">
        <v>7.6700000000000004E-2</v>
      </c>
      <c r="N8505" s="3">
        <v>1.4800000000000001E-2</v>
      </c>
    </row>
    <row r="8506" spans="1:14">
      <c r="A8506" t="s">
        <v>200</v>
      </c>
      <c r="B8506" t="s">
        <v>200</v>
      </c>
      <c r="C8506">
        <v>2676</v>
      </c>
      <c r="D8506" t="s">
        <v>200</v>
      </c>
      <c r="E8506">
        <v>2676</v>
      </c>
      <c r="F8506" s="3">
        <v>0.32519999999999999</v>
      </c>
      <c r="G8506" s="3">
        <v>0.20930000000000001</v>
      </c>
      <c r="H8506" s="3">
        <v>2.6700000000000002E-2</v>
      </c>
      <c r="I8506" s="3">
        <v>0.24349999999999999</v>
      </c>
      <c r="J8506" s="3">
        <v>0.1173</v>
      </c>
      <c r="K8506" s="3">
        <v>5.9999999999999995E-4</v>
      </c>
      <c r="L8506" s="3">
        <v>3.7000000000000002E-3</v>
      </c>
      <c r="M8506" s="3">
        <v>5.21E-2</v>
      </c>
      <c r="N8506" s="3">
        <v>2.1600000000000001E-2</v>
      </c>
    </row>
    <row r="8508" spans="1:14" ht="45">
      <c r="A8508" s="22" t="s">
        <v>1696</v>
      </c>
    </row>
    <row r="8509" spans="1:14">
      <c r="A8509" t="s">
        <v>185</v>
      </c>
      <c r="B8509" t="s">
        <v>192</v>
      </c>
      <c r="C8509" t="s">
        <v>184</v>
      </c>
      <c r="D8509" t="s">
        <v>193</v>
      </c>
      <c r="E8509" t="s">
        <v>1685</v>
      </c>
      <c r="F8509" t="s">
        <v>1686</v>
      </c>
      <c r="G8509" t="s">
        <v>257</v>
      </c>
      <c r="H8509" t="s">
        <v>1687</v>
      </c>
      <c r="I8509" t="s">
        <v>1688</v>
      </c>
      <c r="J8509" t="s">
        <v>1689</v>
      </c>
      <c r="K8509" t="s">
        <v>247</v>
      </c>
      <c r="L8509" t="s">
        <v>1690</v>
      </c>
      <c r="M8509" t="s">
        <v>1691</v>
      </c>
    </row>
    <row r="8510" spans="1:14">
      <c r="A8510" t="s">
        <v>195</v>
      </c>
      <c r="B8510">
        <v>1189</v>
      </c>
      <c r="C8510" t="s">
        <v>194</v>
      </c>
      <c r="D8510">
        <v>2676</v>
      </c>
      <c r="E8510" s="3">
        <v>0.46329999999999999</v>
      </c>
      <c r="F8510" s="3">
        <v>0.26690000000000003</v>
      </c>
      <c r="G8510" s="3">
        <v>2.9600000000000001E-2</v>
      </c>
      <c r="H8510" s="3">
        <v>5.7299999999999997E-2</v>
      </c>
      <c r="I8510" s="3">
        <v>0.1273</v>
      </c>
      <c r="J8510" s="3">
        <v>1.2999999999999999E-3</v>
      </c>
      <c r="L8510" s="3">
        <v>2.2200000000000001E-2</v>
      </c>
      <c r="M8510" s="3">
        <v>3.2199999999999999E-2</v>
      </c>
    </row>
    <row r="8511" spans="1:14">
      <c r="A8511" t="s">
        <v>199</v>
      </c>
      <c r="B8511">
        <v>1487</v>
      </c>
      <c r="C8511" t="s">
        <v>194</v>
      </c>
      <c r="D8511">
        <v>2676</v>
      </c>
      <c r="E8511" s="3">
        <v>0.21479999999999999</v>
      </c>
      <c r="F8511" s="3">
        <v>0.1633</v>
      </c>
      <c r="G8511" s="3">
        <v>2.4299999999999999E-2</v>
      </c>
      <c r="H8511" s="3">
        <v>0.39240000000000003</v>
      </c>
      <c r="I8511" s="3">
        <v>0.1094</v>
      </c>
      <c r="K8511" s="3">
        <v>6.6E-3</v>
      </c>
      <c r="L8511" s="3">
        <v>7.5999999999999998E-2</v>
      </c>
      <c r="M8511" s="3">
        <v>1.3100000000000001E-2</v>
      </c>
    </row>
    <row r="8512" spans="1:14">
      <c r="A8512" t="s">
        <v>200</v>
      </c>
      <c r="B8512">
        <v>2676</v>
      </c>
      <c r="C8512" t="s">
        <v>200</v>
      </c>
      <c r="D8512">
        <v>2676</v>
      </c>
      <c r="E8512" s="3">
        <v>0.32519999999999999</v>
      </c>
      <c r="F8512" s="3">
        <v>0.20930000000000001</v>
      </c>
      <c r="G8512" s="3">
        <v>2.6700000000000002E-2</v>
      </c>
      <c r="H8512" s="3">
        <v>0.24349999999999999</v>
      </c>
      <c r="I8512" s="3">
        <v>0.1173</v>
      </c>
      <c r="J8512" s="3">
        <v>5.9999999999999995E-4</v>
      </c>
      <c r="K8512" s="3">
        <v>3.7000000000000002E-3</v>
      </c>
      <c r="L8512" s="3">
        <v>5.21E-2</v>
      </c>
      <c r="M8512" s="3">
        <v>2.1600000000000001E-2</v>
      </c>
    </row>
    <row r="8514" spans="1:14" ht="30">
      <c r="A8514" s="22" t="s">
        <v>1697</v>
      </c>
    </row>
    <row r="8515" spans="1:14">
      <c r="A8515" t="s">
        <v>185</v>
      </c>
      <c r="B8515" t="s">
        <v>186</v>
      </c>
      <c r="C8515" t="s">
        <v>192</v>
      </c>
      <c r="D8515" t="s">
        <v>184</v>
      </c>
      <c r="E8515" t="s">
        <v>193</v>
      </c>
      <c r="F8515" t="s">
        <v>1685</v>
      </c>
      <c r="G8515" t="s">
        <v>1686</v>
      </c>
      <c r="H8515" t="s">
        <v>257</v>
      </c>
      <c r="I8515" t="s">
        <v>1687</v>
      </c>
      <c r="J8515" t="s">
        <v>1688</v>
      </c>
      <c r="K8515" t="s">
        <v>1689</v>
      </c>
      <c r="L8515" t="s">
        <v>247</v>
      </c>
      <c r="M8515" t="s">
        <v>1690</v>
      </c>
      <c r="N8515" t="s">
        <v>1691</v>
      </c>
    </row>
    <row r="8516" spans="1:14">
      <c r="A8516" t="s">
        <v>195</v>
      </c>
      <c r="B8516" t="s">
        <v>212</v>
      </c>
      <c r="C8516">
        <v>873</v>
      </c>
      <c r="D8516" t="s">
        <v>194</v>
      </c>
      <c r="E8516">
        <v>2676</v>
      </c>
      <c r="F8516" s="3">
        <v>0.4637</v>
      </c>
      <c r="G8516" s="3">
        <v>0.27110000000000001</v>
      </c>
      <c r="H8516" s="3">
        <v>3.4000000000000002E-2</v>
      </c>
      <c r="I8516" s="3">
        <v>5.1200000000000002E-2</v>
      </c>
      <c r="J8516" s="3">
        <v>0.13089999999999999</v>
      </c>
      <c r="K8516" s="3">
        <v>1.6999999999999999E-3</v>
      </c>
      <c r="M8516" s="3">
        <v>2.3699999999999999E-2</v>
      </c>
      <c r="N8516" s="3">
        <v>2.3599999999999999E-2</v>
      </c>
    </row>
    <row r="8517" spans="1:14">
      <c r="A8517" t="s">
        <v>195</v>
      </c>
      <c r="B8517" t="s">
        <v>214</v>
      </c>
      <c r="C8517">
        <v>181</v>
      </c>
      <c r="D8517" t="s">
        <v>194</v>
      </c>
      <c r="E8517">
        <v>2676</v>
      </c>
      <c r="F8517" s="3">
        <v>0.41249999999999998</v>
      </c>
      <c r="G8517" s="3">
        <v>0.27189999999999998</v>
      </c>
      <c r="H8517" s="3">
        <v>1.2699999999999999E-2</v>
      </c>
      <c r="I8517" s="3">
        <v>0.10580000000000001</v>
      </c>
      <c r="J8517" s="3">
        <v>0.1187</v>
      </c>
      <c r="M8517" s="3">
        <v>6.7000000000000002E-3</v>
      </c>
      <c r="N8517" s="3">
        <v>7.17E-2</v>
      </c>
    </row>
    <row r="8518" spans="1:14">
      <c r="A8518" t="s">
        <v>195</v>
      </c>
      <c r="B8518" t="s">
        <v>215</v>
      </c>
      <c r="C8518">
        <v>135</v>
      </c>
      <c r="D8518" t="s">
        <v>194</v>
      </c>
      <c r="E8518">
        <v>2676</v>
      </c>
      <c r="F8518" s="3">
        <v>0.55959999999999999</v>
      </c>
      <c r="G8518" s="3">
        <v>0.21890000000000001</v>
      </c>
      <c r="H8518" s="3">
        <v>2.3900000000000001E-2</v>
      </c>
      <c r="I8518" s="3">
        <v>1.5900000000000001E-2</v>
      </c>
      <c r="J8518" s="3">
        <v>0.11169999999999999</v>
      </c>
      <c r="M8518" s="3">
        <v>3.9199999999999999E-2</v>
      </c>
      <c r="N8518" s="3">
        <v>3.0700000000000002E-2</v>
      </c>
    </row>
    <row r="8519" spans="1:14">
      <c r="A8519" t="s">
        <v>199</v>
      </c>
      <c r="B8519" t="s">
        <v>212</v>
      </c>
      <c r="C8519">
        <v>1117</v>
      </c>
      <c r="D8519" t="s">
        <v>194</v>
      </c>
      <c r="E8519">
        <v>2676</v>
      </c>
      <c r="F8519" s="3">
        <v>0.22520000000000001</v>
      </c>
      <c r="G8519" s="3">
        <v>0.1404</v>
      </c>
      <c r="H8519" s="3">
        <v>2.76E-2</v>
      </c>
      <c r="I8519" s="3">
        <v>0.42830000000000001</v>
      </c>
      <c r="J8519" s="3">
        <v>9.6500000000000002E-2</v>
      </c>
      <c r="L8519" s="3">
        <v>0</v>
      </c>
      <c r="M8519" s="3">
        <v>6.5000000000000002E-2</v>
      </c>
      <c r="N8519" s="3">
        <v>1.7000000000000001E-2</v>
      </c>
    </row>
    <row r="8520" spans="1:14">
      <c r="A8520" t="s">
        <v>199</v>
      </c>
      <c r="B8520" t="s">
        <v>214</v>
      </c>
      <c r="C8520">
        <v>197</v>
      </c>
      <c r="D8520" t="s">
        <v>194</v>
      </c>
      <c r="E8520">
        <v>2676</v>
      </c>
      <c r="F8520" s="3">
        <v>0.1295</v>
      </c>
      <c r="G8520" s="3">
        <v>0.2397</v>
      </c>
      <c r="H8520" s="3">
        <v>1.7100000000000001E-2</v>
      </c>
      <c r="I8520" s="3">
        <v>0.2455</v>
      </c>
      <c r="J8520" s="3">
        <v>0.18490000000000001</v>
      </c>
      <c r="L8520" s="3">
        <v>4.36E-2</v>
      </c>
      <c r="M8520" s="3">
        <v>0.13969999999999999</v>
      </c>
    </row>
    <row r="8521" spans="1:14">
      <c r="A8521" t="s">
        <v>199</v>
      </c>
      <c r="B8521" t="s">
        <v>215</v>
      </c>
      <c r="C8521">
        <v>173</v>
      </c>
      <c r="D8521" t="s">
        <v>194</v>
      </c>
      <c r="E8521">
        <v>2676</v>
      </c>
      <c r="F8521" s="3">
        <v>0.27410000000000001</v>
      </c>
      <c r="G8521" s="3">
        <v>0.2336</v>
      </c>
      <c r="H8521" s="3">
        <v>7.1999999999999998E-3</v>
      </c>
      <c r="I8521" s="3">
        <v>0.33129999999999998</v>
      </c>
      <c r="J8521" s="3">
        <v>9.0700000000000003E-2</v>
      </c>
      <c r="M8521" s="3">
        <v>6.1600000000000002E-2</v>
      </c>
      <c r="N8521" s="3">
        <v>1.6000000000000001E-3</v>
      </c>
    </row>
    <row r="8522" spans="1:14">
      <c r="A8522" t="s">
        <v>200</v>
      </c>
      <c r="B8522" t="s">
        <v>200</v>
      </c>
      <c r="C8522">
        <v>2676</v>
      </c>
      <c r="D8522" t="s">
        <v>200</v>
      </c>
      <c r="E8522">
        <v>2676</v>
      </c>
      <c r="F8522" s="3">
        <v>0.32519999999999999</v>
      </c>
      <c r="G8522" s="3">
        <v>0.20930000000000001</v>
      </c>
      <c r="H8522" s="3">
        <v>2.6700000000000002E-2</v>
      </c>
      <c r="I8522" s="3">
        <v>0.24349999999999999</v>
      </c>
      <c r="J8522" s="3">
        <v>0.1173</v>
      </c>
      <c r="K8522" s="3">
        <v>5.9999999999999995E-4</v>
      </c>
      <c r="L8522" s="3">
        <v>3.7000000000000002E-3</v>
      </c>
      <c r="M8522" s="3">
        <v>5.21E-2</v>
      </c>
      <c r="N8522" s="3">
        <v>2.1600000000000001E-2</v>
      </c>
    </row>
    <row r="8524" spans="1:14" ht="30">
      <c r="A8524" s="22" t="s">
        <v>1698</v>
      </c>
    </row>
    <row r="8525" spans="1:14">
      <c r="A8525" t="s">
        <v>185</v>
      </c>
      <c r="B8525" t="s">
        <v>186</v>
      </c>
      <c r="C8525" t="s">
        <v>192</v>
      </c>
      <c r="D8525" t="s">
        <v>184</v>
      </c>
      <c r="E8525" t="s">
        <v>193</v>
      </c>
      <c r="F8525" t="s">
        <v>1685</v>
      </c>
      <c r="G8525" t="s">
        <v>1686</v>
      </c>
      <c r="H8525" t="s">
        <v>257</v>
      </c>
      <c r="I8525" t="s">
        <v>1687</v>
      </c>
      <c r="J8525" t="s">
        <v>1688</v>
      </c>
      <c r="K8525" t="s">
        <v>1689</v>
      </c>
      <c r="L8525" t="s">
        <v>247</v>
      </c>
      <c r="M8525" t="s">
        <v>1690</v>
      </c>
      <c r="N8525" t="s">
        <v>1691</v>
      </c>
    </row>
    <row r="8526" spans="1:14">
      <c r="A8526" t="s">
        <v>195</v>
      </c>
      <c r="B8526" t="s">
        <v>217</v>
      </c>
      <c r="C8526">
        <v>499</v>
      </c>
      <c r="D8526" t="s">
        <v>194</v>
      </c>
      <c r="E8526">
        <v>2676</v>
      </c>
      <c r="F8526" s="3">
        <v>0.49759999999999999</v>
      </c>
      <c r="G8526" s="3">
        <v>0.20949999999999999</v>
      </c>
      <c r="H8526" s="3">
        <v>5.6599999999999998E-2</v>
      </c>
      <c r="I8526" s="3">
        <v>5.6800000000000003E-2</v>
      </c>
      <c r="J8526" s="3">
        <v>0.1171</v>
      </c>
      <c r="K8526" s="3">
        <v>3.0000000000000001E-3</v>
      </c>
      <c r="M8526" s="3">
        <v>2.7799999999999998E-2</v>
      </c>
      <c r="N8526" s="3">
        <v>3.1699999999999999E-2</v>
      </c>
    </row>
    <row r="8527" spans="1:14">
      <c r="A8527" t="s">
        <v>195</v>
      </c>
      <c r="B8527" t="s">
        <v>219</v>
      </c>
      <c r="C8527">
        <v>507</v>
      </c>
      <c r="D8527" t="s">
        <v>194</v>
      </c>
      <c r="E8527">
        <v>2676</v>
      </c>
      <c r="F8527" s="3">
        <v>0.48849999999999999</v>
      </c>
      <c r="G8527" s="3">
        <v>0.28449999999999998</v>
      </c>
      <c r="H8527" s="3">
        <v>9.2999999999999992E-3</v>
      </c>
      <c r="I8527" s="3">
        <v>3.3500000000000002E-2</v>
      </c>
      <c r="J8527" s="3">
        <v>0.1414</v>
      </c>
      <c r="M8527" s="3">
        <v>1.5800000000000002E-2</v>
      </c>
      <c r="N8527" s="3">
        <v>2.7099999999999999E-2</v>
      </c>
    </row>
    <row r="8528" spans="1:14">
      <c r="A8528" t="s">
        <v>195</v>
      </c>
      <c r="B8528" t="s">
        <v>220</v>
      </c>
      <c r="C8528">
        <v>182</v>
      </c>
      <c r="D8528" t="s">
        <v>194</v>
      </c>
      <c r="E8528">
        <v>2676</v>
      </c>
      <c r="F8528" s="3">
        <v>0.33450000000000002</v>
      </c>
      <c r="G8528" s="3">
        <v>0.35859999999999997</v>
      </c>
      <c r="H8528" s="3">
        <v>1.15E-2</v>
      </c>
      <c r="I8528" s="3">
        <v>0.1076</v>
      </c>
      <c r="J8528" s="3">
        <v>0.1211</v>
      </c>
      <c r="M8528" s="3">
        <v>2.3E-2</v>
      </c>
      <c r="N8528" s="3">
        <v>4.3700000000000003E-2</v>
      </c>
    </row>
    <row r="8529" spans="1:14">
      <c r="A8529" t="s">
        <v>199</v>
      </c>
      <c r="B8529" t="s">
        <v>217</v>
      </c>
      <c r="C8529">
        <v>813</v>
      </c>
      <c r="D8529" t="s">
        <v>194</v>
      </c>
      <c r="E8529">
        <v>2676</v>
      </c>
      <c r="F8529" s="3">
        <v>0.2389</v>
      </c>
      <c r="G8529" s="3">
        <v>0.13669999999999999</v>
      </c>
      <c r="H8529" s="3">
        <v>2.1899999999999999E-2</v>
      </c>
      <c r="I8529" s="3">
        <v>0.42230000000000001</v>
      </c>
      <c r="J8529" s="3">
        <v>8.9899999999999994E-2</v>
      </c>
      <c r="M8529" s="3">
        <v>7.6799999999999993E-2</v>
      </c>
      <c r="N8529" s="3">
        <v>1.35E-2</v>
      </c>
    </row>
    <row r="8530" spans="1:14">
      <c r="A8530" t="s">
        <v>199</v>
      </c>
      <c r="B8530" t="s">
        <v>219</v>
      </c>
      <c r="C8530">
        <v>451</v>
      </c>
      <c r="D8530" t="s">
        <v>194</v>
      </c>
      <c r="E8530">
        <v>2676</v>
      </c>
      <c r="F8530" s="3">
        <v>0.19159999999999999</v>
      </c>
      <c r="G8530" s="3">
        <v>0.2102</v>
      </c>
      <c r="H8530" s="3">
        <v>2.7699999999999999E-2</v>
      </c>
      <c r="I8530" s="3">
        <v>0.30059999999999998</v>
      </c>
      <c r="J8530" s="3">
        <v>0.16039999999999999</v>
      </c>
      <c r="L8530" s="3">
        <v>2.6800000000000001E-2</v>
      </c>
      <c r="M8530" s="3">
        <v>6.1899999999999997E-2</v>
      </c>
      <c r="N8530" s="3">
        <v>2.07E-2</v>
      </c>
    </row>
    <row r="8531" spans="1:14">
      <c r="A8531" t="s">
        <v>199</v>
      </c>
      <c r="B8531" t="s">
        <v>220</v>
      </c>
      <c r="C8531">
        <v>223</v>
      </c>
      <c r="D8531" t="s">
        <v>194</v>
      </c>
      <c r="E8531">
        <v>2676</v>
      </c>
      <c r="F8531" s="3">
        <v>0.1593</v>
      </c>
      <c r="G8531" s="3">
        <v>0.191</v>
      </c>
      <c r="H8531" s="3">
        <v>2.7900000000000001E-2</v>
      </c>
      <c r="I8531" s="3">
        <v>0.42309999999999998</v>
      </c>
      <c r="J8531" s="3">
        <v>0.1031</v>
      </c>
      <c r="L8531" s="3">
        <v>1E-4</v>
      </c>
      <c r="M8531" s="3">
        <v>9.5399999999999999E-2</v>
      </c>
      <c r="N8531" s="3">
        <v>1E-4</v>
      </c>
    </row>
    <row r="8532" spans="1:14">
      <c r="A8532" t="s">
        <v>200</v>
      </c>
      <c r="B8532" t="s">
        <v>200</v>
      </c>
      <c r="C8532">
        <v>2676</v>
      </c>
      <c r="D8532" t="s">
        <v>200</v>
      </c>
      <c r="E8532">
        <v>2676</v>
      </c>
      <c r="F8532" s="3">
        <v>0.32519999999999999</v>
      </c>
      <c r="G8532" s="3">
        <v>0.20930000000000001</v>
      </c>
      <c r="H8532" s="3">
        <v>2.6700000000000002E-2</v>
      </c>
      <c r="I8532" s="3">
        <v>0.24349999999999999</v>
      </c>
      <c r="J8532" s="3">
        <v>0.1173</v>
      </c>
      <c r="K8532" s="3">
        <v>5.9999999999999995E-4</v>
      </c>
      <c r="L8532" s="3">
        <v>3.7000000000000002E-3</v>
      </c>
      <c r="M8532" s="3">
        <v>5.21E-2</v>
      </c>
      <c r="N8532" s="3">
        <v>2.1600000000000001E-2</v>
      </c>
    </row>
    <row r="8534" spans="1:14" ht="30">
      <c r="A8534" s="22" t="s">
        <v>1699</v>
      </c>
    </row>
    <row r="8535" spans="1:14">
      <c r="A8535" t="s">
        <v>184</v>
      </c>
      <c r="B8535" t="s">
        <v>185</v>
      </c>
      <c r="C8535" t="s">
        <v>186</v>
      </c>
      <c r="D8535" t="s">
        <v>1007</v>
      </c>
      <c r="E8535" t="s">
        <v>1700</v>
      </c>
      <c r="F8535" t="s">
        <v>1701</v>
      </c>
      <c r="G8535" t="s">
        <v>1702</v>
      </c>
      <c r="H8535" t="s">
        <v>1703</v>
      </c>
      <c r="I8535" t="s">
        <v>1704</v>
      </c>
      <c r="J8535" t="s">
        <v>1018</v>
      </c>
      <c r="K8535" t="s">
        <v>192</v>
      </c>
      <c r="L8535" t="s">
        <v>193</v>
      </c>
    </row>
    <row r="8536" spans="1:14" s="25" customFormat="1">
      <c r="A8536" s="25" t="s">
        <v>194</v>
      </c>
      <c r="B8536" s="25" t="s">
        <v>195</v>
      </c>
      <c r="C8536" s="25" t="s">
        <v>222</v>
      </c>
      <c r="D8536" s="25" t="s">
        <v>1705</v>
      </c>
      <c r="E8536" s="26">
        <v>0.60880000000000001</v>
      </c>
      <c r="F8536" s="26">
        <v>0.20150000000000001</v>
      </c>
      <c r="G8536" s="26">
        <v>0.56640000000000001</v>
      </c>
      <c r="I8536" s="26">
        <v>0.314</v>
      </c>
      <c r="J8536" s="25">
        <v>13</v>
      </c>
      <c r="K8536" s="25">
        <v>6</v>
      </c>
      <c r="L8536" s="25">
        <v>171</v>
      </c>
    </row>
    <row r="8537" spans="1:14" s="25" customFormat="1">
      <c r="A8537" s="25" t="s">
        <v>194</v>
      </c>
      <c r="B8537" s="25" t="s">
        <v>195</v>
      </c>
      <c r="C8537" s="25" t="s">
        <v>222</v>
      </c>
      <c r="D8537" s="25" t="s">
        <v>1706</v>
      </c>
      <c r="E8537" s="26">
        <v>0.39119999999999999</v>
      </c>
      <c r="F8537" s="26">
        <v>0.79849999999999999</v>
      </c>
      <c r="G8537" s="26">
        <v>0.43359999999999999</v>
      </c>
      <c r="H8537" s="26">
        <v>0.22309999999999999</v>
      </c>
      <c r="I8537" s="26">
        <v>0.57350000000000001</v>
      </c>
      <c r="J8537" s="25">
        <v>13</v>
      </c>
      <c r="K8537" s="25">
        <v>6</v>
      </c>
      <c r="L8537" s="25">
        <v>171</v>
      </c>
    </row>
    <row r="8538" spans="1:14">
      <c r="A8538" t="s">
        <v>194</v>
      </c>
      <c r="B8538" t="s">
        <v>195</v>
      </c>
      <c r="C8538" t="s">
        <v>224</v>
      </c>
      <c r="D8538" t="s">
        <v>257</v>
      </c>
      <c r="E8538" s="3">
        <v>2.35E-2</v>
      </c>
      <c r="F8538" s="3">
        <v>1.03E-2</v>
      </c>
      <c r="H8538" s="3">
        <v>1.6000000000000001E-3</v>
      </c>
      <c r="I8538" s="3">
        <v>2.9100000000000001E-2</v>
      </c>
      <c r="J8538">
        <v>78</v>
      </c>
      <c r="K8538">
        <v>92</v>
      </c>
      <c r="L8538">
        <v>171</v>
      </c>
    </row>
    <row r="8539" spans="1:14">
      <c r="A8539" t="s">
        <v>194</v>
      </c>
      <c r="B8539" t="s">
        <v>195</v>
      </c>
      <c r="C8539" t="s">
        <v>224</v>
      </c>
      <c r="D8539" t="s">
        <v>247</v>
      </c>
      <c r="E8539" s="3">
        <v>1E-3</v>
      </c>
      <c r="J8539">
        <v>78</v>
      </c>
      <c r="K8539">
        <v>92</v>
      </c>
      <c r="L8539">
        <v>171</v>
      </c>
    </row>
    <row r="8540" spans="1:14">
      <c r="A8540" t="s">
        <v>194</v>
      </c>
      <c r="B8540" t="s">
        <v>195</v>
      </c>
      <c r="C8540" t="s">
        <v>224</v>
      </c>
      <c r="D8540" t="s">
        <v>1705</v>
      </c>
      <c r="E8540" s="3">
        <v>0.39290000000000003</v>
      </c>
      <c r="F8540" s="3">
        <v>0.27410000000000001</v>
      </c>
      <c r="G8540" s="3">
        <v>0.44890000000000002</v>
      </c>
      <c r="H8540" s="3">
        <v>0.61870000000000003</v>
      </c>
      <c r="I8540" s="3">
        <v>0.42830000000000001</v>
      </c>
      <c r="J8540">
        <v>78</v>
      </c>
      <c r="K8540">
        <v>92</v>
      </c>
      <c r="L8540">
        <v>171</v>
      </c>
    </row>
    <row r="8541" spans="1:14">
      <c r="A8541" t="s">
        <v>194</v>
      </c>
      <c r="B8541" t="s">
        <v>195</v>
      </c>
      <c r="C8541" t="s">
        <v>224</v>
      </c>
      <c r="D8541" t="s">
        <v>1706</v>
      </c>
      <c r="E8541" s="3">
        <v>0.54310000000000003</v>
      </c>
      <c r="F8541" s="3">
        <v>0.71560000000000001</v>
      </c>
      <c r="G8541" s="3">
        <v>0.53820000000000001</v>
      </c>
      <c r="H8541" s="3">
        <v>0.1106</v>
      </c>
      <c r="I8541" s="3">
        <v>0.53910000000000002</v>
      </c>
      <c r="J8541">
        <v>78</v>
      </c>
      <c r="K8541">
        <v>92</v>
      </c>
      <c r="L8541">
        <v>171</v>
      </c>
    </row>
    <row r="8542" spans="1:14">
      <c r="A8542" t="s">
        <v>194</v>
      </c>
      <c r="B8542" t="s">
        <v>195</v>
      </c>
      <c r="C8542" t="s">
        <v>224</v>
      </c>
      <c r="D8542" t="s">
        <v>1707</v>
      </c>
      <c r="E8542" s="3">
        <v>3.95E-2</v>
      </c>
      <c r="G8542" s="3">
        <v>1.2999999999999999E-2</v>
      </c>
      <c r="H8542" s="3">
        <v>0.26919999999999999</v>
      </c>
      <c r="I8542" s="3">
        <v>3.5000000000000001E-3</v>
      </c>
      <c r="J8542">
        <v>78</v>
      </c>
      <c r="K8542">
        <v>92</v>
      </c>
      <c r="L8542">
        <v>171</v>
      </c>
    </row>
    <row r="8543" spans="1:14" s="25" customFormat="1">
      <c r="A8543" s="25" t="s">
        <v>194</v>
      </c>
      <c r="B8543" s="25" t="s">
        <v>199</v>
      </c>
      <c r="C8543" s="25" t="s">
        <v>222</v>
      </c>
      <c r="D8543" s="25" t="s">
        <v>1705</v>
      </c>
      <c r="E8543" s="26">
        <v>0.56230000000000002</v>
      </c>
      <c r="F8543" s="26">
        <v>0.1769</v>
      </c>
      <c r="G8543" s="26">
        <v>0.32490000000000002</v>
      </c>
      <c r="H8543" s="26">
        <v>0.20599999999999999</v>
      </c>
      <c r="I8543" s="26">
        <v>0.26889999999999997</v>
      </c>
      <c r="J8543" s="25">
        <v>2</v>
      </c>
      <c r="K8543" s="25">
        <v>6</v>
      </c>
      <c r="L8543" s="25">
        <v>171</v>
      </c>
    </row>
    <row r="8544" spans="1:14" s="25" customFormat="1">
      <c r="A8544" s="25" t="s">
        <v>194</v>
      </c>
      <c r="B8544" s="25" t="s">
        <v>199</v>
      </c>
      <c r="C8544" s="25" t="s">
        <v>222</v>
      </c>
      <c r="D8544" s="25" t="s">
        <v>1706</v>
      </c>
      <c r="E8544" s="26">
        <v>0.43769999999999998</v>
      </c>
      <c r="F8544" s="26">
        <v>0.81389999999999996</v>
      </c>
      <c r="G8544" s="26">
        <v>0.64590000000000003</v>
      </c>
      <c r="I8544" s="26">
        <v>0.73109999999999997</v>
      </c>
      <c r="J8544" s="25">
        <v>2</v>
      </c>
      <c r="K8544" s="25">
        <v>6</v>
      </c>
      <c r="L8544" s="25">
        <v>171</v>
      </c>
    </row>
    <row r="8545" spans="1:13">
      <c r="A8545" t="s">
        <v>194</v>
      </c>
      <c r="B8545" t="s">
        <v>199</v>
      </c>
      <c r="C8545" t="s">
        <v>224</v>
      </c>
      <c r="D8545" t="s">
        <v>1705</v>
      </c>
      <c r="E8545" s="3">
        <v>0.33710000000000001</v>
      </c>
      <c r="F8545" s="3">
        <v>0.2387</v>
      </c>
      <c r="G8545" s="3">
        <v>0.3286</v>
      </c>
      <c r="H8545" s="3">
        <v>0.12820000000000001</v>
      </c>
      <c r="I8545" s="3">
        <v>0.16159999999999999</v>
      </c>
      <c r="J8545">
        <v>35</v>
      </c>
      <c r="K8545">
        <v>67</v>
      </c>
      <c r="L8545">
        <v>171</v>
      </c>
    </row>
    <row r="8546" spans="1:13">
      <c r="A8546" t="s">
        <v>194</v>
      </c>
      <c r="B8546" t="s">
        <v>199</v>
      </c>
      <c r="C8546" t="s">
        <v>224</v>
      </c>
      <c r="D8546" t="s">
        <v>1706</v>
      </c>
      <c r="E8546" s="3">
        <v>0.66290000000000004</v>
      </c>
      <c r="F8546" s="3">
        <v>0.71289999999999998</v>
      </c>
      <c r="G8546" s="3">
        <v>0.6694</v>
      </c>
      <c r="H8546" s="3">
        <v>0.10780000000000001</v>
      </c>
      <c r="I8546" s="3">
        <v>0.82499999999999996</v>
      </c>
      <c r="J8546">
        <v>35</v>
      </c>
      <c r="K8546">
        <v>67</v>
      </c>
      <c r="L8546">
        <v>171</v>
      </c>
    </row>
    <row r="8547" spans="1:13">
      <c r="A8547" t="s">
        <v>200</v>
      </c>
      <c r="B8547" t="s">
        <v>200</v>
      </c>
      <c r="C8547" t="s">
        <v>200</v>
      </c>
      <c r="D8547" t="s">
        <v>257</v>
      </c>
      <c r="E8547" s="3">
        <v>1.43E-2</v>
      </c>
      <c r="F8547" s="3">
        <v>1.78E-2</v>
      </c>
      <c r="G8547" s="3">
        <v>8.9999999999999998E-4</v>
      </c>
      <c r="H8547" s="3">
        <v>4.4000000000000003E-3</v>
      </c>
      <c r="I8547" s="3">
        <v>2.9100000000000001E-2</v>
      </c>
      <c r="J8547">
        <v>171</v>
      </c>
      <c r="K8547">
        <v>171</v>
      </c>
      <c r="L8547">
        <v>171</v>
      </c>
    </row>
    <row r="8548" spans="1:13">
      <c r="A8548" t="s">
        <v>200</v>
      </c>
      <c r="B8548" t="s">
        <v>200</v>
      </c>
      <c r="C8548" t="s">
        <v>200</v>
      </c>
      <c r="D8548" t="s">
        <v>247</v>
      </c>
      <c r="E8548" s="3">
        <v>5.9999999999999995E-4</v>
      </c>
      <c r="J8548">
        <v>171</v>
      </c>
      <c r="K8548">
        <v>171</v>
      </c>
      <c r="L8548">
        <v>171</v>
      </c>
    </row>
    <row r="8549" spans="1:13">
      <c r="A8549" t="s">
        <v>200</v>
      </c>
      <c r="B8549" t="s">
        <v>200</v>
      </c>
      <c r="C8549" t="s">
        <v>200</v>
      </c>
      <c r="D8549" t="s">
        <v>1705</v>
      </c>
      <c r="E8549" s="3">
        <v>0.40229999999999999</v>
      </c>
      <c r="F8549" s="3">
        <v>0.25219999999999998</v>
      </c>
      <c r="G8549" s="3">
        <v>0.43769999999999998</v>
      </c>
      <c r="H8549" s="3">
        <v>0.36480000000000001</v>
      </c>
      <c r="I8549" s="3">
        <v>0.3271</v>
      </c>
      <c r="J8549">
        <v>171</v>
      </c>
      <c r="K8549">
        <v>171</v>
      </c>
      <c r="L8549">
        <v>171</v>
      </c>
    </row>
    <row r="8550" spans="1:13">
      <c r="A8550" t="s">
        <v>200</v>
      </c>
      <c r="B8550" t="s">
        <v>200</v>
      </c>
      <c r="C8550" t="s">
        <v>200</v>
      </c>
      <c r="D8550" t="s">
        <v>1706</v>
      </c>
      <c r="E8550" s="3">
        <v>0.55869999999999997</v>
      </c>
      <c r="F8550" s="3">
        <v>0.73009999999999997</v>
      </c>
      <c r="G8550" s="3">
        <v>0.55289999999999995</v>
      </c>
      <c r="H8550" s="3">
        <v>0.10199999999999999</v>
      </c>
      <c r="I8550" s="3">
        <v>0.63870000000000005</v>
      </c>
      <c r="J8550">
        <v>171</v>
      </c>
      <c r="K8550">
        <v>171</v>
      </c>
      <c r="L8550">
        <v>171</v>
      </c>
    </row>
    <row r="8551" spans="1:13">
      <c r="A8551" t="s">
        <v>200</v>
      </c>
      <c r="B8551" t="s">
        <v>200</v>
      </c>
      <c r="C8551" t="s">
        <v>200</v>
      </c>
      <c r="D8551" t="s">
        <v>1707</v>
      </c>
      <c r="E8551" s="3">
        <v>2.4E-2</v>
      </c>
      <c r="G8551" s="3">
        <v>8.5000000000000006E-3</v>
      </c>
      <c r="H8551" s="3">
        <v>0.52880000000000005</v>
      </c>
      <c r="I8551" s="3">
        <v>5.1000000000000004E-3</v>
      </c>
      <c r="J8551">
        <v>171</v>
      </c>
      <c r="K8551">
        <v>171</v>
      </c>
      <c r="L8551">
        <v>171</v>
      </c>
    </row>
    <row r="8553" spans="1:13" ht="45">
      <c r="A8553" s="22" t="s">
        <v>1708</v>
      </c>
    </row>
    <row r="8554" spans="1:13">
      <c r="A8554" t="s">
        <v>185</v>
      </c>
      <c r="B8554" t="s">
        <v>186</v>
      </c>
      <c r="C8554" t="s">
        <v>192</v>
      </c>
      <c r="D8554" t="s">
        <v>184</v>
      </c>
      <c r="E8554" t="s">
        <v>193</v>
      </c>
      <c r="F8554" t="s">
        <v>1709</v>
      </c>
      <c r="G8554" t="s">
        <v>1710</v>
      </c>
      <c r="H8554" t="s">
        <v>1711</v>
      </c>
      <c r="I8554" t="s">
        <v>257</v>
      </c>
      <c r="J8554" t="s">
        <v>1712</v>
      </c>
      <c r="K8554" t="s">
        <v>1713</v>
      </c>
      <c r="L8554" t="s">
        <v>1714</v>
      </c>
      <c r="M8554" t="s">
        <v>247</v>
      </c>
    </row>
    <row r="8555" spans="1:13">
      <c r="A8555" t="s">
        <v>195</v>
      </c>
      <c r="B8555" t="s">
        <v>222</v>
      </c>
      <c r="C8555">
        <v>248</v>
      </c>
      <c r="D8555" t="s">
        <v>194</v>
      </c>
      <c r="E8555">
        <v>2676</v>
      </c>
      <c r="F8555" s="3">
        <v>0.17549999999999999</v>
      </c>
      <c r="G8555" s="3">
        <v>0.20469999999999999</v>
      </c>
      <c r="H8555" s="3">
        <v>0.1711</v>
      </c>
      <c r="I8555" s="3">
        <v>1.6899999999999998E-2</v>
      </c>
      <c r="J8555" s="3">
        <v>0.1328</v>
      </c>
      <c r="K8555" s="3">
        <v>0.16159999999999999</v>
      </c>
      <c r="L8555" s="3">
        <v>0.13750000000000001</v>
      </c>
    </row>
    <row r="8556" spans="1:13">
      <c r="A8556" t="s">
        <v>195</v>
      </c>
      <c r="B8556" t="s">
        <v>224</v>
      </c>
      <c r="C8556">
        <v>940</v>
      </c>
      <c r="D8556" t="s">
        <v>194</v>
      </c>
      <c r="E8556">
        <v>2676</v>
      </c>
      <c r="F8556" s="3">
        <v>0.21149999999999999</v>
      </c>
      <c r="G8556" s="3">
        <v>0.1704</v>
      </c>
      <c r="H8556" s="3">
        <v>9.9900000000000003E-2</v>
      </c>
      <c r="I8556" s="3">
        <v>5.5999999999999999E-3</v>
      </c>
      <c r="J8556" s="3">
        <v>0.2208</v>
      </c>
      <c r="K8556" s="3">
        <v>0.23280000000000001</v>
      </c>
      <c r="L8556" s="3">
        <v>5.6300000000000003E-2</v>
      </c>
      <c r="M8556" s="3">
        <v>2.5999999999999999E-3</v>
      </c>
    </row>
    <row r="8557" spans="1:13">
      <c r="A8557" t="s">
        <v>199</v>
      </c>
      <c r="B8557" t="s">
        <v>222</v>
      </c>
      <c r="C8557">
        <v>390</v>
      </c>
      <c r="D8557" t="s">
        <v>194</v>
      </c>
      <c r="E8557">
        <v>2676</v>
      </c>
      <c r="F8557" s="3">
        <v>3.3000000000000002E-2</v>
      </c>
      <c r="G8557" s="3">
        <v>2.7400000000000001E-2</v>
      </c>
      <c r="H8557" s="3">
        <v>2.5999999999999999E-2</v>
      </c>
      <c r="I8557" s="3">
        <v>8.0999999999999996E-3</v>
      </c>
      <c r="J8557" s="3">
        <v>2.58E-2</v>
      </c>
      <c r="K8557" s="3">
        <v>0.2621</v>
      </c>
      <c r="L8557" s="3">
        <v>0.61329999999999996</v>
      </c>
      <c r="M8557" s="3">
        <v>4.3E-3</v>
      </c>
    </row>
    <row r="8558" spans="1:13">
      <c r="A8558" t="s">
        <v>199</v>
      </c>
      <c r="B8558" t="s">
        <v>224</v>
      </c>
      <c r="C8558">
        <v>1098</v>
      </c>
      <c r="D8558" t="s">
        <v>194</v>
      </c>
      <c r="E8558">
        <v>2676</v>
      </c>
      <c r="F8558" s="3">
        <v>5.9799999999999999E-2</v>
      </c>
      <c r="G8558" s="3">
        <v>5.3600000000000002E-2</v>
      </c>
      <c r="H8558" s="3">
        <v>4.07E-2</v>
      </c>
      <c r="I8558" s="3">
        <v>1E-4</v>
      </c>
      <c r="J8558" s="3">
        <v>3.9600000000000003E-2</v>
      </c>
      <c r="K8558" s="3">
        <v>0.34360000000000002</v>
      </c>
      <c r="L8558" s="3">
        <v>0.4627</v>
      </c>
    </row>
    <row r="8559" spans="1:13">
      <c r="A8559" t="s">
        <v>200</v>
      </c>
      <c r="B8559" t="s">
        <v>200</v>
      </c>
      <c r="C8559">
        <v>2676</v>
      </c>
      <c r="D8559" t="s">
        <v>200</v>
      </c>
      <c r="E8559">
        <v>2676</v>
      </c>
      <c r="F8559" s="3">
        <v>0.1188</v>
      </c>
      <c r="G8559" s="3">
        <v>0.1047</v>
      </c>
      <c r="H8559" s="3">
        <v>7.2099999999999997E-2</v>
      </c>
      <c r="I8559" s="3">
        <v>5.1000000000000004E-3</v>
      </c>
      <c r="J8559" s="3">
        <v>0.10829999999999999</v>
      </c>
      <c r="K8559" s="3">
        <v>0.27289999999999998</v>
      </c>
      <c r="L8559" s="3">
        <v>0.3165</v>
      </c>
      <c r="M8559" s="3">
        <v>1.6000000000000001E-3</v>
      </c>
    </row>
    <row r="8561" spans="1:12" ht="30">
      <c r="A8561" s="22" t="s">
        <v>1715</v>
      </c>
    </row>
    <row r="8562" spans="1:12">
      <c r="A8562" t="s">
        <v>184</v>
      </c>
      <c r="B8562" t="s">
        <v>185</v>
      </c>
      <c r="C8562" t="s">
        <v>186</v>
      </c>
      <c r="D8562" t="s">
        <v>1007</v>
      </c>
      <c r="E8562" t="s">
        <v>1700</v>
      </c>
      <c r="F8562" t="s">
        <v>1701</v>
      </c>
      <c r="G8562" t="s">
        <v>1702</v>
      </c>
      <c r="H8562" t="s">
        <v>1703</v>
      </c>
      <c r="I8562" t="s">
        <v>1704</v>
      </c>
      <c r="J8562" t="s">
        <v>1018</v>
      </c>
      <c r="K8562" t="s">
        <v>192</v>
      </c>
      <c r="L8562" t="s">
        <v>193</v>
      </c>
    </row>
    <row r="8563" spans="1:12" s="25" customFormat="1">
      <c r="A8563" s="25" t="s">
        <v>194</v>
      </c>
      <c r="B8563" s="25" t="s">
        <v>195</v>
      </c>
      <c r="C8563" s="25" t="s">
        <v>229</v>
      </c>
      <c r="D8563" s="25" t="s">
        <v>1705</v>
      </c>
      <c r="E8563" s="26">
        <v>0.26340000000000002</v>
      </c>
      <c r="F8563" s="26">
        <v>0.1103</v>
      </c>
      <c r="G8563" s="26">
        <v>0.50229999999999997</v>
      </c>
      <c r="H8563" s="26">
        <v>0.73880000000000001</v>
      </c>
      <c r="I8563" s="26">
        <v>6.25E-2</v>
      </c>
      <c r="J8563" s="25">
        <v>16</v>
      </c>
      <c r="K8563" s="25">
        <v>15</v>
      </c>
      <c r="L8563" s="25">
        <v>171</v>
      </c>
    </row>
    <row r="8564" spans="1:12" s="25" customFormat="1">
      <c r="A8564" s="25" t="s">
        <v>194</v>
      </c>
      <c r="B8564" s="25" t="s">
        <v>195</v>
      </c>
      <c r="C8564" s="25" t="s">
        <v>229</v>
      </c>
      <c r="D8564" s="25" t="s">
        <v>1706</v>
      </c>
      <c r="E8564" s="26">
        <v>0.64319999999999999</v>
      </c>
      <c r="F8564" s="26">
        <v>0.88970000000000005</v>
      </c>
      <c r="G8564" s="26">
        <v>0.49769999999999998</v>
      </c>
      <c r="H8564" s="26">
        <v>4.36E-2</v>
      </c>
      <c r="I8564" s="26">
        <v>0.9375</v>
      </c>
      <c r="J8564" s="25">
        <v>16</v>
      </c>
      <c r="K8564" s="25">
        <v>15</v>
      </c>
      <c r="L8564" s="25">
        <v>171</v>
      </c>
    </row>
    <row r="8565" spans="1:12" s="25" customFormat="1">
      <c r="A8565" s="25" t="s">
        <v>194</v>
      </c>
      <c r="B8565" s="25" t="s">
        <v>195</v>
      </c>
      <c r="C8565" s="25" t="s">
        <v>229</v>
      </c>
      <c r="D8565" s="25" t="s">
        <v>1707</v>
      </c>
      <c r="E8565" s="26">
        <v>9.3399999999999997E-2</v>
      </c>
      <c r="H8565" s="26">
        <v>0.21759999999999999</v>
      </c>
      <c r="J8565" s="25">
        <v>16</v>
      </c>
      <c r="K8565" s="25">
        <v>15</v>
      </c>
      <c r="L8565" s="25">
        <v>171</v>
      </c>
    </row>
    <row r="8566" spans="1:12">
      <c r="A8566" t="s">
        <v>194</v>
      </c>
      <c r="B8566" t="s">
        <v>195</v>
      </c>
      <c r="C8566" t="s">
        <v>230</v>
      </c>
      <c r="D8566" t="s">
        <v>247</v>
      </c>
      <c r="E8566" s="3">
        <v>1.8E-3</v>
      </c>
      <c r="J8566">
        <v>45</v>
      </c>
      <c r="K8566">
        <v>47</v>
      </c>
      <c r="L8566">
        <v>171</v>
      </c>
    </row>
    <row r="8567" spans="1:12">
      <c r="A8567" t="s">
        <v>194</v>
      </c>
      <c r="B8567" t="s">
        <v>195</v>
      </c>
      <c r="C8567" t="s">
        <v>230</v>
      </c>
      <c r="D8567" t="s">
        <v>1705</v>
      </c>
      <c r="E8567" s="3">
        <v>0.41239999999999999</v>
      </c>
      <c r="F8567" s="3">
        <v>0.23960000000000001</v>
      </c>
      <c r="G8567" s="3">
        <v>0.4531</v>
      </c>
      <c r="H8567" s="3">
        <v>0.48370000000000002</v>
      </c>
      <c r="I8567" s="3">
        <v>0.62350000000000005</v>
      </c>
      <c r="J8567">
        <v>45</v>
      </c>
      <c r="K8567">
        <v>47</v>
      </c>
      <c r="L8567">
        <v>171</v>
      </c>
    </row>
    <row r="8568" spans="1:12">
      <c r="A8568" t="s">
        <v>194</v>
      </c>
      <c r="B8568" t="s">
        <v>195</v>
      </c>
      <c r="C8568" t="s">
        <v>230</v>
      </c>
      <c r="D8568" t="s">
        <v>1706</v>
      </c>
      <c r="E8568" s="3">
        <v>0.56520000000000004</v>
      </c>
      <c r="F8568" s="3">
        <v>0.76039999999999996</v>
      </c>
      <c r="G8568" s="3">
        <v>0.51849999999999996</v>
      </c>
      <c r="H8568" s="3">
        <v>0.1547</v>
      </c>
      <c r="I8568" s="3">
        <v>0.36809999999999998</v>
      </c>
      <c r="J8568">
        <v>45</v>
      </c>
      <c r="K8568">
        <v>47</v>
      </c>
      <c r="L8568">
        <v>171</v>
      </c>
    </row>
    <row r="8569" spans="1:12">
      <c r="A8569" t="s">
        <v>194</v>
      </c>
      <c r="B8569" t="s">
        <v>195</v>
      </c>
      <c r="C8569" t="s">
        <v>230</v>
      </c>
      <c r="D8569" t="s">
        <v>1707</v>
      </c>
      <c r="E8569" s="3">
        <v>2.06E-2</v>
      </c>
      <c r="G8569" s="3">
        <v>2.8400000000000002E-2</v>
      </c>
      <c r="H8569" s="3">
        <v>0.36159999999999998</v>
      </c>
      <c r="I8569" s="3">
        <v>8.3999999999999995E-3</v>
      </c>
      <c r="J8569">
        <v>45</v>
      </c>
      <c r="K8569">
        <v>47</v>
      </c>
      <c r="L8569">
        <v>171</v>
      </c>
    </row>
    <row r="8570" spans="1:12" s="25" customFormat="1">
      <c r="A8570" s="25" t="s">
        <v>194</v>
      </c>
      <c r="B8570" s="25" t="s">
        <v>195</v>
      </c>
      <c r="C8570" s="25" t="s">
        <v>231</v>
      </c>
      <c r="D8570" s="25" t="s">
        <v>257</v>
      </c>
      <c r="E8570" s="26">
        <v>5.8200000000000002E-2</v>
      </c>
      <c r="F8570" s="26">
        <v>4.9399999999999999E-2</v>
      </c>
      <c r="H8570" s="26">
        <v>1.9400000000000001E-2</v>
      </c>
      <c r="I8570" s="26">
        <v>9.3700000000000006E-2</v>
      </c>
      <c r="J8570" s="25">
        <v>22</v>
      </c>
      <c r="K8570" s="25">
        <v>27</v>
      </c>
      <c r="L8570" s="25">
        <v>171</v>
      </c>
    </row>
    <row r="8571" spans="1:12" s="25" customFormat="1">
      <c r="A8571" s="25" t="s">
        <v>194</v>
      </c>
      <c r="B8571" s="25" t="s">
        <v>195</v>
      </c>
      <c r="C8571" s="25" t="s">
        <v>231</v>
      </c>
      <c r="D8571" s="25" t="s">
        <v>1705</v>
      </c>
      <c r="E8571" s="26">
        <v>0.62729999999999997</v>
      </c>
      <c r="F8571" s="26">
        <v>0.40339999999999998</v>
      </c>
      <c r="G8571" s="26">
        <v>0.7026</v>
      </c>
      <c r="H8571" s="26">
        <v>0.98060000000000003</v>
      </c>
      <c r="I8571" s="26">
        <v>0.38019999999999998</v>
      </c>
      <c r="J8571" s="25">
        <v>22</v>
      </c>
      <c r="K8571" s="25">
        <v>27</v>
      </c>
      <c r="L8571" s="25">
        <v>171</v>
      </c>
    </row>
    <row r="8572" spans="1:12" s="25" customFormat="1">
      <c r="A8572" s="25" t="s">
        <v>194</v>
      </c>
      <c r="B8572" s="25" t="s">
        <v>195</v>
      </c>
      <c r="C8572" s="25" t="s">
        <v>231</v>
      </c>
      <c r="D8572" s="25" t="s">
        <v>1706</v>
      </c>
      <c r="E8572" s="26">
        <v>0.3145</v>
      </c>
      <c r="F8572" s="26">
        <v>0.54720000000000002</v>
      </c>
      <c r="G8572" s="26">
        <v>0.2974</v>
      </c>
      <c r="I8572" s="26">
        <v>0.52610000000000001</v>
      </c>
      <c r="J8572" s="25">
        <v>22</v>
      </c>
      <c r="K8572" s="25">
        <v>27</v>
      </c>
      <c r="L8572" s="25">
        <v>171</v>
      </c>
    </row>
    <row r="8573" spans="1:12" s="25" customFormat="1">
      <c r="A8573" s="25" t="s">
        <v>194</v>
      </c>
      <c r="B8573" s="25" t="s">
        <v>195</v>
      </c>
      <c r="C8573" s="25" t="s">
        <v>232</v>
      </c>
      <c r="D8573" s="25" t="s">
        <v>257</v>
      </c>
      <c r="E8573" s="26">
        <v>7.2599999999999998E-2</v>
      </c>
      <c r="I8573" s="26">
        <v>7.5600000000000001E-2</v>
      </c>
      <c r="J8573" s="25">
        <v>8</v>
      </c>
      <c r="K8573" s="25">
        <v>9</v>
      </c>
      <c r="L8573" s="25">
        <v>171</v>
      </c>
    </row>
    <row r="8574" spans="1:12" s="25" customFormat="1">
      <c r="A8574" s="25" t="s">
        <v>194</v>
      </c>
      <c r="B8574" s="25" t="s">
        <v>195</v>
      </c>
      <c r="C8574" s="25" t="s">
        <v>232</v>
      </c>
      <c r="D8574" s="25" t="s">
        <v>1705</v>
      </c>
      <c r="E8574" s="26">
        <v>0.24790000000000001</v>
      </c>
      <c r="F8574" s="26">
        <v>0.26889999999999997</v>
      </c>
      <c r="G8574" s="26">
        <v>0.26190000000000002</v>
      </c>
      <c r="I8574" s="26">
        <v>0.32529999999999998</v>
      </c>
      <c r="J8574" s="25">
        <v>8</v>
      </c>
      <c r="K8574" s="25">
        <v>9</v>
      </c>
      <c r="L8574" s="25">
        <v>171</v>
      </c>
    </row>
    <row r="8575" spans="1:12" s="25" customFormat="1">
      <c r="A8575" s="25" t="s">
        <v>194</v>
      </c>
      <c r="B8575" s="25" t="s">
        <v>195</v>
      </c>
      <c r="C8575" s="25" t="s">
        <v>232</v>
      </c>
      <c r="D8575" s="25" t="s">
        <v>1706</v>
      </c>
      <c r="E8575" s="26">
        <v>0.59540000000000004</v>
      </c>
      <c r="F8575" s="26">
        <v>0.73109999999999997</v>
      </c>
      <c r="G8575" s="26">
        <v>0.73809999999999998</v>
      </c>
      <c r="I8575" s="26">
        <v>0.59899999999999998</v>
      </c>
      <c r="J8575" s="25">
        <v>8</v>
      </c>
      <c r="K8575" s="25">
        <v>9</v>
      </c>
      <c r="L8575" s="25">
        <v>171</v>
      </c>
    </row>
    <row r="8576" spans="1:12" s="25" customFormat="1">
      <c r="A8576" s="25" t="s">
        <v>194</v>
      </c>
      <c r="B8576" s="25" t="s">
        <v>195</v>
      </c>
      <c r="C8576" s="25" t="s">
        <v>232</v>
      </c>
      <c r="D8576" s="25" t="s">
        <v>1707</v>
      </c>
      <c r="E8576" s="26">
        <v>8.4099999999999994E-2</v>
      </c>
      <c r="J8576" s="25">
        <v>8</v>
      </c>
      <c r="K8576" s="25">
        <v>9</v>
      </c>
      <c r="L8576" s="25">
        <v>171</v>
      </c>
    </row>
    <row r="8577" spans="1:13" s="25" customFormat="1">
      <c r="A8577" s="25" t="s">
        <v>194</v>
      </c>
      <c r="B8577" s="25" t="s">
        <v>199</v>
      </c>
      <c r="C8577" s="25" t="s">
        <v>229</v>
      </c>
      <c r="D8577" s="25" t="s">
        <v>1705</v>
      </c>
      <c r="E8577" s="26">
        <v>0.29659999999999997</v>
      </c>
      <c r="F8577" s="26">
        <v>0.18379999999999999</v>
      </c>
      <c r="G8577" s="26">
        <v>5.8799999999999998E-2</v>
      </c>
      <c r="I8577" s="26">
        <v>0.34720000000000001</v>
      </c>
      <c r="J8577" s="25">
        <v>5</v>
      </c>
      <c r="K8577" s="25">
        <v>7</v>
      </c>
      <c r="L8577" s="25">
        <v>171</v>
      </c>
    </row>
    <row r="8578" spans="1:13" s="25" customFormat="1">
      <c r="A8578" s="25" t="s">
        <v>194</v>
      </c>
      <c r="B8578" s="25" t="s">
        <v>199</v>
      </c>
      <c r="C8578" s="25" t="s">
        <v>229</v>
      </c>
      <c r="D8578" s="25" t="s">
        <v>1706</v>
      </c>
      <c r="E8578" s="26">
        <v>0.70340000000000003</v>
      </c>
      <c r="F8578" s="26">
        <v>0.81620000000000004</v>
      </c>
      <c r="G8578" s="26">
        <v>0.94120000000000004</v>
      </c>
      <c r="H8578" s="26">
        <v>0.1197</v>
      </c>
      <c r="I8578" s="26">
        <v>0.65280000000000005</v>
      </c>
      <c r="J8578" s="25">
        <v>5</v>
      </c>
      <c r="K8578" s="25">
        <v>7</v>
      </c>
      <c r="L8578" s="25">
        <v>171</v>
      </c>
    </row>
    <row r="8579" spans="1:13">
      <c r="A8579" t="s">
        <v>194</v>
      </c>
      <c r="B8579" t="s">
        <v>199</v>
      </c>
      <c r="C8579" t="s">
        <v>230</v>
      </c>
      <c r="D8579" t="s">
        <v>1705</v>
      </c>
      <c r="E8579" s="3">
        <v>0.4879</v>
      </c>
      <c r="F8579" s="3">
        <v>0.2883</v>
      </c>
      <c r="G8579" s="3">
        <v>0.44929999999999998</v>
      </c>
      <c r="H8579" s="3">
        <v>0.12479999999999999</v>
      </c>
      <c r="I8579" s="3">
        <v>0.17849999999999999</v>
      </c>
      <c r="J8579">
        <v>18</v>
      </c>
      <c r="K8579">
        <v>38</v>
      </c>
      <c r="L8579">
        <v>171</v>
      </c>
    </row>
    <row r="8580" spans="1:13">
      <c r="A8580" t="s">
        <v>194</v>
      </c>
      <c r="B8580" t="s">
        <v>199</v>
      </c>
      <c r="C8580" t="s">
        <v>230</v>
      </c>
      <c r="D8580" t="s">
        <v>1706</v>
      </c>
      <c r="E8580" s="3">
        <v>0.5121</v>
      </c>
      <c r="F8580" s="3">
        <v>0.7117</v>
      </c>
      <c r="G8580" s="3">
        <v>0.55069999999999997</v>
      </c>
      <c r="H8580" s="3">
        <v>9.8400000000000001E-2</v>
      </c>
      <c r="I8580" s="3">
        <v>0.81910000000000005</v>
      </c>
      <c r="J8580">
        <v>18</v>
      </c>
      <c r="K8580">
        <v>38</v>
      </c>
      <c r="L8580">
        <v>171</v>
      </c>
    </row>
    <row r="8581" spans="1:13" s="25" customFormat="1">
      <c r="A8581" s="25" t="s">
        <v>194</v>
      </c>
      <c r="B8581" s="25" t="s">
        <v>199</v>
      </c>
      <c r="C8581" s="25" t="s">
        <v>231</v>
      </c>
      <c r="D8581" s="25" t="s">
        <v>1705</v>
      </c>
      <c r="E8581" s="26">
        <v>0.31359999999999999</v>
      </c>
      <c r="F8581" s="26">
        <v>0.37640000000000001</v>
      </c>
      <c r="G8581" s="26">
        <v>0.40400000000000003</v>
      </c>
      <c r="H8581" s="26">
        <v>0.316</v>
      </c>
      <c r="I8581" s="26">
        <v>0.20599999999999999</v>
      </c>
      <c r="J8581" s="25">
        <v>8</v>
      </c>
      <c r="K8581" s="25">
        <v>22</v>
      </c>
      <c r="L8581" s="25">
        <v>171</v>
      </c>
    </row>
    <row r="8582" spans="1:13" s="25" customFormat="1">
      <c r="A8582" s="25" t="s">
        <v>194</v>
      </c>
      <c r="B8582" s="25" t="s">
        <v>199</v>
      </c>
      <c r="C8582" s="25" t="s">
        <v>231</v>
      </c>
      <c r="D8582" s="25" t="s">
        <v>1706</v>
      </c>
      <c r="E8582" s="26">
        <v>0.68640000000000001</v>
      </c>
      <c r="F8582" s="26">
        <v>0.61099999999999999</v>
      </c>
      <c r="G8582" s="26">
        <v>0.57520000000000004</v>
      </c>
      <c r="I8582" s="26">
        <v>0.79400000000000004</v>
      </c>
      <c r="J8582" s="25">
        <v>8</v>
      </c>
      <c r="K8582" s="25">
        <v>22</v>
      </c>
      <c r="L8582" s="25">
        <v>171</v>
      </c>
    </row>
    <row r="8583" spans="1:13" s="25" customFormat="1">
      <c r="A8583" s="25" t="s">
        <v>194</v>
      </c>
      <c r="B8583" s="25" t="s">
        <v>199</v>
      </c>
      <c r="C8583" s="25" t="s">
        <v>232</v>
      </c>
      <c r="D8583" s="25" t="s">
        <v>1705</v>
      </c>
      <c r="E8583" s="26">
        <v>3.04E-2</v>
      </c>
      <c r="F8583" s="26">
        <v>0.1056</v>
      </c>
      <c r="G8583" s="26">
        <v>0.27410000000000001</v>
      </c>
      <c r="I8583" s="26">
        <v>0.20150000000000001</v>
      </c>
      <c r="J8583" s="25">
        <v>6</v>
      </c>
      <c r="K8583" s="25">
        <v>6</v>
      </c>
      <c r="L8583" s="25">
        <v>171</v>
      </c>
    </row>
    <row r="8584" spans="1:13" s="25" customFormat="1">
      <c r="A8584" s="25" t="s">
        <v>194</v>
      </c>
      <c r="B8584" s="25" t="s">
        <v>199</v>
      </c>
      <c r="C8584" s="25" t="s">
        <v>232</v>
      </c>
      <c r="D8584" s="25" t="s">
        <v>1706</v>
      </c>
      <c r="E8584" s="26">
        <v>0.96960000000000002</v>
      </c>
      <c r="F8584" s="26">
        <v>0.80379999999999996</v>
      </c>
      <c r="G8584" s="26">
        <v>0.72250000000000003</v>
      </c>
      <c r="I8584" s="26">
        <v>0.77259999999999995</v>
      </c>
      <c r="J8584" s="25">
        <v>6</v>
      </c>
      <c r="K8584" s="25">
        <v>6</v>
      </c>
      <c r="L8584" s="25">
        <v>171</v>
      </c>
    </row>
    <row r="8585" spans="1:13">
      <c r="A8585" t="s">
        <v>200</v>
      </c>
      <c r="B8585" t="s">
        <v>200</v>
      </c>
      <c r="C8585" t="s">
        <v>200</v>
      </c>
      <c r="D8585" t="s">
        <v>257</v>
      </c>
      <c r="E8585" s="3">
        <v>1.43E-2</v>
      </c>
      <c r="F8585" s="3">
        <v>1.78E-2</v>
      </c>
      <c r="G8585" s="3">
        <v>8.9999999999999998E-4</v>
      </c>
      <c r="H8585" s="3">
        <v>4.4000000000000003E-3</v>
      </c>
      <c r="I8585" s="3">
        <v>2.9100000000000001E-2</v>
      </c>
      <c r="J8585">
        <v>171</v>
      </c>
      <c r="K8585">
        <v>171</v>
      </c>
      <c r="L8585">
        <v>171</v>
      </c>
    </row>
    <row r="8586" spans="1:13">
      <c r="A8586" t="s">
        <v>200</v>
      </c>
      <c r="B8586" t="s">
        <v>200</v>
      </c>
      <c r="C8586" t="s">
        <v>200</v>
      </c>
      <c r="D8586" t="s">
        <v>247</v>
      </c>
      <c r="E8586" s="3">
        <v>5.9999999999999995E-4</v>
      </c>
      <c r="J8586">
        <v>171</v>
      </c>
      <c r="K8586">
        <v>171</v>
      </c>
      <c r="L8586">
        <v>171</v>
      </c>
    </row>
    <row r="8587" spans="1:13">
      <c r="A8587" t="s">
        <v>200</v>
      </c>
      <c r="B8587" t="s">
        <v>200</v>
      </c>
      <c r="C8587" t="s">
        <v>200</v>
      </c>
      <c r="D8587" t="s">
        <v>1705</v>
      </c>
      <c r="E8587" s="3">
        <v>0.40229999999999999</v>
      </c>
      <c r="F8587" s="3">
        <v>0.25219999999999998</v>
      </c>
      <c r="G8587" s="3">
        <v>0.43769999999999998</v>
      </c>
      <c r="H8587" s="3">
        <v>0.36480000000000001</v>
      </c>
      <c r="I8587" s="3">
        <v>0.3271</v>
      </c>
      <c r="J8587">
        <v>171</v>
      </c>
      <c r="K8587">
        <v>171</v>
      </c>
      <c r="L8587">
        <v>171</v>
      </c>
    </row>
    <row r="8588" spans="1:13">
      <c r="A8588" t="s">
        <v>200</v>
      </c>
      <c r="B8588" t="s">
        <v>200</v>
      </c>
      <c r="C8588" t="s">
        <v>200</v>
      </c>
      <c r="D8588" t="s">
        <v>1706</v>
      </c>
      <c r="E8588" s="3">
        <v>0.55869999999999997</v>
      </c>
      <c r="F8588" s="3">
        <v>0.73009999999999997</v>
      </c>
      <c r="G8588" s="3">
        <v>0.55289999999999995</v>
      </c>
      <c r="H8588" s="3">
        <v>0.10199999999999999</v>
      </c>
      <c r="I8588" s="3">
        <v>0.63870000000000005</v>
      </c>
      <c r="J8588">
        <v>171</v>
      </c>
      <c r="K8588">
        <v>171</v>
      </c>
      <c r="L8588">
        <v>171</v>
      </c>
    </row>
    <row r="8589" spans="1:13">
      <c r="A8589" t="s">
        <v>200</v>
      </c>
      <c r="B8589" t="s">
        <v>200</v>
      </c>
      <c r="C8589" t="s">
        <v>200</v>
      </c>
      <c r="D8589" t="s">
        <v>1707</v>
      </c>
      <c r="E8589" s="3">
        <v>2.4E-2</v>
      </c>
      <c r="G8589" s="3">
        <v>8.5000000000000006E-3</v>
      </c>
      <c r="H8589" s="3">
        <v>0.52880000000000005</v>
      </c>
      <c r="I8589" s="3">
        <v>5.1000000000000004E-3</v>
      </c>
      <c r="J8589">
        <v>171</v>
      </c>
      <c r="K8589">
        <v>171</v>
      </c>
      <c r="L8589">
        <v>171</v>
      </c>
    </row>
    <row r="8591" spans="1:13" ht="45">
      <c r="A8591" s="22" t="s">
        <v>1716</v>
      </c>
    </row>
    <row r="8592" spans="1:13">
      <c r="A8592" t="s">
        <v>185</v>
      </c>
      <c r="B8592" t="s">
        <v>186</v>
      </c>
      <c r="C8592" t="s">
        <v>192</v>
      </c>
      <c r="D8592" t="s">
        <v>184</v>
      </c>
      <c r="E8592" t="s">
        <v>193</v>
      </c>
      <c r="F8592" t="s">
        <v>1709</v>
      </c>
      <c r="G8592" t="s">
        <v>1710</v>
      </c>
      <c r="H8592" t="s">
        <v>1711</v>
      </c>
      <c r="I8592" t="s">
        <v>257</v>
      </c>
      <c r="J8592" t="s">
        <v>1712</v>
      </c>
      <c r="K8592" t="s">
        <v>1713</v>
      </c>
      <c r="L8592" t="s">
        <v>1714</v>
      </c>
      <c r="M8592" t="s">
        <v>247</v>
      </c>
    </row>
    <row r="8593" spans="1:13">
      <c r="A8593" t="s">
        <v>195</v>
      </c>
      <c r="B8593" t="s">
        <v>229</v>
      </c>
      <c r="C8593">
        <v>130</v>
      </c>
      <c r="D8593" t="s">
        <v>194</v>
      </c>
      <c r="E8593">
        <v>2676</v>
      </c>
      <c r="F8593" s="3">
        <v>0.221</v>
      </c>
      <c r="G8593" s="3">
        <v>8.8599999999999998E-2</v>
      </c>
      <c r="H8593" s="3">
        <v>0.2346</v>
      </c>
      <c r="I8593" s="3">
        <v>1.1900000000000001E-2</v>
      </c>
      <c r="J8593" s="3">
        <v>9.9400000000000002E-2</v>
      </c>
      <c r="K8593" s="3">
        <v>0.22239999999999999</v>
      </c>
      <c r="L8593" s="3">
        <v>0.1089</v>
      </c>
      <c r="M8593" s="3">
        <v>1.3100000000000001E-2</v>
      </c>
    </row>
    <row r="8594" spans="1:13">
      <c r="A8594" t="s">
        <v>195</v>
      </c>
      <c r="B8594" t="s">
        <v>230</v>
      </c>
      <c r="C8594">
        <v>486</v>
      </c>
      <c r="D8594" t="s">
        <v>194</v>
      </c>
      <c r="E8594">
        <v>2676</v>
      </c>
      <c r="F8594" s="3">
        <v>0.18540000000000001</v>
      </c>
      <c r="G8594" s="3">
        <v>0.21510000000000001</v>
      </c>
      <c r="H8594" s="3">
        <v>0.1076</v>
      </c>
      <c r="I8594" s="3">
        <v>9.1999999999999998E-3</v>
      </c>
      <c r="J8594" s="3">
        <v>0.19719999999999999</v>
      </c>
      <c r="K8594" s="3">
        <v>0.2099</v>
      </c>
      <c r="L8594" s="3">
        <v>7.5600000000000001E-2</v>
      </c>
    </row>
    <row r="8595" spans="1:13">
      <c r="A8595" t="s">
        <v>195</v>
      </c>
      <c r="B8595" t="s">
        <v>231</v>
      </c>
      <c r="C8595">
        <v>304</v>
      </c>
      <c r="D8595" t="s">
        <v>194</v>
      </c>
      <c r="E8595">
        <v>2676</v>
      </c>
      <c r="F8595" s="3">
        <v>0.1963</v>
      </c>
      <c r="G8595" s="3">
        <v>0.20280000000000001</v>
      </c>
      <c r="H8595" s="3">
        <v>8.9899999999999994E-2</v>
      </c>
      <c r="J8595" s="3">
        <v>0.19739999999999999</v>
      </c>
      <c r="K8595" s="3">
        <v>0.2437</v>
      </c>
      <c r="L8595" s="3">
        <v>6.9800000000000001E-2</v>
      </c>
    </row>
    <row r="8596" spans="1:13">
      <c r="A8596" t="s">
        <v>195</v>
      </c>
      <c r="B8596" t="s">
        <v>232</v>
      </c>
      <c r="C8596">
        <v>268</v>
      </c>
      <c r="D8596" t="s">
        <v>194</v>
      </c>
      <c r="E8596">
        <v>2676</v>
      </c>
      <c r="F8596" s="3">
        <v>0.22969999999999999</v>
      </c>
      <c r="G8596" s="3">
        <v>0.1472</v>
      </c>
      <c r="H8596" s="3">
        <v>8.2799999999999999E-2</v>
      </c>
      <c r="I8596" s="3">
        <v>1.35E-2</v>
      </c>
      <c r="J8596" s="3">
        <v>0.27679999999999999</v>
      </c>
      <c r="K8596" s="3">
        <v>0.18990000000000001</v>
      </c>
      <c r="L8596" s="3">
        <v>0.06</v>
      </c>
    </row>
    <row r="8597" spans="1:13">
      <c r="A8597" t="s">
        <v>199</v>
      </c>
      <c r="B8597" t="s">
        <v>229</v>
      </c>
      <c r="C8597">
        <v>150</v>
      </c>
      <c r="D8597" t="s">
        <v>194</v>
      </c>
      <c r="E8597">
        <v>2676</v>
      </c>
      <c r="F8597" s="3">
        <v>1.9E-2</v>
      </c>
      <c r="G8597" s="3">
        <v>4.0800000000000003E-2</v>
      </c>
      <c r="H8597" s="3">
        <v>1.52E-2</v>
      </c>
      <c r="I8597" s="3">
        <v>3.8999999999999998E-3</v>
      </c>
      <c r="J8597" s="3">
        <v>3.3999999999999998E-3</v>
      </c>
      <c r="K8597" s="3">
        <v>0.2742</v>
      </c>
      <c r="L8597" s="3">
        <v>0.63990000000000002</v>
      </c>
      <c r="M8597" s="3">
        <v>3.7000000000000002E-3</v>
      </c>
    </row>
    <row r="8598" spans="1:13">
      <c r="A8598" t="s">
        <v>199</v>
      </c>
      <c r="B8598" t="s">
        <v>230</v>
      </c>
      <c r="C8598">
        <v>701</v>
      </c>
      <c r="D8598" t="s">
        <v>194</v>
      </c>
      <c r="E8598">
        <v>2676</v>
      </c>
      <c r="F8598" s="3">
        <v>5.4800000000000001E-2</v>
      </c>
      <c r="G8598" s="3">
        <v>4.1000000000000002E-2</v>
      </c>
      <c r="H8598" s="3">
        <v>3.5900000000000001E-2</v>
      </c>
      <c r="I8598" s="3">
        <v>1.4E-3</v>
      </c>
      <c r="J8598" s="3">
        <v>2.8199999999999999E-2</v>
      </c>
      <c r="K8598" s="3">
        <v>0.32819999999999999</v>
      </c>
      <c r="L8598" s="3">
        <v>0.51049999999999995</v>
      </c>
    </row>
    <row r="8599" spans="1:13">
      <c r="A8599" t="s">
        <v>199</v>
      </c>
      <c r="B8599" t="s">
        <v>231</v>
      </c>
      <c r="C8599">
        <v>397</v>
      </c>
      <c r="D8599" t="s">
        <v>194</v>
      </c>
      <c r="E8599">
        <v>2676</v>
      </c>
      <c r="F8599" s="3">
        <v>6.9500000000000006E-2</v>
      </c>
      <c r="G8599" s="3">
        <v>3.1199999999999999E-2</v>
      </c>
      <c r="H8599" s="3">
        <v>2.86E-2</v>
      </c>
      <c r="I8599" s="3">
        <v>5.9999999999999995E-4</v>
      </c>
      <c r="J8599" s="3">
        <v>5.8999999999999997E-2</v>
      </c>
      <c r="K8599" s="3">
        <v>0.29220000000000002</v>
      </c>
      <c r="L8599" s="3">
        <v>0.51539999999999997</v>
      </c>
      <c r="M8599" s="3">
        <v>3.5000000000000001E-3</v>
      </c>
    </row>
    <row r="8600" spans="1:13">
      <c r="A8600" t="s">
        <v>199</v>
      </c>
      <c r="B8600" t="s">
        <v>232</v>
      </c>
      <c r="C8600">
        <v>240</v>
      </c>
      <c r="D8600" t="s">
        <v>194</v>
      </c>
      <c r="E8600">
        <v>2676</v>
      </c>
      <c r="F8600" s="3">
        <v>5.7500000000000002E-2</v>
      </c>
      <c r="G8600" s="3">
        <v>7.9100000000000004E-2</v>
      </c>
      <c r="H8600" s="3">
        <v>6.7699999999999996E-2</v>
      </c>
      <c r="I8600" s="3">
        <v>6.3E-3</v>
      </c>
      <c r="J8600" s="3">
        <v>6.3299999999999995E-2</v>
      </c>
      <c r="K8600" s="3">
        <v>0.36849999999999999</v>
      </c>
      <c r="L8600" s="3">
        <v>0.3574</v>
      </c>
    </row>
    <row r="8601" spans="1:13">
      <c r="A8601" t="s">
        <v>200</v>
      </c>
      <c r="B8601" t="s">
        <v>200</v>
      </c>
      <c r="C8601">
        <v>2676</v>
      </c>
      <c r="D8601" t="s">
        <v>200</v>
      </c>
      <c r="E8601">
        <v>2676</v>
      </c>
      <c r="F8601" s="3">
        <v>0.1188</v>
      </c>
      <c r="G8601" s="3">
        <v>0.1047</v>
      </c>
      <c r="H8601" s="3">
        <v>7.2099999999999997E-2</v>
      </c>
      <c r="I8601" s="3">
        <v>5.1000000000000004E-3</v>
      </c>
      <c r="J8601" s="3">
        <v>0.10829999999999999</v>
      </c>
      <c r="K8601" s="3">
        <v>0.27289999999999998</v>
      </c>
      <c r="L8601" s="3">
        <v>0.3165</v>
      </c>
      <c r="M8601" s="3">
        <v>1.6000000000000001E-3</v>
      </c>
    </row>
    <row r="8603" spans="1:13" ht="30">
      <c r="A8603" s="22" t="s">
        <v>1717</v>
      </c>
    </row>
    <row r="8604" spans="1:13">
      <c r="A8604" t="s">
        <v>184</v>
      </c>
      <c r="B8604" t="s">
        <v>185</v>
      </c>
      <c r="C8604" t="s">
        <v>186</v>
      </c>
      <c r="D8604" t="s">
        <v>1007</v>
      </c>
      <c r="E8604" t="s">
        <v>1700</v>
      </c>
      <c r="F8604" t="s">
        <v>1701</v>
      </c>
      <c r="G8604" t="s">
        <v>1702</v>
      </c>
      <c r="H8604" t="s">
        <v>1703</v>
      </c>
      <c r="I8604" t="s">
        <v>1704</v>
      </c>
      <c r="J8604" t="s">
        <v>1018</v>
      </c>
      <c r="K8604" t="s">
        <v>192</v>
      </c>
      <c r="L8604" t="s">
        <v>193</v>
      </c>
    </row>
    <row r="8605" spans="1:13">
      <c r="A8605" t="s">
        <v>194</v>
      </c>
      <c r="B8605" t="s">
        <v>195</v>
      </c>
      <c r="C8605" t="s">
        <v>196</v>
      </c>
      <c r="D8605" t="s">
        <v>1705</v>
      </c>
      <c r="E8605" s="3">
        <v>0.37740000000000001</v>
      </c>
      <c r="F8605" s="3">
        <v>0.32979999999999998</v>
      </c>
      <c r="G8605" s="3">
        <v>0.38200000000000001</v>
      </c>
      <c r="H8605" s="3">
        <v>0.68899999999999995</v>
      </c>
      <c r="I8605" s="3">
        <v>0.47099999999999997</v>
      </c>
      <c r="J8605">
        <v>18</v>
      </c>
      <c r="K8605">
        <v>31</v>
      </c>
      <c r="L8605">
        <v>171</v>
      </c>
    </row>
    <row r="8606" spans="1:13">
      <c r="A8606" t="s">
        <v>194</v>
      </c>
      <c r="B8606" t="s">
        <v>195</v>
      </c>
      <c r="C8606" t="s">
        <v>196</v>
      </c>
      <c r="D8606" t="s">
        <v>1706</v>
      </c>
      <c r="E8606" s="3">
        <v>0.5867</v>
      </c>
      <c r="F8606" s="3">
        <v>0.66169999999999995</v>
      </c>
      <c r="G8606" s="3">
        <v>0.61799999999999999</v>
      </c>
      <c r="H8606" s="3">
        <v>0.12429999999999999</v>
      </c>
      <c r="I8606" s="3">
        <v>0.52900000000000003</v>
      </c>
      <c r="J8606">
        <v>18</v>
      </c>
      <c r="K8606">
        <v>31</v>
      </c>
      <c r="L8606">
        <v>171</v>
      </c>
    </row>
    <row r="8607" spans="1:13">
      <c r="A8607" t="s">
        <v>194</v>
      </c>
      <c r="B8607" t="s">
        <v>195</v>
      </c>
      <c r="C8607" t="s">
        <v>196</v>
      </c>
      <c r="D8607" t="s">
        <v>1707</v>
      </c>
      <c r="E8607" s="3">
        <v>3.5900000000000001E-2</v>
      </c>
      <c r="H8607" s="3">
        <v>0.18310000000000001</v>
      </c>
      <c r="J8607">
        <v>18</v>
      </c>
      <c r="K8607">
        <v>31</v>
      </c>
      <c r="L8607">
        <v>171</v>
      </c>
    </row>
    <row r="8608" spans="1:13">
      <c r="A8608" t="s">
        <v>194</v>
      </c>
      <c r="B8608" t="s">
        <v>195</v>
      </c>
      <c r="C8608" t="s">
        <v>198</v>
      </c>
      <c r="D8608" t="s">
        <v>257</v>
      </c>
      <c r="E8608" s="3">
        <v>2.5399999999999999E-2</v>
      </c>
      <c r="F8608" s="3">
        <v>8.9999999999999993E-3</v>
      </c>
      <c r="I8608" s="3">
        <v>0.11169999999999999</v>
      </c>
      <c r="J8608">
        <v>72</v>
      </c>
      <c r="K8608">
        <v>63</v>
      </c>
      <c r="L8608">
        <v>171</v>
      </c>
    </row>
    <row r="8609" spans="1:13">
      <c r="A8609" t="s">
        <v>194</v>
      </c>
      <c r="B8609" t="s">
        <v>195</v>
      </c>
      <c r="C8609" t="s">
        <v>198</v>
      </c>
      <c r="D8609" t="s">
        <v>247</v>
      </c>
      <c r="E8609" s="3">
        <v>1.1000000000000001E-3</v>
      </c>
      <c r="J8609">
        <v>72</v>
      </c>
      <c r="K8609">
        <v>63</v>
      </c>
      <c r="L8609">
        <v>171</v>
      </c>
    </row>
    <row r="8610" spans="1:13">
      <c r="A8610" t="s">
        <v>194</v>
      </c>
      <c r="B8610" t="s">
        <v>195</v>
      </c>
      <c r="C8610" t="s">
        <v>198</v>
      </c>
      <c r="D8610" t="s">
        <v>1705</v>
      </c>
      <c r="E8610" s="3">
        <v>0.43430000000000002</v>
      </c>
      <c r="F8610" s="3">
        <v>0.2399</v>
      </c>
      <c r="G8610" s="3">
        <v>0.4965</v>
      </c>
      <c r="H8610" s="3">
        <v>0.49440000000000001</v>
      </c>
      <c r="I8610" s="3">
        <v>0.3135</v>
      </c>
      <c r="J8610">
        <v>72</v>
      </c>
      <c r="K8610">
        <v>63</v>
      </c>
      <c r="L8610">
        <v>171</v>
      </c>
    </row>
    <row r="8611" spans="1:13">
      <c r="A8611" t="s">
        <v>194</v>
      </c>
      <c r="B8611" t="s">
        <v>195</v>
      </c>
      <c r="C8611" t="s">
        <v>198</v>
      </c>
      <c r="D8611" t="s">
        <v>1706</v>
      </c>
      <c r="E8611" s="3">
        <v>0.50539999999999996</v>
      </c>
      <c r="F8611" s="3">
        <v>0.75109999999999999</v>
      </c>
      <c r="G8611" s="3">
        <v>0.48949999999999999</v>
      </c>
      <c r="H8611" s="3">
        <v>0.1157</v>
      </c>
      <c r="I8611" s="3">
        <v>0.56830000000000003</v>
      </c>
      <c r="J8611">
        <v>72</v>
      </c>
      <c r="K8611">
        <v>63</v>
      </c>
      <c r="L8611">
        <v>171</v>
      </c>
    </row>
    <row r="8612" spans="1:13">
      <c r="A8612" t="s">
        <v>194</v>
      </c>
      <c r="B8612" t="s">
        <v>195</v>
      </c>
      <c r="C8612" t="s">
        <v>198</v>
      </c>
      <c r="D8612" t="s">
        <v>1707</v>
      </c>
      <c r="E8612" s="3">
        <v>3.3700000000000001E-2</v>
      </c>
      <c r="G8612" s="3">
        <v>1.4E-2</v>
      </c>
      <c r="H8612" s="3">
        <v>0.38979999999999998</v>
      </c>
      <c r="I8612" s="3">
        <v>6.6E-3</v>
      </c>
      <c r="J8612">
        <v>72</v>
      </c>
      <c r="K8612">
        <v>63</v>
      </c>
      <c r="L8612">
        <v>171</v>
      </c>
    </row>
    <row r="8613" spans="1:13" s="25" customFormat="1">
      <c r="A8613" s="25" t="s">
        <v>194</v>
      </c>
      <c r="B8613" s="25" t="s">
        <v>199</v>
      </c>
      <c r="C8613" s="25" t="s">
        <v>196</v>
      </c>
      <c r="D8613" s="25" t="s">
        <v>1705</v>
      </c>
      <c r="E8613" s="26">
        <v>0.1177</v>
      </c>
      <c r="F8613" s="26">
        <v>0.2114</v>
      </c>
      <c r="G8613" s="26">
        <v>0.30890000000000001</v>
      </c>
      <c r="H8613" s="26">
        <v>0.1552</v>
      </c>
      <c r="I8613" s="26">
        <v>0.22939999999999999</v>
      </c>
      <c r="J8613" s="25">
        <v>4</v>
      </c>
      <c r="K8613" s="25">
        <v>24</v>
      </c>
      <c r="L8613" s="25">
        <v>171</v>
      </c>
    </row>
    <row r="8614" spans="1:13" s="25" customFormat="1">
      <c r="A8614" s="25" t="s">
        <v>194</v>
      </c>
      <c r="B8614" s="25" t="s">
        <v>199</v>
      </c>
      <c r="C8614" s="25" t="s">
        <v>196</v>
      </c>
      <c r="D8614" s="25" t="s">
        <v>1706</v>
      </c>
      <c r="E8614" s="26">
        <v>0.88229999999999997</v>
      </c>
      <c r="F8614" s="26">
        <v>0.77159999999999995</v>
      </c>
      <c r="G8614" s="26">
        <v>0.65300000000000002</v>
      </c>
      <c r="H8614" s="26">
        <v>0.1268</v>
      </c>
      <c r="I8614" s="26">
        <v>0.75019999999999998</v>
      </c>
      <c r="J8614" s="25">
        <v>4</v>
      </c>
      <c r="K8614" s="25">
        <v>24</v>
      </c>
      <c r="L8614" s="25">
        <v>171</v>
      </c>
    </row>
    <row r="8615" spans="1:13">
      <c r="A8615" t="s">
        <v>194</v>
      </c>
      <c r="B8615" t="s">
        <v>199</v>
      </c>
      <c r="C8615" t="s">
        <v>198</v>
      </c>
      <c r="D8615" t="s">
        <v>1705</v>
      </c>
      <c r="E8615" s="3">
        <v>0.3795</v>
      </c>
      <c r="F8615" s="3">
        <v>0.2243</v>
      </c>
      <c r="G8615" s="3">
        <v>0.33100000000000002</v>
      </c>
      <c r="H8615" s="3">
        <v>0.13250000000000001</v>
      </c>
      <c r="I8615" s="3">
        <v>0.17280000000000001</v>
      </c>
      <c r="J8615">
        <v>33</v>
      </c>
      <c r="K8615">
        <v>49</v>
      </c>
      <c r="L8615">
        <v>171</v>
      </c>
    </row>
    <row r="8616" spans="1:13">
      <c r="A8616" t="s">
        <v>194</v>
      </c>
      <c r="B8616" t="s">
        <v>199</v>
      </c>
      <c r="C8616" t="s">
        <v>198</v>
      </c>
      <c r="D8616" t="s">
        <v>1706</v>
      </c>
      <c r="E8616" s="3">
        <v>0.62050000000000005</v>
      </c>
      <c r="F8616" s="3">
        <v>0.73180000000000001</v>
      </c>
      <c r="G8616" s="3">
        <v>0.66900000000000004</v>
      </c>
      <c r="H8616" s="3">
        <v>4.2599999999999999E-2</v>
      </c>
      <c r="I8616" s="3">
        <v>0.82550000000000001</v>
      </c>
      <c r="J8616">
        <v>33</v>
      </c>
      <c r="K8616">
        <v>49</v>
      </c>
      <c r="L8616">
        <v>171</v>
      </c>
    </row>
    <row r="8617" spans="1:13">
      <c r="A8617" t="s">
        <v>200</v>
      </c>
      <c r="B8617" t="s">
        <v>200</v>
      </c>
      <c r="C8617" t="s">
        <v>200</v>
      </c>
      <c r="D8617" t="s">
        <v>257</v>
      </c>
      <c r="E8617" s="3">
        <v>1.43E-2</v>
      </c>
      <c r="F8617" s="3">
        <v>1.78E-2</v>
      </c>
      <c r="G8617" s="3">
        <v>8.9999999999999998E-4</v>
      </c>
      <c r="H8617" s="3">
        <v>4.4000000000000003E-3</v>
      </c>
      <c r="I8617" s="3">
        <v>2.9100000000000001E-2</v>
      </c>
      <c r="J8617">
        <v>171</v>
      </c>
      <c r="K8617">
        <v>171</v>
      </c>
      <c r="L8617">
        <v>171</v>
      </c>
    </row>
    <row r="8618" spans="1:13">
      <c r="A8618" t="s">
        <v>200</v>
      </c>
      <c r="B8618" t="s">
        <v>200</v>
      </c>
      <c r="C8618" t="s">
        <v>200</v>
      </c>
      <c r="D8618" t="s">
        <v>247</v>
      </c>
      <c r="E8618" s="3">
        <v>5.9999999999999995E-4</v>
      </c>
      <c r="J8618">
        <v>171</v>
      </c>
      <c r="K8618">
        <v>171</v>
      </c>
      <c r="L8618">
        <v>171</v>
      </c>
    </row>
    <row r="8619" spans="1:13">
      <c r="A8619" t="s">
        <v>200</v>
      </c>
      <c r="B8619" t="s">
        <v>200</v>
      </c>
      <c r="C8619" t="s">
        <v>200</v>
      </c>
      <c r="D8619" t="s">
        <v>1705</v>
      </c>
      <c r="E8619" s="3">
        <v>0.40229999999999999</v>
      </c>
      <c r="F8619" s="3">
        <v>0.25219999999999998</v>
      </c>
      <c r="G8619" s="3">
        <v>0.43769999999999998</v>
      </c>
      <c r="H8619" s="3">
        <v>0.36480000000000001</v>
      </c>
      <c r="I8619" s="3">
        <v>0.3271</v>
      </c>
      <c r="J8619">
        <v>171</v>
      </c>
      <c r="K8619">
        <v>171</v>
      </c>
      <c r="L8619">
        <v>171</v>
      </c>
    </row>
    <row r="8620" spans="1:13">
      <c r="A8620" t="s">
        <v>200</v>
      </c>
      <c r="B8620" t="s">
        <v>200</v>
      </c>
      <c r="C8620" t="s">
        <v>200</v>
      </c>
      <c r="D8620" t="s">
        <v>1706</v>
      </c>
      <c r="E8620" s="3">
        <v>0.55869999999999997</v>
      </c>
      <c r="F8620" s="3">
        <v>0.73009999999999997</v>
      </c>
      <c r="G8620" s="3">
        <v>0.55289999999999995</v>
      </c>
      <c r="H8620" s="3">
        <v>0.10199999999999999</v>
      </c>
      <c r="I8620" s="3">
        <v>0.63870000000000005</v>
      </c>
      <c r="J8620">
        <v>171</v>
      </c>
      <c r="K8620">
        <v>171</v>
      </c>
      <c r="L8620">
        <v>171</v>
      </c>
    </row>
    <row r="8621" spans="1:13">
      <c r="A8621" t="s">
        <v>200</v>
      </c>
      <c r="B8621" t="s">
        <v>200</v>
      </c>
      <c r="C8621" t="s">
        <v>200</v>
      </c>
      <c r="D8621" t="s">
        <v>1707</v>
      </c>
      <c r="E8621" s="3">
        <v>2.4E-2</v>
      </c>
      <c r="G8621" s="3">
        <v>8.5000000000000006E-3</v>
      </c>
      <c r="H8621" s="3">
        <v>0.52880000000000005</v>
      </c>
      <c r="I8621" s="3">
        <v>5.1000000000000004E-3</v>
      </c>
      <c r="J8621">
        <v>171</v>
      </c>
      <c r="K8621">
        <v>171</v>
      </c>
      <c r="L8621">
        <v>171</v>
      </c>
    </row>
    <row r="8623" spans="1:13" ht="45">
      <c r="A8623" s="22" t="s">
        <v>1718</v>
      </c>
    </row>
    <row r="8624" spans="1:13">
      <c r="A8624" t="s">
        <v>185</v>
      </c>
      <c r="B8624" t="s">
        <v>186</v>
      </c>
      <c r="C8624" t="s">
        <v>192</v>
      </c>
      <c r="D8624" t="s">
        <v>184</v>
      </c>
      <c r="E8624" t="s">
        <v>193</v>
      </c>
      <c r="F8624" t="s">
        <v>1709</v>
      </c>
      <c r="G8624" t="s">
        <v>1710</v>
      </c>
      <c r="H8624" t="s">
        <v>1711</v>
      </c>
      <c r="I8624" t="s">
        <v>257</v>
      </c>
      <c r="J8624" t="s">
        <v>1712</v>
      </c>
      <c r="K8624" t="s">
        <v>1713</v>
      </c>
      <c r="L8624" t="s">
        <v>1714</v>
      </c>
      <c r="M8624" t="s">
        <v>247</v>
      </c>
    </row>
    <row r="8625" spans="1:13">
      <c r="A8625" t="s">
        <v>195</v>
      </c>
      <c r="B8625" t="s">
        <v>196</v>
      </c>
      <c r="C8625">
        <v>412</v>
      </c>
      <c r="D8625" t="s">
        <v>194</v>
      </c>
      <c r="E8625">
        <v>2676</v>
      </c>
      <c r="F8625" s="3">
        <v>0.1555</v>
      </c>
      <c r="G8625" s="3">
        <v>0.13370000000000001</v>
      </c>
      <c r="H8625" s="3">
        <v>0.13789999999999999</v>
      </c>
      <c r="I8625" s="3">
        <v>6.4999999999999997E-3</v>
      </c>
      <c r="J8625" s="3">
        <v>0.1895</v>
      </c>
      <c r="K8625" s="3">
        <v>0.26029999999999998</v>
      </c>
      <c r="L8625" s="3">
        <v>0.1166</v>
      </c>
    </row>
    <row r="8626" spans="1:13">
      <c r="A8626" t="s">
        <v>195</v>
      </c>
      <c r="B8626" t="s">
        <v>198</v>
      </c>
      <c r="C8626">
        <v>755</v>
      </c>
      <c r="D8626" t="s">
        <v>194</v>
      </c>
      <c r="E8626">
        <v>2676</v>
      </c>
      <c r="F8626" s="3">
        <v>0.2198</v>
      </c>
      <c r="G8626" s="3">
        <v>0.19600000000000001</v>
      </c>
      <c r="H8626" s="3">
        <v>0.1096</v>
      </c>
      <c r="I8626" s="3">
        <v>8.0999999999999996E-3</v>
      </c>
      <c r="J8626" s="3">
        <v>0.2036</v>
      </c>
      <c r="K8626" s="3">
        <v>0.1988</v>
      </c>
      <c r="L8626" s="3">
        <v>6.1499999999999999E-2</v>
      </c>
      <c r="M8626" s="3">
        <v>2.7000000000000001E-3</v>
      </c>
    </row>
    <row r="8627" spans="1:13">
      <c r="A8627" t="s">
        <v>199</v>
      </c>
      <c r="B8627" t="s">
        <v>196</v>
      </c>
      <c r="C8627">
        <v>525</v>
      </c>
      <c r="D8627" t="s">
        <v>194</v>
      </c>
      <c r="E8627">
        <v>2676</v>
      </c>
      <c r="F8627" s="3">
        <v>6.9000000000000006E-2</v>
      </c>
      <c r="G8627" s="3">
        <v>5.1400000000000001E-2</v>
      </c>
      <c r="H8627" s="3">
        <v>3.1899999999999998E-2</v>
      </c>
      <c r="J8627" s="3">
        <v>7.3300000000000004E-2</v>
      </c>
      <c r="K8627" s="3">
        <v>0.31469999999999998</v>
      </c>
      <c r="L8627" s="3">
        <v>0.45979999999999999</v>
      </c>
    </row>
    <row r="8628" spans="1:13">
      <c r="A8628" t="s">
        <v>199</v>
      </c>
      <c r="B8628" t="s">
        <v>198</v>
      </c>
      <c r="C8628">
        <v>945</v>
      </c>
      <c r="D8628" t="s">
        <v>194</v>
      </c>
      <c r="E8628">
        <v>2676</v>
      </c>
      <c r="F8628" s="3">
        <v>4.7500000000000001E-2</v>
      </c>
      <c r="G8628" s="3">
        <v>4.4299999999999999E-2</v>
      </c>
      <c r="H8628" s="3">
        <v>3.7100000000000001E-2</v>
      </c>
      <c r="I8628" s="3">
        <v>3.0999999999999999E-3</v>
      </c>
      <c r="J8628" s="3">
        <v>2.5999999999999999E-2</v>
      </c>
      <c r="K8628" s="3">
        <v>0.32</v>
      </c>
      <c r="L8628" s="3">
        <v>0.52029999999999998</v>
      </c>
      <c r="M8628" s="3">
        <v>1.6000000000000001E-3</v>
      </c>
    </row>
    <row r="8629" spans="1:13">
      <c r="A8629" t="s">
        <v>200</v>
      </c>
      <c r="B8629" t="s">
        <v>200</v>
      </c>
      <c r="C8629">
        <v>2676</v>
      </c>
      <c r="D8629" t="s">
        <v>200</v>
      </c>
      <c r="E8629">
        <v>2676</v>
      </c>
      <c r="F8629" s="3">
        <v>0.1188</v>
      </c>
      <c r="G8629" s="3">
        <v>0.1047</v>
      </c>
      <c r="H8629" s="3">
        <v>7.2099999999999997E-2</v>
      </c>
      <c r="I8629" s="3">
        <v>5.1000000000000004E-3</v>
      </c>
      <c r="J8629" s="3">
        <v>0.10829999999999999</v>
      </c>
      <c r="K8629" s="3">
        <v>0.27289999999999998</v>
      </c>
      <c r="L8629" s="3">
        <v>0.3165</v>
      </c>
      <c r="M8629" s="3">
        <v>1.6000000000000001E-3</v>
      </c>
    </row>
    <row r="8631" spans="1:13" ht="45">
      <c r="A8631" s="22" t="s">
        <v>1719</v>
      </c>
    </row>
    <row r="8632" spans="1:13">
      <c r="A8632" t="s">
        <v>184</v>
      </c>
      <c r="B8632" t="s">
        <v>185</v>
      </c>
      <c r="C8632" t="s">
        <v>186</v>
      </c>
      <c r="D8632" t="s">
        <v>1007</v>
      </c>
      <c r="E8632" t="s">
        <v>1700</v>
      </c>
      <c r="F8632" t="s">
        <v>1701</v>
      </c>
      <c r="G8632" t="s">
        <v>1702</v>
      </c>
      <c r="H8632" t="s">
        <v>1703</v>
      </c>
      <c r="I8632" t="s">
        <v>1704</v>
      </c>
      <c r="J8632" t="s">
        <v>1018</v>
      </c>
      <c r="K8632" t="s">
        <v>192</v>
      </c>
      <c r="L8632" t="s">
        <v>193</v>
      </c>
    </row>
    <row r="8633" spans="1:13">
      <c r="A8633" t="s">
        <v>194</v>
      </c>
      <c r="B8633" t="s">
        <v>195</v>
      </c>
      <c r="C8633" t="s">
        <v>202</v>
      </c>
      <c r="D8633" t="s">
        <v>257</v>
      </c>
      <c r="E8633" s="3">
        <v>3.2399999999999998E-2</v>
      </c>
      <c r="F8633" s="3">
        <v>1.18E-2</v>
      </c>
      <c r="I8633" s="3">
        <v>7.5999999999999998E-2</v>
      </c>
      <c r="J8633">
        <v>56</v>
      </c>
      <c r="K8633">
        <v>35</v>
      </c>
      <c r="L8633">
        <v>171</v>
      </c>
    </row>
    <row r="8634" spans="1:13">
      <c r="A8634" t="s">
        <v>194</v>
      </c>
      <c r="B8634" t="s">
        <v>195</v>
      </c>
      <c r="C8634" t="s">
        <v>202</v>
      </c>
      <c r="D8634" t="s">
        <v>1705</v>
      </c>
      <c r="E8634" s="3">
        <v>0.44540000000000002</v>
      </c>
      <c r="F8634" s="3">
        <v>0.3034</v>
      </c>
      <c r="G8634" s="3">
        <v>0.5383</v>
      </c>
      <c r="H8634" s="3">
        <v>0.67069999999999996</v>
      </c>
      <c r="I8634" s="3">
        <v>0.3548</v>
      </c>
      <c r="J8634">
        <v>56</v>
      </c>
      <c r="K8634">
        <v>35</v>
      </c>
      <c r="L8634">
        <v>171</v>
      </c>
    </row>
    <row r="8635" spans="1:13">
      <c r="A8635" t="s">
        <v>194</v>
      </c>
      <c r="B8635" t="s">
        <v>195</v>
      </c>
      <c r="C8635" t="s">
        <v>202</v>
      </c>
      <c r="D8635" t="s">
        <v>1706</v>
      </c>
      <c r="E8635" s="3">
        <v>0.48420000000000002</v>
      </c>
      <c r="F8635" s="3">
        <v>0.68489999999999995</v>
      </c>
      <c r="G8635" s="3">
        <v>0.44340000000000002</v>
      </c>
      <c r="H8635" s="3">
        <v>0.1024</v>
      </c>
      <c r="I8635" s="3">
        <v>0.56459999999999999</v>
      </c>
      <c r="J8635">
        <v>56</v>
      </c>
      <c r="K8635">
        <v>35</v>
      </c>
      <c r="L8635">
        <v>171</v>
      </c>
    </row>
    <row r="8636" spans="1:13">
      <c r="A8636" t="s">
        <v>194</v>
      </c>
      <c r="B8636" t="s">
        <v>195</v>
      </c>
      <c r="C8636" t="s">
        <v>202</v>
      </c>
      <c r="D8636" t="s">
        <v>1707</v>
      </c>
      <c r="E8636" s="3">
        <v>3.7999999999999999E-2</v>
      </c>
      <c r="G8636" s="3">
        <v>1.83E-2</v>
      </c>
      <c r="H8636" s="3">
        <v>0.22689999999999999</v>
      </c>
      <c r="I8636" s="3">
        <v>4.4999999999999997E-3</v>
      </c>
      <c r="J8636">
        <v>56</v>
      </c>
      <c r="K8636">
        <v>35</v>
      </c>
      <c r="L8636">
        <v>171</v>
      </c>
    </row>
    <row r="8637" spans="1:13">
      <c r="A8637" t="s">
        <v>194</v>
      </c>
      <c r="B8637" t="s">
        <v>195</v>
      </c>
      <c r="C8637" t="s">
        <v>204</v>
      </c>
      <c r="D8637" t="s">
        <v>1705</v>
      </c>
      <c r="E8637" s="3">
        <v>9.8400000000000001E-2</v>
      </c>
      <c r="F8637" s="3">
        <v>0.1696</v>
      </c>
      <c r="G8637" s="3">
        <v>0.34949999999999998</v>
      </c>
      <c r="H8637" s="3">
        <v>0.46949999999999997</v>
      </c>
      <c r="I8637" s="3">
        <v>0.47939999999999999</v>
      </c>
      <c r="J8637">
        <v>18</v>
      </c>
      <c r="K8637">
        <v>32</v>
      </c>
      <c r="L8637">
        <v>171</v>
      </c>
    </row>
    <row r="8638" spans="1:13">
      <c r="A8638" t="s">
        <v>194</v>
      </c>
      <c r="B8638" t="s">
        <v>195</v>
      </c>
      <c r="C8638" t="s">
        <v>204</v>
      </c>
      <c r="D8638" t="s">
        <v>1706</v>
      </c>
      <c r="E8638" s="3">
        <v>0.85099999999999998</v>
      </c>
      <c r="F8638" s="3">
        <v>0.83040000000000003</v>
      </c>
      <c r="G8638" s="3">
        <v>0.65049999999999997</v>
      </c>
      <c r="H8638" s="3">
        <v>0.11799999999999999</v>
      </c>
      <c r="I8638" s="3">
        <v>0.52059999999999995</v>
      </c>
      <c r="J8638">
        <v>18</v>
      </c>
      <c r="K8638">
        <v>32</v>
      </c>
      <c r="L8638">
        <v>171</v>
      </c>
    </row>
    <row r="8639" spans="1:13">
      <c r="A8639" t="s">
        <v>194</v>
      </c>
      <c r="B8639" t="s">
        <v>195</v>
      </c>
      <c r="C8639" t="s">
        <v>204</v>
      </c>
      <c r="D8639" t="s">
        <v>1707</v>
      </c>
      <c r="E8639" s="3">
        <v>5.0700000000000002E-2</v>
      </c>
      <c r="H8639" s="3">
        <v>0.40739999999999998</v>
      </c>
      <c r="J8639">
        <v>18</v>
      </c>
      <c r="K8639">
        <v>32</v>
      </c>
      <c r="L8639">
        <v>171</v>
      </c>
    </row>
    <row r="8640" spans="1:13" s="25" customFormat="1">
      <c r="A8640" s="25" t="s">
        <v>194</v>
      </c>
      <c r="B8640" s="25" t="s">
        <v>195</v>
      </c>
      <c r="C8640" s="25" t="s">
        <v>205</v>
      </c>
      <c r="D8640" s="25" t="s">
        <v>247</v>
      </c>
      <c r="E8640" s="26">
        <v>5.3E-3</v>
      </c>
      <c r="J8640" s="25">
        <v>15</v>
      </c>
      <c r="K8640" s="25">
        <v>27</v>
      </c>
      <c r="L8640" s="25">
        <v>171</v>
      </c>
    </row>
    <row r="8641" spans="1:13" s="25" customFormat="1">
      <c r="A8641" s="25" t="s">
        <v>194</v>
      </c>
      <c r="B8641" s="25" t="s">
        <v>195</v>
      </c>
      <c r="C8641" s="25" t="s">
        <v>205</v>
      </c>
      <c r="D8641" s="25" t="s">
        <v>1705</v>
      </c>
      <c r="E8641" s="26">
        <v>0.7339</v>
      </c>
      <c r="F8641" s="26">
        <v>0.26779999999999998</v>
      </c>
      <c r="G8641" s="26">
        <v>0.39419999999999999</v>
      </c>
      <c r="H8641" s="26">
        <v>0.41149999999999998</v>
      </c>
      <c r="I8641" s="26">
        <v>0.49519999999999997</v>
      </c>
      <c r="J8641" s="25">
        <v>15</v>
      </c>
      <c r="K8641" s="25">
        <v>27</v>
      </c>
      <c r="L8641" s="25">
        <v>171</v>
      </c>
    </row>
    <row r="8642" spans="1:13" s="25" customFormat="1">
      <c r="A8642" s="25" t="s">
        <v>194</v>
      </c>
      <c r="B8642" s="25" t="s">
        <v>195</v>
      </c>
      <c r="C8642" s="25" t="s">
        <v>205</v>
      </c>
      <c r="D8642" s="25" t="s">
        <v>1706</v>
      </c>
      <c r="E8642" s="26">
        <v>0.26079999999999998</v>
      </c>
      <c r="F8642" s="26">
        <v>0.71970000000000001</v>
      </c>
      <c r="G8642" s="26">
        <v>0.60580000000000001</v>
      </c>
      <c r="H8642" s="26">
        <v>0.18509999999999999</v>
      </c>
      <c r="I8642" s="26">
        <v>0.50480000000000003</v>
      </c>
      <c r="J8642" s="25">
        <v>15</v>
      </c>
      <c r="K8642" s="25">
        <v>27</v>
      </c>
      <c r="L8642" s="25">
        <v>171</v>
      </c>
    </row>
    <row r="8643" spans="1:13" s="25" customFormat="1">
      <c r="A8643" s="25" t="s">
        <v>194</v>
      </c>
      <c r="B8643" s="25" t="s">
        <v>199</v>
      </c>
      <c r="C8643" s="25" t="s">
        <v>202</v>
      </c>
      <c r="D8643" s="25" t="s">
        <v>1705</v>
      </c>
      <c r="E8643" s="26">
        <v>0.26840000000000003</v>
      </c>
      <c r="F8643" s="26">
        <v>9.9400000000000002E-2</v>
      </c>
      <c r="G8643" s="26">
        <v>2.5100000000000001E-2</v>
      </c>
      <c r="H8643" s="26">
        <v>0.20669999999999999</v>
      </c>
      <c r="I8643" s="26">
        <v>0.1196</v>
      </c>
      <c r="J8643" s="25">
        <v>8</v>
      </c>
      <c r="K8643" s="25">
        <v>16</v>
      </c>
      <c r="L8643" s="25">
        <v>171</v>
      </c>
    </row>
    <row r="8644" spans="1:13" s="25" customFormat="1">
      <c r="A8644" s="25" t="s">
        <v>194</v>
      </c>
      <c r="B8644" s="25" t="s">
        <v>199</v>
      </c>
      <c r="C8644" s="25" t="s">
        <v>202</v>
      </c>
      <c r="D8644" s="25" t="s">
        <v>1706</v>
      </c>
      <c r="E8644" s="26">
        <v>0.73160000000000003</v>
      </c>
      <c r="F8644" s="26">
        <v>0.90059999999999996</v>
      </c>
      <c r="G8644" s="26">
        <v>0.97099999999999997</v>
      </c>
      <c r="H8644" s="26">
        <v>1.7999999999999999E-2</v>
      </c>
      <c r="I8644" s="26">
        <v>0.88039999999999996</v>
      </c>
      <c r="J8644" s="25">
        <v>8</v>
      </c>
      <c r="K8644" s="25">
        <v>16</v>
      </c>
      <c r="L8644" s="25">
        <v>171</v>
      </c>
    </row>
    <row r="8645" spans="1:13" s="25" customFormat="1">
      <c r="A8645" s="25" t="s">
        <v>194</v>
      </c>
      <c r="B8645" s="25" t="s">
        <v>199</v>
      </c>
      <c r="C8645" s="25" t="s">
        <v>204</v>
      </c>
      <c r="D8645" s="25" t="s">
        <v>1705</v>
      </c>
      <c r="E8645" s="26">
        <v>0.48720000000000002</v>
      </c>
      <c r="F8645" s="26">
        <v>0.3296</v>
      </c>
      <c r="G8645" s="26">
        <v>0.59440000000000004</v>
      </c>
      <c r="H8645" s="26">
        <v>0.2001</v>
      </c>
      <c r="I8645" s="26">
        <v>0.33810000000000001</v>
      </c>
      <c r="J8645" s="25">
        <v>11</v>
      </c>
      <c r="K8645" s="25">
        <v>26</v>
      </c>
      <c r="L8645" s="25">
        <v>171</v>
      </c>
    </row>
    <row r="8646" spans="1:13" s="25" customFormat="1">
      <c r="A8646" s="25" t="s">
        <v>194</v>
      </c>
      <c r="B8646" s="25" t="s">
        <v>199</v>
      </c>
      <c r="C8646" s="25" t="s">
        <v>204</v>
      </c>
      <c r="D8646" s="25" t="s">
        <v>1706</v>
      </c>
      <c r="E8646" s="26">
        <v>0.51280000000000003</v>
      </c>
      <c r="F8646" s="26">
        <v>0.66400000000000003</v>
      </c>
      <c r="G8646" s="26">
        <v>0.38800000000000001</v>
      </c>
      <c r="H8646" s="26">
        <v>0.26129999999999998</v>
      </c>
      <c r="I8646" s="26">
        <v>0.64090000000000003</v>
      </c>
      <c r="J8646" s="25">
        <v>11</v>
      </c>
      <c r="K8646" s="25">
        <v>26</v>
      </c>
      <c r="L8646" s="25">
        <v>171</v>
      </c>
    </row>
    <row r="8647" spans="1:13">
      <c r="A8647" t="s">
        <v>194</v>
      </c>
      <c r="B8647" t="s">
        <v>199</v>
      </c>
      <c r="C8647" t="s">
        <v>205</v>
      </c>
      <c r="D8647" t="s">
        <v>1705</v>
      </c>
      <c r="E8647" s="3">
        <v>0.2989</v>
      </c>
      <c r="F8647" s="3">
        <v>0.251</v>
      </c>
      <c r="G8647" s="3">
        <v>0.53090000000000004</v>
      </c>
      <c r="H8647" s="3">
        <v>2.2499999999999999E-2</v>
      </c>
      <c r="I8647" s="3">
        <v>8.9599999999999999E-2</v>
      </c>
      <c r="J8647">
        <v>18</v>
      </c>
      <c r="K8647">
        <v>31</v>
      </c>
      <c r="L8647">
        <v>171</v>
      </c>
    </row>
    <row r="8648" spans="1:13">
      <c r="A8648" t="s">
        <v>194</v>
      </c>
      <c r="B8648" t="s">
        <v>199</v>
      </c>
      <c r="C8648" t="s">
        <v>205</v>
      </c>
      <c r="D8648" t="s">
        <v>1706</v>
      </c>
      <c r="E8648" s="3">
        <v>0.70109999999999995</v>
      </c>
      <c r="F8648" s="3">
        <v>0.62370000000000003</v>
      </c>
      <c r="G8648" s="3">
        <v>0.46910000000000002</v>
      </c>
      <c r="H8648" s="3">
        <v>4.3099999999999999E-2</v>
      </c>
      <c r="I8648" s="3">
        <v>0.90710000000000002</v>
      </c>
      <c r="J8648">
        <v>18</v>
      </c>
      <c r="K8648">
        <v>31</v>
      </c>
      <c r="L8648">
        <v>171</v>
      </c>
    </row>
    <row r="8649" spans="1:13">
      <c r="A8649" t="s">
        <v>200</v>
      </c>
      <c r="B8649" t="s">
        <v>200</v>
      </c>
      <c r="C8649" t="s">
        <v>200</v>
      </c>
      <c r="D8649" t="s">
        <v>257</v>
      </c>
      <c r="E8649" s="3">
        <v>1.43E-2</v>
      </c>
      <c r="F8649" s="3">
        <v>1.78E-2</v>
      </c>
      <c r="G8649" s="3">
        <v>8.9999999999999998E-4</v>
      </c>
      <c r="H8649" s="3">
        <v>4.4000000000000003E-3</v>
      </c>
      <c r="I8649" s="3">
        <v>2.9100000000000001E-2</v>
      </c>
      <c r="J8649">
        <v>171</v>
      </c>
      <c r="K8649">
        <v>171</v>
      </c>
      <c r="L8649">
        <v>171</v>
      </c>
    </row>
    <row r="8650" spans="1:13">
      <c r="A8650" t="s">
        <v>200</v>
      </c>
      <c r="B8650" t="s">
        <v>200</v>
      </c>
      <c r="C8650" t="s">
        <v>200</v>
      </c>
      <c r="D8650" t="s">
        <v>247</v>
      </c>
      <c r="E8650" s="3">
        <v>5.9999999999999995E-4</v>
      </c>
      <c r="J8650">
        <v>171</v>
      </c>
      <c r="K8650">
        <v>171</v>
      </c>
      <c r="L8650">
        <v>171</v>
      </c>
    </row>
    <row r="8651" spans="1:13">
      <c r="A8651" t="s">
        <v>200</v>
      </c>
      <c r="B8651" t="s">
        <v>200</v>
      </c>
      <c r="C8651" t="s">
        <v>200</v>
      </c>
      <c r="D8651" t="s">
        <v>1705</v>
      </c>
      <c r="E8651" s="3">
        <v>0.40229999999999999</v>
      </c>
      <c r="F8651" s="3">
        <v>0.25219999999999998</v>
      </c>
      <c r="G8651" s="3">
        <v>0.43769999999999998</v>
      </c>
      <c r="H8651" s="3">
        <v>0.36480000000000001</v>
      </c>
      <c r="I8651" s="3">
        <v>0.3271</v>
      </c>
      <c r="J8651">
        <v>171</v>
      </c>
      <c r="K8651">
        <v>171</v>
      </c>
      <c r="L8651">
        <v>171</v>
      </c>
    </row>
    <row r="8652" spans="1:13">
      <c r="A8652" t="s">
        <v>200</v>
      </c>
      <c r="B8652" t="s">
        <v>200</v>
      </c>
      <c r="C8652" t="s">
        <v>200</v>
      </c>
      <c r="D8652" t="s">
        <v>1706</v>
      </c>
      <c r="E8652" s="3">
        <v>0.55869999999999997</v>
      </c>
      <c r="F8652" s="3">
        <v>0.73009999999999997</v>
      </c>
      <c r="G8652" s="3">
        <v>0.55289999999999995</v>
      </c>
      <c r="H8652" s="3">
        <v>0.10199999999999999</v>
      </c>
      <c r="I8652" s="3">
        <v>0.63870000000000005</v>
      </c>
      <c r="J8652">
        <v>171</v>
      </c>
      <c r="K8652">
        <v>171</v>
      </c>
      <c r="L8652">
        <v>171</v>
      </c>
    </row>
    <row r="8653" spans="1:13">
      <c r="A8653" t="s">
        <v>200</v>
      </c>
      <c r="B8653" t="s">
        <v>200</v>
      </c>
      <c r="C8653" t="s">
        <v>200</v>
      </c>
      <c r="D8653" t="s">
        <v>1707</v>
      </c>
      <c r="E8653" s="3">
        <v>2.4E-2</v>
      </c>
      <c r="G8653" s="3">
        <v>8.5000000000000006E-3</v>
      </c>
      <c r="H8653" s="3">
        <v>0.52880000000000005</v>
      </c>
      <c r="I8653" s="3">
        <v>5.1000000000000004E-3</v>
      </c>
      <c r="J8653">
        <v>171</v>
      </c>
      <c r="K8653">
        <v>171</v>
      </c>
      <c r="L8653">
        <v>171</v>
      </c>
    </row>
    <row r="8655" spans="1:13" ht="45">
      <c r="A8655" s="22" t="s">
        <v>1720</v>
      </c>
    </row>
    <row r="8656" spans="1:13">
      <c r="A8656" t="s">
        <v>185</v>
      </c>
      <c r="B8656" t="s">
        <v>186</v>
      </c>
      <c r="C8656" t="s">
        <v>192</v>
      </c>
      <c r="D8656" t="s">
        <v>184</v>
      </c>
      <c r="E8656" t="s">
        <v>193</v>
      </c>
      <c r="F8656" t="s">
        <v>1709</v>
      </c>
      <c r="G8656" t="s">
        <v>1710</v>
      </c>
      <c r="H8656" t="s">
        <v>1711</v>
      </c>
      <c r="I8656" t="s">
        <v>257</v>
      </c>
      <c r="J8656" t="s">
        <v>1712</v>
      </c>
      <c r="K8656" t="s">
        <v>1713</v>
      </c>
      <c r="L8656" t="s">
        <v>1714</v>
      </c>
      <c r="M8656" t="s">
        <v>247</v>
      </c>
    </row>
    <row r="8657" spans="1:13">
      <c r="A8657" t="s">
        <v>195</v>
      </c>
      <c r="B8657" t="s">
        <v>202</v>
      </c>
      <c r="C8657">
        <v>533</v>
      </c>
      <c r="D8657" t="s">
        <v>194</v>
      </c>
      <c r="E8657">
        <v>2676</v>
      </c>
      <c r="F8657" s="3">
        <v>0.1706</v>
      </c>
      <c r="G8657" s="3">
        <v>0.182</v>
      </c>
      <c r="H8657" s="3">
        <v>0.1077</v>
      </c>
      <c r="I8657" s="3">
        <v>9.5999999999999992E-3</v>
      </c>
      <c r="J8657" s="3">
        <v>0.18060000000000001</v>
      </c>
      <c r="K8657" s="3">
        <v>0.25209999999999999</v>
      </c>
      <c r="L8657" s="3">
        <v>9.4399999999999998E-2</v>
      </c>
      <c r="M8657" s="3">
        <v>3.0000000000000001E-3</v>
      </c>
    </row>
    <row r="8658" spans="1:13">
      <c r="A8658" t="s">
        <v>195</v>
      </c>
      <c r="B8658" t="s">
        <v>204</v>
      </c>
      <c r="C8658">
        <v>301</v>
      </c>
      <c r="D8658" t="s">
        <v>194</v>
      </c>
      <c r="E8658">
        <v>2676</v>
      </c>
      <c r="F8658" s="3">
        <v>0.27879999999999999</v>
      </c>
      <c r="G8658" s="3">
        <v>0.20219999999999999</v>
      </c>
      <c r="H8658" s="3">
        <v>0.1138</v>
      </c>
      <c r="I8658" s="3">
        <v>1.6999999999999999E-3</v>
      </c>
      <c r="J8658" s="3">
        <v>0.19040000000000001</v>
      </c>
      <c r="K8658" s="3">
        <v>0.15060000000000001</v>
      </c>
      <c r="L8658" s="3">
        <v>6.25E-2</v>
      </c>
    </row>
    <row r="8659" spans="1:13">
      <c r="A8659" t="s">
        <v>195</v>
      </c>
      <c r="B8659" t="s">
        <v>205</v>
      </c>
      <c r="C8659">
        <v>333</v>
      </c>
      <c r="D8659" t="s">
        <v>194</v>
      </c>
      <c r="E8659">
        <v>2676</v>
      </c>
      <c r="F8659" s="3">
        <v>0.23530000000000001</v>
      </c>
      <c r="G8659" s="3">
        <v>0.13039999999999999</v>
      </c>
      <c r="H8659" s="3">
        <v>0.1676</v>
      </c>
      <c r="I8659" s="3">
        <v>8.3000000000000001E-3</v>
      </c>
      <c r="J8659" s="3">
        <v>0.307</v>
      </c>
      <c r="K8659" s="3">
        <v>0.14069999999999999</v>
      </c>
      <c r="L8659" s="3">
        <v>1.0699999999999999E-2</v>
      </c>
    </row>
    <row r="8660" spans="1:13">
      <c r="A8660" t="s">
        <v>199</v>
      </c>
      <c r="B8660" t="s">
        <v>202</v>
      </c>
      <c r="C8660">
        <v>538</v>
      </c>
      <c r="D8660" t="s">
        <v>194</v>
      </c>
      <c r="E8660">
        <v>2676</v>
      </c>
      <c r="F8660" s="3">
        <v>2.8299999999999999E-2</v>
      </c>
      <c r="G8660" s="3">
        <v>2.4500000000000001E-2</v>
      </c>
      <c r="H8660" s="3">
        <v>2.1000000000000001E-2</v>
      </c>
      <c r="I8660" s="3">
        <v>1.5E-3</v>
      </c>
      <c r="J8660" s="3">
        <v>1.2999999999999999E-3</v>
      </c>
      <c r="K8660" s="3">
        <v>0.29330000000000001</v>
      </c>
      <c r="L8660" s="3">
        <v>0.63009999999999999</v>
      </c>
    </row>
    <row r="8661" spans="1:13">
      <c r="A8661" t="s">
        <v>199</v>
      </c>
      <c r="B8661" t="s">
        <v>204</v>
      </c>
      <c r="C8661">
        <v>426</v>
      </c>
      <c r="D8661" t="s">
        <v>194</v>
      </c>
      <c r="E8661">
        <v>2676</v>
      </c>
      <c r="F8661" s="3">
        <v>8.6199999999999999E-2</v>
      </c>
      <c r="G8661" s="3">
        <v>7.0300000000000001E-2</v>
      </c>
      <c r="H8661" s="3">
        <v>5.8200000000000002E-2</v>
      </c>
      <c r="I8661" s="3">
        <v>7.0000000000000001E-3</v>
      </c>
      <c r="J8661" s="3">
        <v>7.85E-2</v>
      </c>
      <c r="K8661" s="3">
        <v>0.34029999999999999</v>
      </c>
      <c r="L8661" s="3">
        <v>0.35289999999999999</v>
      </c>
      <c r="M8661" s="3">
        <v>6.7999999999999996E-3</v>
      </c>
    </row>
    <row r="8662" spans="1:13">
      <c r="A8662" t="s">
        <v>199</v>
      </c>
      <c r="B8662" t="s">
        <v>205</v>
      </c>
      <c r="C8662">
        <v>506</v>
      </c>
      <c r="D8662" t="s">
        <v>194</v>
      </c>
      <c r="E8662">
        <v>2676</v>
      </c>
      <c r="F8662" s="3">
        <v>9.9099999999999994E-2</v>
      </c>
      <c r="G8662" s="3">
        <v>9.6699999999999994E-2</v>
      </c>
      <c r="H8662" s="3">
        <v>6.7900000000000002E-2</v>
      </c>
      <c r="I8662" s="3">
        <v>1.4E-3</v>
      </c>
      <c r="J8662" s="3">
        <v>0.111</v>
      </c>
      <c r="K8662" s="3">
        <v>0.39150000000000001</v>
      </c>
      <c r="L8662" s="3">
        <v>0.2324</v>
      </c>
    </row>
    <row r="8663" spans="1:13">
      <c r="A8663" t="s">
        <v>200</v>
      </c>
      <c r="B8663" t="s">
        <v>200</v>
      </c>
      <c r="C8663">
        <v>2676</v>
      </c>
      <c r="D8663" t="s">
        <v>200</v>
      </c>
      <c r="E8663">
        <v>2676</v>
      </c>
      <c r="F8663" s="3">
        <v>0.1188</v>
      </c>
      <c r="G8663" s="3">
        <v>0.1047</v>
      </c>
      <c r="H8663" s="3">
        <v>7.2099999999999997E-2</v>
      </c>
      <c r="I8663" s="3">
        <v>5.1000000000000004E-3</v>
      </c>
      <c r="J8663" s="3">
        <v>0.10829999999999999</v>
      </c>
      <c r="K8663" s="3">
        <v>0.27289999999999998</v>
      </c>
      <c r="L8663" s="3">
        <v>0.3165</v>
      </c>
      <c r="M8663" s="3">
        <v>1.6000000000000001E-3</v>
      </c>
    </row>
    <row r="8665" spans="1:13" ht="30">
      <c r="A8665" s="22" t="s">
        <v>1721</v>
      </c>
    </row>
    <row r="8666" spans="1:13">
      <c r="A8666" t="s">
        <v>184</v>
      </c>
      <c r="B8666" t="s">
        <v>185</v>
      </c>
      <c r="C8666" t="s">
        <v>186</v>
      </c>
      <c r="D8666" t="s">
        <v>1007</v>
      </c>
      <c r="E8666" t="s">
        <v>1700</v>
      </c>
      <c r="F8666" t="s">
        <v>1701</v>
      </c>
      <c r="G8666" t="s">
        <v>1702</v>
      </c>
      <c r="H8666" t="s">
        <v>1703</v>
      </c>
      <c r="I8666" t="s">
        <v>1704</v>
      </c>
      <c r="J8666" t="s">
        <v>1018</v>
      </c>
      <c r="K8666" t="s">
        <v>192</v>
      </c>
      <c r="L8666" t="s">
        <v>193</v>
      </c>
    </row>
    <row r="8667" spans="1:13" s="25" customFormat="1">
      <c r="A8667" s="25" t="s">
        <v>194</v>
      </c>
      <c r="B8667" s="25" t="s">
        <v>195</v>
      </c>
      <c r="C8667" s="25" t="s">
        <v>207</v>
      </c>
      <c r="D8667" s="25" t="s">
        <v>257</v>
      </c>
      <c r="E8667" s="26">
        <v>5.3999999999999999E-2</v>
      </c>
      <c r="F8667" s="26">
        <v>3.2099999999999997E-2</v>
      </c>
      <c r="H8667" s="26">
        <v>5.5999999999999999E-3</v>
      </c>
      <c r="I8667" s="26">
        <v>5.8500000000000003E-2</v>
      </c>
      <c r="J8667" s="25">
        <v>34</v>
      </c>
      <c r="K8667" s="25">
        <v>29</v>
      </c>
      <c r="L8667" s="25">
        <v>171</v>
      </c>
    </row>
    <row r="8668" spans="1:13" s="25" customFormat="1">
      <c r="A8668" s="25" t="s">
        <v>194</v>
      </c>
      <c r="B8668" s="25" t="s">
        <v>195</v>
      </c>
      <c r="C8668" s="25" t="s">
        <v>207</v>
      </c>
      <c r="D8668" s="25" t="s">
        <v>1705</v>
      </c>
      <c r="E8668" s="26">
        <v>0.68359999999999999</v>
      </c>
      <c r="F8668" s="26">
        <v>0.25219999999999998</v>
      </c>
      <c r="G8668" s="26">
        <v>0.45479999999999998</v>
      </c>
      <c r="H8668" s="26">
        <v>0.79900000000000004</v>
      </c>
      <c r="I8668" s="26">
        <v>0.2145</v>
      </c>
      <c r="J8668" s="25">
        <v>34</v>
      </c>
      <c r="K8668" s="25">
        <v>29</v>
      </c>
      <c r="L8668" s="25">
        <v>171</v>
      </c>
    </row>
    <row r="8669" spans="1:13" s="25" customFormat="1">
      <c r="A8669" s="25" t="s">
        <v>194</v>
      </c>
      <c r="B8669" s="25" t="s">
        <v>195</v>
      </c>
      <c r="C8669" s="25" t="s">
        <v>207</v>
      </c>
      <c r="D8669" s="25" t="s">
        <v>1706</v>
      </c>
      <c r="E8669" s="26">
        <v>0.23469999999999999</v>
      </c>
      <c r="F8669" s="26">
        <v>0.7157</v>
      </c>
      <c r="G8669" s="26">
        <v>0.54520000000000002</v>
      </c>
      <c r="H8669" s="26">
        <v>7.4499999999999997E-2</v>
      </c>
      <c r="I8669" s="26">
        <v>0.72709999999999997</v>
      </c>
      <c r="J8669" s="25">
        <v>34</v>
      </c>
      <c r="K8669" s="25">
        <v>29</v>
      </c>
      <c r="L8669" s="25">
        <v>171</v>
      </c>
    </row>
    <row r="8670" spans="1:13" s="25" customFormat="1">
      <c r="A8670" s="25" t="s">
        <v>194</v>
      </c>
      <c r="B8670" s="25" t="s">
        <v>195</v>
      </c>
      <c r="C8670" s="25" t="s">
        <v>207</v>
      </c>
      <c r="D8670" s="25" t="s">
        <v>1707</v>
      </c>
      <c r="E8670" s="26">
        <v>2.76E-2</v>
      </c>
      <c r="H8670" s="26">
        <v>0.12089999999999999</v>
      </c>
      <c r="J8670" s="25">
        <v>34</v>
      </c>
      <c r="K8670" s="25">
        <v>29</v>
      </c>
      <c r="L8670" s="25">
        <v>171</v>
      </c>
    </row>
    <row r="8671" spans="1:13">
      <c r="A8671" t="s">
        <v>194</v>
      </c>
      <c r="B8671" t="s">
        <v>195</v>
      </c>
      <c r="C8671" t="s">
        <v>209</v>
      </c>
      <c r="D8671" t="s">
        <v>247</v>
      </c>
      <c r="E8671" s="3">
        <v>1.4E-3</v>
      </c>
      <c r="J8671">
        <v>57</v>
      </c>
      <c r="K8671">
        <v>69</v>
      </c>
      <c r="L8671">
        <v>171</v>
      </c>
    </row>
    <row r="8672" spans="1:13">
      <c r="A8672" t="s">
        <v>194</v>
      </c>
      <c r="B8672" t="s">
        <v>195</v>
      </c>
      <c r="C8672" t="s">
        <v>209</v>
      </c>
      <c r="D8672" t="s">
        <v>1705</v>
      </c>
      <c r="E8672" s="3">
        <v>0.26929999999999998</v>
      </c>
      <c r="F8672" s="3">
        <v>0.26829999999999998</v>
      </c>
      <c r="G8672" s="3">
        <v>0.47960000000000003</v>
      </c>
      <c r="H8672" s="3">
        <v>0.50209999999999999</v>
      </c>
      <c r="I8672" s="3">
        <v>0.52959999999999996</v>
      </c>
      <c r="J8672">
        <v>57</v>
      </c>
      <c r="K8672">
        <v>69</v>
      </c>
      <c r="L8672">
        <v>171</v>
      </c>
    </row>
    <row r="8673" spans="1:13">
      <c r="A8673" t="s">
        <v>194</v>
      </c>
      <c r="B8673" t="s">
        <v>195</v>
      </c>
      <c r="C8673" t="s">
        <v>209</v>
      </c>
      <c r="D8673" t="s">
        <v>1706</v>
      </c>
      <c r="E8673" s="3">
        <v>0.69169999999999998</v>
      </c>
      <c r="F8673" s="3">
        <v>0.73170000000000002</v>
      </c>
      <c r="G8673" s="3">
        <v>0.504</v>
      </c>
      <c r="H8673" s="3">
        <v>0.13289999999999999</v>
      </c>
      <c r="I8673" s="3">
        <v>0.42759999999999998</v>
      </c>
      <c r="J8673">
        <v>57</v>
      </c>
      <c r="K8673">
        <v>69</v>
      </c>
      <c r="L8673">
        <v>171</v>
      </c>
    </row>
    <row r="8674" spans="1:13">
      <c r="A8674" t="s">
        <v>194</v>
      </c>
      <c r="B8674" t="s">
        <v>195</v>
      </c>
      <c r="C8674" t="s">
        <v>209</v>
      </c>
      <c r="D8674" t="s">
        <v>1707</v>
      </c>
      <c r="E8674" s="3">
        <v>3.7600000000000001E-2</v>
      </c>
      <c r="G8674" s="3">
        <v>1.6400000000000001E-2</v>
      </c>
      <c r="H8674" s="3">
        <v>0.36499999999999999</v>
      </c>
      <c r="I8674" s="3">
        <v>4.4999999999999997E-3</v>
      </c>
      <c r="J8674">
        <v>57</v>
      </c>
      <c r="K8674">
        <v>69</v>
      </c>
      <c r="L8674">
        <v>171</v>
      </c>
    </row>
    <row r="8675" spans="1:13" s="25" customFormat="1">
      <c r="A8675" s="25" t="s">
        <v>194</v>
      </c>
      <c r="B8675" s="25" t="s">
        <v>199</v>
      </c>
      <c r="C8675" s="25" t="s">
        <v>207</v>
      </c>
      <c r="D8675" s="25" t="s">
        <v>1705</v>
      </c>
      <c r="E8675" s="26">
        <v>0.39460000000000001</v>
      </c>
      <c r="F8675" s="26">
        <v>9.4299999999999995E-2</v>
      </c>
      <c r="G8675" s="26">
        <v>0.37669999999999998</v>
      </c>
      <c r="H8675" s="26">
        <v>6.6E-3</v>
      </c>
      <c r="I8675" s="26">
        <v>0.1515</v>
      </c>
      <c r="J8675" s="25">
        <v>10</v>
      </c>
      <c r="K8675" s="25">
        <v>21</v>
      </c>
      <c r="L8675" s="25">
        <v>171</v>
      </c>
    </row>
    <row r="8676" spans="1:13" s="25" customFormat="1">
      <c r="A8676" s="25" t="s">
        <v>194</v>
      </c>
      <c r="B8676" s="25" t="s">
        <v>199</v>
      </c>
      <c r="C8676" s="25" t="s">
        <v>207</v>
      </c>
      <c r="D8676" s="25" t="s">
        <v>1706</v>
      </c>
      <c r="E8676" s="26">
        <v>0.60540000000000005</v>
      </c>
      <c r="F8676" s="26">
        <v>0.89700000000000002</v>
      </c>
      <c r="G8676" s="26">
        <v>0.61150000000000004</v>
      </c>
      <c r="H8676" s="26">
        <v>8.77E-2</v>
      </c>
      <c r="I8676" s="26">
        <v>0.81440000000000001</v>
      </c>
      <c r="J8676" s="25">
        <v>10</v>
      </c>
      <c r="K8676" s="25">
        <v>21</v>
      </c>
      <c r="L8676" s="25">
        <v>171</v>
      </c>
    </row>
    <row r="8677" spans="1:13">
      <c r="A8677" t="s">
        <v>194</v>
      </c>
      <c r="B8677" t="s">
        <v>199</v>
      </c>
      <c r="C8677" t="s">
        <v>209</v>
      </c>
      <c r="D8677" t="s">
        <v>1705</v>
      </c>
      <c r="E8677" s="3">
        <v>0.33279999999999998</v>
      </c>
      <c r="F8677" s="3">
        <v>0.28960000000000002</v>
      </c>
      <c r="G8677" s="3">
        <v>0.30259999999999998</v>
      </c>
      <c r="H8677" s="3">
        <v>0.17080000000000001</v>
      </c>
      <c r="I8677" s="3">
        <v>0.21149999999999999</v>
      </c>
      <c r="J8677">
        <v>27</v>
      </c>
      <c r="K8677">
        <v>52</v>
      </c>
      <c r="L8677">
        <v>171</v>
      </c>
    </row>
    <row r="8678" spans="1:13">
      <c r="A8678" t="s">
        <v>194</v>
      </c>
      <c r="B8678" t="s">
        <v>199</v>
      </c>
      <c r="C8678" t="s">
        <v>209</v>
      </c>
      <c r="D8678" t="s">
        <v>1706</v>
      </c>
      <c r="E8678" s="3">
        <v>0.66720000000000002</v>
      </c>
      <c r="F8678" s="3">
        <v>0.65580000000000005</v>
      </c>
      <c r="G8678" s="3">
        <v>0.69479999999999997</v>
      </c>
      <c r="H8678" s="3">
        <v>8.5400000000000004E-2</v>
      </c>
      <c r="I8678" s="3">
        <v>0.78849999999999998</v>
      </c>
      <c r="J8678">
        <v>27</v>
      </c>
      <c r="K8678">
        <v>52</v>
      </c>
      <c r="L8678">
        <v>171</v>
      </c>
    </row>
    <row r="8679" spans="1:13">
      <c r="A8679" t="s">
        <v>200</v>
      </c>
      <c r="B8679" t="s">
        <v>200</v>
      </c>
      <c r="C8679" t="s">
        <v>200</v>
      </c>
      <c r="D8679" t="s">
        <v>257</v>
      </c>
      <c r="E8679" s="3">
        <v>1.43E-2</v>
      </c>
      <c r="F8679" s="3">
        <v>1.78E-2</v>
      </c>
      <c r="G8679" s="3">
        <v>8.9999999999999998E-4</v>
      </c>
      <c r="H8679" s="3">
        <v>4.4000000000000003E-3</v>
      </c>
      <c r="I8679" s="3">
        <v>2.9100000000000001E-2</v>
      </c>
      <c r="J8679">
        <v>171</v>
      </c>
      <c r="K8679">
        <v>171</v>
      </c>
      <c r="L8679">
        <v>171</v>
      </c>
    </row>
    <row r="8680" spans="1:13">
      <c r="A8680" t="s">
        <v>200</v>
      </c>
      <c r="B8680" t="s">
        <v>200</v>
      </c>
      <c r="C8680" t="s">
        <v>200</v>
      </c>
      <c r="D8680" t="s">
        <v>247</v>
      </c>
      <c r="E8680" s="3">
        <v>5.9999999999999995E-4</v>
      </c>
      <c r="J8680">
        <v>171</v>
      </c>
      <c r="K8680">
        <v>171</v>
      </c>
      <c r="L8680">
        <v>171</v>
      </c>
    </row>
    <row r="8681" spans="1:13">
      <c r="A8681" t="s">
        <v>200</v>
      </c>
      <c r="B8681" t="s">
        <v>200</v>
      </c>
      <c r="C8681" t="s">
        <v>200</v>
      </c>
      <c r="D8681" t="s">
        <v>1705</v>
      </c>
      <c r="E8681" s="3">
        <v>0.40229999999999999</v>
      </c>
      <c r="F8681" s="3">
        <v>0.25219999999999998</v>
      </c>
      <c r="G8681" s="3">
        <v>0.43769999999999998</v>
      </c>
      <c r="H8681" s="3">
        <v>0.36480000000000001</v>
      </c>
      <c r="I8681" s="3">
        <v>0.3271</v>
      </c>
      <c r="J8681">
        <v>171</v>
      </c>
      <c r="K8681">
        <v>171</v>
      </c>
      <c r="L8681">
        <v>171</v>
      </c>
    </row>
    <row r="8682" spans="1:13">
      <c r="A8682" t="s">
        <v>200</v>
      </c>
      <c r="B8682" t="s">
        <v>200</v>
      </c>
      <c r="C8682" t="s">
        <v>200</v>
      </c>
      <c r="D8682" t="s">
        <v>1706</v>
      </c>
      <c r="E8682" s="3">
        <v>0.55869999999999997</v>
      </c>
      <c r="F8682" s="3">
        <v>0.73009999999999997</v>
      </c>
      <c r="G8682" s="3">
        <v>0.55289999999999995</v>
      </c>
      <c r="H8682" s="3">
        <v>0.10199999999999999</v>
      </c>
      <c r="I8682" s="3">
        <v>0.63870000000000005</v>
      </c>
      <c r="J8682">
        <v>171</v>
      </c>
      <c r="K8682">
        <v>171</v>
      </c>
      <c r="L8682">
        <v>171</v>
      </c>
    </row>
    <row r="8683" spans="1:13">
      <c r="A8683" t="s">
        <v>200</v>
      </c>
      <c r="B8683" t="s">
        <v>200</v>
      </c>
      <c r="C8683" t="s">
        <v>200</v>
      </c>
      <c r="D8683" t="s">
        <v>1707</v>
      </c>
      <c r="E8683" s="3">
        <v>2.4E-2</v>
      </c>
      <c r="G8683" s="3">
        <v>8.5000000000000006E-3</v>
      </c>
      <c r="H8683" s="3">
        <v>0.52880000000000005</v>
      </c>
      <c r="I8683" s="3">
        <v>5.1000000000000004E-3</v>
      </c>
      <c r="J8683">
        <v>171</v>
      </c>
      <c r="K8683">
        <v>171</v>
      </c>
      <c r="L8683">
        <v>171</v>
      </c>
    </row>
    <row r="8685" spans="1:13" ht="45">
      <c r="A8685" s="22" t="s">
        <v>1722</v>
      </c>
    </row>
    <row r="8686" spans="1:13">
      <c r="A8686" t="s">
        <v>185</v>
      </c>
      <c r="B8686" t="s">
        <v>186</v>
      </c>
      <c r="C8686" t="s">
        <v>192</v>
      </c>
      <c r="D8686" t="s">
        <v>184</v>
      </c>
      <c r="E8686" t="s">
        <v>193</v>
      </c>
      <c r="F8686" t="s">
        <v>1709</v>
      </c>
      <c r="G8686" t="s">
        <v>1710</v>
      </c>
      <c r="H8686" t="s">
        <v>1711</v>
      </c>
      <c r="I8686" t="s">
        <v>257</v>
      </c>
      <c r="J8686" t="s">
        <v>1712</v>
      </c>
      <c r="K8686" t="s">
        <v>1713</v>
      </c>
      <c r="L8686" t="s">
        <v>1714</v>
      </c>
      <c r="M8686" t="s">
        <v>247</v>
      </c>
    </row>
    <row r="8687" spans="1:13">
      <c r="A8687" t="s">
        <v>195</v>
      </c>
      <c r="B8687" t="s">
        <v>207</v>
      </c>
      <c r="C8687">
        <v>322</v>
      </c>
      <c r="D8687" t="s">
        <v>194</v>
      </c>
      <c r="E8687">
        <v>2676</v>
      </c>
      <c r="F8687" s="3">
        <v>0.2271</v>
      </c>
      <c r="G8687" s="3">
        <v>0.16889999999999999</v>
      </c>
      <c r="H8687" s="3">
        <v>0.1104</v>
      </c>
      <c r="I8687" s="3">
        <v>1.0500000000000001E-2</v>
      </c>
      <c r="J8687" s="3">
        <v>0.22639999999999999</v>
      </c>
      <c r="K8687" s="3">
        <v>0.2203</v>
      </c>
      <c r="L8687" s="3">
        <v>3.6400000000000002E-2</v>
      </c>
    </row>
    <row r="8688" spans="1:13">
      <c r="A8688" t="s">
        <v>195</v>
      </c>
      <c r="B8688" t="s">
        <v>209</v>
      </c>
      <c r="C8688">
        <v>866</v>
      </c>
      <c r="D8688" t="s">
        <v>194</v>
      </c>
      <c r="E8688">
        <v>2676</v>
      </c>
      <c r="F8688" s="3">
        <v>0.19439999999999999</v>
      </c>
      <c r="G8688" s="3">
        <v>0.18210000000000001</v>
      </c>
      <c r="H8688" s="3">
        <v>0.11940000000000001</v>
      </c>
      <c r="I8688" s="3">
        <v>7.6E-3</v>
      </c>
      <c r="J8688" s="3">
        <v>0.19040000000000001</v>
      </c>
      <c r="K8688" s="3">
        <v>0.21410000000000001</v>
      </c>
      <c r="L8688" s="3">
        <v>8.9499999999999996E-2</v>
      </c>
      <c r="M8688" s="3">
        <v>2.7000000000000001E-3</v>
      </c>
    </row>
    <row r="8689" spans="1:13">
      <c r="A8689" t="s">
        <v>199</v>
      </c>
      <c r="B8689" t="s">
        <v>207</v>
      </c>
      <c r="C8689">
        <v>283</v>
      </c>
      <c r="D8689" t="s">
        <v>194</v>
      </c>
      <c r="E8689">
        <v>2676</v>
      </c>
      <c r="F8689" s="3">
        <v>0.1021</v>
      </c>
      <c r="G8689" s="3">
        <v>8.7900000000000006E-2</v>
      </c>
      <c r="H8689" s="3">
        <v>1.95E-2</v>
      </c>
      <c r="I8689" s="3">
        <v>7.7000000000000002E-3</v>
      </c>
      <c r="J8689" s="3">
        <v>7.8700000000000006E-2</v>
      </c>
      <c r="K8689" s="3">
        <v>0.4088</v>
      </c>
      <c r="L8689" s="3">
        <v>0.29530000000000001</v>
      </c>
    </row>
    <row r="8690" spans="1:13">
      <c r="A8690" t="s">
        <v>199</v>
      </c>
      <c r="B8690" t="s">
        <v>209</v>
      </c>
      <c r="C8690">
        <v>1205</v>
      </c>
      <c r="D8690" t="s">
        <v>194</v>
      </c>
      <c r="E8690">
        <v>2676</v>
      </c>
      <c r="F8690" s="3">
        <v>4.4600000000000001E-2</v>
      </c>
      <c r="G8690" s="3">
        <v>3.9699999999999999E-2</v>
      </c>
      <c r="H8690" s="3">
        <v>3.85E-2</v>
      </c>
      <c r="I8690" s="3">
        <v>1.8E-3</v>
      </c>
      <c r="J8690" s="3">
        <v>2.93E-2</v>
      </c>
      <c r="K8690" s="3">
        <v>0.30620000000000003</v>
      </c>
      <c r="L8690" s="3">
        <v>0.53839999999999999</v>
      </c>
      <c r="M8690" s="3">
        <v>1.5E-3</v>
      </c>
    </row>
    <row r="8691" spans="1:13">
      <c r="A8691" t="s">
        <v>200</v>
      </c>
      <c r="B8691" t="s">
        <v>200</v>
      </c>
      <c r="C8691">
        <v>2676</v>
      </c>
      <c r="D8691" t="s">
        <v>200</v>
      </c>
      <c r="E8691">
        <v>2676</v>
      </c>
      <c r="F8691" s="3">
        <v>0.1188</v>
      </c>
      <c r="G8691" s="3">
        <v>0.1047</v>
      </c>
      <c r="H8691" s="3">
        <v>7.2099999999999997E-2</v>
      </c>
      <c r="I8691" s="3">
        <v>5.1000000000000004E-3</v>
      </c>
      <c r="J8691" s="3">
        <v>0.10829999999999999</v>
      </c>
      <c r="K8691" s="3">
        <v>0.27289999999999998</v>
      </c>
      <c r="L8691" s="3">
        <v>0.3165</v>
      </c>
      <c r="M8691" s="3">
        <v>1.6000000000000001E-3</v>
      </c>
    </row>
    <row r="8693" spans="1:13" ht="30">
      <c r="A8693" s="22" t="s">
        <v>1723</v>
      </c>
    </row>
    <row r="8694" spans="1:13">
      <c r="A8694" t="s">
        <v>184</v>
      </c>
      <c r="B8694" t="s">
        <v>185</v>
      </c>
      <c r="C8694" t="s">
        <v>1007</v>
      </c>
      <c r="D8694" t="s">
        <v>1700</v>
      </c>
      <c r="E8694" t="s">
        <v>1701</v>
      </c>
      <c r="F8694" t="s">
        <v>1702</v>
      </c>
      <c r="G8694" t="s">
        <v>1703</v>
      </c>
      <c r="H8694" t="s">
        <v>1704</v>
      </c>
      <c r="I8694" t="s">
        <v>1018</v>
      </c>
      <c r="J8694" t="s">
        <v>192</v>
      </c>
      <c r="K8694" t="s">
        <v>193</v>
      </c>
    </row>
    <row r="8695" spans="1:13">
      <c r="A8695" t="s">
        <v>194</v>
      </c>
      <c r="B8695" t="s">
        <v>195</v>
      </c>
      <c r="C8695" t="s">
        <v>257</v>
      </c>
      <c r="D8695" s="3">
        <v>2.01E-2</v>
      </c>
      <c r="E8695" s="3">
        <v>8.8000000000000005E-3</v>
      </c>
      <c r="G8695" s="3">
        <v>1.5E-3</v>
      </c>
      <c r="H8695" s="3">
        <v>4.6300000000000001E-2</v>
      </c>
      <c r="I8695">
        <v>91</v>
      </c>
      <c r="J8695">
        <v>98</v>
      </c>
      <c r="K8695">
        <v>171</v>
      </c>
    </row>
    <row r="8696" spans="1:13">
      <c r="A8696" t="s">
        <v>194</v>
      </c>
      <c r="B8696" t="s">
        <v>195</v>
      </c>
      <c r="C8696" t="s">
        <v>247</v>
      </c>
      <c r="D8696" s="3">
        <v>8.9999999999999998E-4</v>
      </c>
      <c r="I8696">
        <v>91</v>
      </c>
      <c r="J8696">
        <v>98</v>
      </c>
      <c r="K8696">
        <v>171</v>
      </c>
    </row>
    <row r="8697" spans="1:13">
      <c r="A8697" t="s">
        <v>194</v>
      </c>
      <c r="B8697" t="s">
        <v>195</v>
      </c>
      <c r="C8697" t="s">
        <v>1705</v>
      </c>
      <c r="D8697" s="3">
        <v>0.42370000000000002</v>
      </c>
      <c r="E8697" s="3">
        <v>0.26390000000000002</v>
      </c>
      <c r="F8697" s="3">
        <v>0.4708</v>
      </c>
      <c r="G8697" s="3">
        <v>0.57909999999999995</v>
      </c>
      <c r="H8697" s="3">
        <v>0.40479999999999999</v>
      </c>
      <c r="I8697">
        <v>91</v>
      </c>
      <c r="J8697">
        <v>98</v>
      </c>
      <c r="K8697">
        <v>171</v>
      </c>
    </row>
    <row r="8698" spans="1:13">
      <c r="A8698" t="s">
        <v>194</v>
      </c>
      <c r="B8698" t="s">
        <v>195</v>
      </c>
      <c r="C8698" t="s">
        <v>1706</v>
      </c>
      <c r="D8698" s="3">
        <v>0.52149999999999996</v>
      </c>
      <c r="E8698" s="3">
        <v>0.72729999999999995</v>
      </c>
      <c r="F8698" s="3">
        <v>0.51859999999999995</v>
      </c>
      <c r="G8698" s="3">
        <v>0.1178</v>
      </c>
      <c r="H8698" s="3">
        <v>0.54620000000000002</v>
      </c>
      <c r="I8698">
        <v>91</v>
      </c>
      <c r="J8698">
        <v>98</v>
      </c>
      <c r="K8698">
        <v>171</v>
      </c>
    </row>
    <row r="8699" spans="1:13">
      <c r="A8699" t="s">
        <v>194</v>
      </c>
      <c r="B8699" t="s">
        <v>195</v>
      </c>
      <c r="C8699" t="s">
        <v>1707</v>
      </c>
      <c r="D8699" s="3">
        <v>3.39E-2</v>
      </c>
      <c r="F8699" s="3">
        <v>1.06E-2</v>
      </c>
      <c r="G8699" s="3">
        <v>0.30170000000000002</v>
      </c>
      <c r="H8699" s="3">
        <v>2.7000000000000001E-3</v>
      </c>
      <c r="I8699">
        <v>91</v>
      </c>
      <c r="J8699">
        <v>98</v>
      </c>
      <c r="K8699">
        <v>171</v>
      </c>
    </row>
    <row r="8700" spans="1:13">
      <c r="A8700" t="s">
        <v>194</v>
      </c>
      <c r="B8700" t="s">
        <v>199</v>
      </c>
      <c r="C8700" t="s">
        <v>1705</v>
      </c>
      <c r="D8700" s="3">
        <v>0.34989999999999999</v>
      </c>
      <c r="E8700" s="3">
        <v>0.22409999999999999</v>
      </c>
      <c r="F8700" s="3">
        <v>0.3281</v>
      </c>
      <c r="G8700" s="3">
        <v>0.14410000000000001</v>
      </c>
      <c r="H8700" s="3">
        <v>0.19539999999999999</v>
      </c>
      <c r="I8700">
        <v>37</v>
      </c>
      <c r="J8700">
        <v>73</v>
      </c>
      <c r="K8700">
        <v>171</v>
      </c>
    </row>
    <row r="8701" spans="1:13">
      <c r="A8701" t="s">
        <v>194</v>
      </c>
      <c r="B8701" t="s">
        <v>199</v>
      </c>
      <c r="C8701" t="s">
        <v>1706</v>
      </c>
      <c r="D8701" s="3">
        <v>0.65010000000000001</v>
      </c>
      <c r="E8701" s="3">
        <v>0.73670000000000002</v>
      </c>
      <c r="F8701" s="3">
        <v>0.66620000000000001</v>
      </c>
      <c r="G8701" s="3">
        <v>8.5800000000000001E-2</v>
      </c>
      <c r="H8701" s="3">
        <v>0.7954</v>
      </c>
      <c r="I8701">
        <v>37</v>
      </c>
      <c r="J8701">
        <v>73</v>
      </c>
      <c r="K8701">
        <v>171</v>
      </c>
    </row>
    <row r="8702" spans="1:13">
      <c r="A8702" t="s">
        <v>200</v>
      </c>
      <c r="B8702" t="s">
        <v>200</v>
      </c>
      <c r="C8702" t="s">
        <v>257</v>
      </c>
      <c r="D8702" s="3">
        <v>1.43E-2</v>
      </c>
      <c r="E8702" s="3">
        <v>1.78E-2</v>
      </c>
      <c r="F8702" s="3">
        <v>8.9999999999999998E-4</v>
      </c>
      <c r="G8702" s="3">
        <v>4.4000000000000003E-3</v>
      </c>
      <c r="H8702" s="3">
        <v>2.9100000000000001E-2</v>
      </c>
      <c r="I8702">
        <v>171</v>
      </c>
      <c r="J8702">
        <v>171</v>
      </c>
      <c r="K8702">
        <v>171</v>
      </c>
    </row>
    <row r="8703" spans="1:13">
      <c r="A8703" t="s">
        <v>200</v>
      </c>
      <c r="B8703" t="s">
        <v>200</v>
      </c>
      <c r="C8703" t="s">
        <v>247</v>
      </c>
      <c r="D8703" s="3">
        <v>5.9999999999999995E-4</v>
      </c>
      <c r="I8703">
        <v>171</v>
      </c>
      <c r="J8703">
        <v>171</v>
      </c>
      <c r="K8703">
        <v>171</v>
      </c>
    </row>
    <row r="8704" spans="1:13">
      <c r="A8704" t="s">
        <v>200</v>
      </c>
      <c r="B8704" t="s">
        <v>200</v>
      </c>
      <c r="C8704" t="s">
        <v>1705</v>
      </c>
      <c r="D8704" s="3">
        <v>0.40229999999999999</v>
      </c>
      <c r="E8704" s="3">
        <v>0.25219999999999998</v>
      </c>
      <c r="F8704" s="3">
        <v>0.43769999999999998</v>
      </c>
      <c r="G8704" s="3">
        <v>0.36480000000000001</v>
      </c>
      <c r="H8704" s="3">
        <v>0.3271</v>
      </c>
      <c r="I8704">
        <v>171</v>
      </c>
      <c r="J8704">
        <v>171</v>
      </c>
      <c r="K8704">
        <v>171</v>
      </c>
    </row>
    <row r="8705" spans="1:12">
      <c r="A8705" t="s">
        <v>200</v>
      </c>
      <c r="B8705" t="s">
        <v>200</v>
      </c>
      <c r="C8705" t="s">
        <v>1706</v>
      </c>
      <c r="D8705" s="3">
        <v>0.55869999999999997</v>
      </c>
      <c r="E8705" s="3">
        <v>0.73009999999999997</v>
      </c>
      <c r="F8705" s="3">
        <v>0.55289999999999995</v>
      </c>
      <c r="G8705" s="3">
        <v>0.10199999999999999</v>
      </c>
      <c r="H8705" s="3">
        <v>0.63870000000000005</v>
      </c>
      <c r="I8705">
        <v>171</v>
      </c>
      <c r="J8705">
        <v>171</v>
      </c>
      <c r="K8705">
        <v>171</v>
      </c>
    </row>
    <row r="8706" spans="1:12">
      <c r="A8706" t="s">
        <v>200</v>
      </c>
      <c r="B8706" t="s">
        <v>200</v>
      </c>
      <c r="C8706" t="s">
        <v>1707</v>
      </c>
      <c r="D8706" s="3">
        <v>2.4E-2</v>
      </c>
      <c r="F8706" s="3">
        <v>8.5000000000000006E-3</v>
      </c>
      <c r="G8706" s="3">
        <v>0.52880000000000005</v>
      </c>
      <c r="H8706" s="3">
        <v>5.1000000000000004E-3</v>
      </c>
      <c r="I8706">
        <v>171</v>
      </c>
      <c r="J8706">
        <v>171</v>
      </c>
      <c r="K8706">
        <v>171</v>
      </c>
    </row>
    <row r="8708" spans="1:12" ht="45">
      <c r="A8708" s="22" t="s">
        <v>1724</v>
      </c>
    </row>
    <row r="8709" spans="1:12">
      <c r="A8709" t="s">
        <v>185</v>
      </c>
      <c r="B8709" t="s">
        <v>192</v>
      </c>
      <c r="C8709" t="s">
        <v>184</v>
      </c>
      <c r="D8709" t="s">
        <v>193</v>
      </c>
      <c r="E8709" t="s">
        <v>1709</v>
      </c>
      <c r="F8709" t="s">
        <v>1710</v>
      </c>
      <c r="G8709" t="s">
        <v>1711</v>
      </c>
      <c r="H8709" t="s">
        <v>257</v>
      </c>
      <c r="I8709" t="s">
        <v>1712</v>
      </c>
      <c r="J8709" t="s">
        <v>1713</v>
      </c>
      <c r="K8709" t="s">
        <v>1714</v>
      </c>
      <c r="L8709" t="s">
        <v>247</v>
      </c>
    </row>
    <row r="8710" spans="1:12">
      <c r="A8710" t="s">
        <v>195</v>
      </c>
      <c r="B8710">
        <v>1188</v>
      </c>
      <c r="C8710" t="s">
        <v>194</v>
      </c>
      <c r="D8710">
        <v>2676</v>
      </c>
      <c r="E8710" s="3">
        <v>0.20280000000000001</v>
      </c>
      <c r="F8710" s="3">
        <v>0.1787</v>
      </c>
      <c r="G8710" s="3">
        <v>0.1171</v>
      </c>
      <c r="H8710" s="3">
        <v>8.3000000000000001E-3</v>
      </c>
      <c r="I8710" s="3">
        <v>0.1996</v>
      </c>
      <c r="J8710" s="3">
        <v>0.2157</v>
      </c>
      <c r="K8710" s="3">
        <v>7.5800000000000006E-2</v>
      </c>
      <c r="L8710" s="3">
        <v>2E-3</v>
      </c>
    </row>
    <row r="8711" spans="1:12">
      <c r="A8711" t="s">
        <v>199</v>
      </c>
      <c r="B8711">
        <v>1488</v>
      </c>
      <c r="C8711" t="s">
        <v>194</v>
      </c>
      <c r="D8711">
        <v>2676</v>
      </c>
      <c r="E8711" s="3">
        <v>5.16E-2</v>
      </c>
      <c r="F8711" s="3">
        <v>4.5600000000000002E-2</v>
      </c>
      <c r="G8711" s="3">
        <v>3.6200000000000003E-2</v>
      </c>
      <c r="H8711" s="3">
        <v>2.5000000000000001E-3</v>
      </c>
      <c r="I8711" s="3">
        <v>3.5400000000000001E-2</v>
      </c>
      <c r="J8711" s="3">
        <v>0.31869999999999998</v>
      </c>
      <c r="K8711" s="3">
        <v>0.50880000000000003</v>
      </c>
      <c r="L8711" s="3">
        <v>1.2999999999999999E-3</v>
      </c>
    </row>
    <row r="8712" spans="1:12">
      <c r="A8712" t="s">
        <v>200</v>
      </c>
      <c r="B8712">
        <v>2676</v>
      </c>
      <c r="C8712" t="s">
        <v>200</v>
      </c>
      <c r="D8712">
        <v>2676</v>
      </c>
      <c r="E8712" s="3">
        <v>0.1188</v>
      </c>
      <c r="F8712" s="3">
        <v>0.1047</v>
      </c>
      <c r="G8712" s="3">
        <v>7.2099999999999997E-2</v>
      </c>
      <c r="H8712" s="3">
        <v>5.1000000000000004E-3</v>
      </c>
      <c r="I8712" s="3">
        <v>0.10829999999999999</v>
      </c>
      <c r="J8712" s="3">
        <v>0.27289999999999998</v>
      </c>
      <c r="K8712" s="3">
        <v>0.3165</v>
      </c>
      <c r="L8712" s="3">
        <v>1.6000000000000001E-3</v>
      </c>
    </row>
    <row r="8714" spans="1:12" ht="30">
      <c r="A8714" s="22" t="s">
        <v>1725</v>
      </c>
    </row>
    <row r="8715" spans="1:12">
      <c r="A8715" t="s">
        <v>184</v>
      </c>
      <c r="B8715" t="s">
        <v>185</v>
      </c>
      <c r="C8715" t="s">
        <v>186</v>
      </c>
      <c r="D8715" t="s">
        <v>1007</v>
      </c>
      <c r="E8715" t="s">
        <v>1700</v>
      </c>
      <c r="F8715" t="s">
        <v>1701</v>
      </c>
      <c r="G8715" t="s">
        <v>1702</v>
      </c>
      <c r="H8715" t="s">
        <v>1703</v>
      </c>
      <c r="I8715" t="s">
        <v>1704</v>
      </c>
      <c r="J8715" t="s">
        <v>1018</v>
      </c>
      <c r="K8715" t="s">
        <v>192</v>
      </c>
      <c r="L8715" t="s">
        <v>193</v>
      </c>
    </row>
    <row r="8716" spans="1:12">
      <c r="A8716" t="s">
        <v>194</v>
      </c>
      <c r="B8716" t="s">
        <v>195</v>
      </c>
      <c r="C8716" t="s">
        <v>212</v>
      </c>
      <c r="D8716" t="s">
        <v>257</v>
      </c>
      <c r="E8716" s="3">
        <v>1.61E-2</v>
      </c>
      <c r="F8716" s="3">
        <v>8.3000000000000001E-3</v>
      </c>
      <c r="H8716" s="3">
        <v>1.5E-3</v>
      </c>
      <c r="I8716" s="3">
        <v>2.8500000000000001E-2</v>
      </c>
      <c r="J8716">
        <v>79</v>
      </c>
      <c r="K8716">
        <v>75</v>
      </c>
      <c r="L8716">
        <v>171</v>
      </c>
    </row>
    <row r="8717" spans="1:12">
      <c r="A8717" t="s">
        <v>194</v>
      </c>
      <c r="B8717" t="s">
        <v>195</v>
      </c>
      <c r="C8717" t="s">
        <v>212</v>
      </c>
      <c r="D8717" t="s">
        <v>247</v>
      </c>
      <c r="E8717" s="3">
        <v>1E-3</v>
      </c>
      <c r="J8717">
        <v>79</v>
      </c>
      <c r="K8717">
        <v>75</v>
      </c>
      <c r="L8717">
        <v>171</v>
      </c>
    </row>
    <row r="8718" spans="1:12">
      <c r="A8718" t="s">
        <v>194</v>
      </c>
      <c r="B8718" t="s">
        <v>195</v>
      </c>
      <c r="C8718" t="s">
        <v>212</v>
      </c>
      <c r="D8718" t="s">
        <v>1705</v>
      </c>
      <c r="E8718" s="3">
        <v>0.4239</v>
      </c>
      <c r="F8718" s="3">
        <v>0.2298</v>
      </c>
      <c r="G8718" s="3">
        <v>0.45910000000000001</v>
      </c>
      <c r="H8718" s="3">
        <v>0.57320000000000004</v>
      </c>
      <c r="I8718" s="3">
        <v>0.37630000000000002</v>
      </c>
      <c r="J8718">
        <v>79</v>
      </c>
      <c r="K8718">
        <v>75</v>
      </c>
      <c r="L8718">
        <v>171</v>
      </c>
    </row>
    <row r="8719" spans="1:12">
      <c r="A8719" t="s">
        <v>194</v>
      </c>
      <c r="B8719" t="s">
        <v>195</v>
      </c>
      <c r="C8719" t="s">
        <v>212</v>
      </c>
      <c r="D8719" t="s">
        <v>1706</v>
      </c>
      <c r="E8719" s="3">
        <v>0.52810000000000001</v>
      </c>
      <c r="F8719" s="3">
        <v>0.76200000000000001</v>
      </c>
      <c r="G8719" s="3">
        <v>0.52800000000000002</v>
      </c>
      <c r="H8719" s="3">
        <v>0.10440000000000001</v>
      </c>
      <c r="I8719" s="3">
        <v>0.59179999999999999</v>
      </c>
      <c r="J8719">
        <v>79</v>
      </c>
      <c r="K8719">
        <v>75</v>
      </c>
      <c r="L8719">
        <v>171</v>
      </c>
    </row>
    <row r="8720" spans="1:12">
      <c r="A8720" t="s">
        <v>194</v>
      </c>
      <c r="B8720" t="s">
        <v>195</v>
      </c>
      <c r="C8720" t="s">
        <v>212</v>
      </c>
      <c r="D8720" t="s">
        <v>1707</v>
      </c>
      <c r="E8720" s="3">
        <v>3.0800000000000001E-2</v>
      </c>
      <c r="G8720" s="3">
        <v>1.29E-2</v>
      </c>
      <c r="H8720" s="3">
        <v>0.32079999999999997</v>
      </c>
      <c r="I8720" s="3">
        <v>3.3999999999999998E-3</v>
      </c>
      <c r="J8720">
        <v>79</v>
      </c>
      <c r="K8720">
        <v>75</v>
      </c>
      <c r="L8720">
        <v>171</v>
      </c>
    </row>
    <row r="8721" spans="1:12" s="25" customFormat="1">
      <c r="A8721" s="25" t="s">
        <v>194</v>
      </c>
      <c r="B8721" s="25" t="s">
        <v>195</v>
      </c>
      <c r="C8721" s="25" t="s">
        <v>214</v>
      </c>
      <c r="D8721" s="25" t="s">
        <v>1705</v>
      </c>
      <c r="E8721" s="26">
        <v>0.52859999999999996</v>
      </c>
      <c r="F8721" s="26">
        <v>0.32100000000000001</v>
      </c>
      <c r="G8721" s="26">
        <v>0.57830000000000004</v>
      </c>
      <c r="I8721" s="26">
        <v>0.55889999999999995</v>
      </c>
      <c r="J8721" s="25">
        <v>4</v>
      </c>
      <c r="K8721" s="25">
        <v>9</v>
      </c>
      <c r="L8721" s="25">
        <v>171</v>
      </c>
    </row>
    <row r="8722" spans="1:12" s="25" customFormat="1">
      <c r="A8722" s="25" t="s">
        <v>194</v>
      </c>
      <c r="B8722" s="25" t="s">
        <v>195</v>
      </c>
      <c r="C8722" s="25" t="s">
        <v>214</v>
      </c>
      <c r="D8722" s="25" t="s">
        <v>1706</v>
      </c>
      <c r="E8722" s="26">
        <v>0.3135</v>
      </c>
      <c r="F8722" s="26">
        <v>0.67900000000000005</v>
      </c>
      <c r="G8722" s="26">
        <v>0.42170000000000002</v>
      </c>
      <c r="I8722" s="26">
        <v>0.16830000000000001</v>
      </c>
      <c r="J8722" s="25">
        <v>4</v>
      </c>
      <c r="K8722" s="25">
        <v>9</v>
      </c>
      <c r="L8722" s="25">
        <v>171</v>
      </c>
    </row>
    <row r="8723" spans="1:12" s="25" customFormat="1">
      <c r="A8723" s="25" t="s">
        <v>194</v>
      </c>
      <c r="B8723" s="25" t="s">
        <v>195</v>
      </c>
      <c r="C8723" s="25" t="s">
        <v>214</v>
      </c>
      <c r="D8723" s="25" t="s">
        <v>1707</v>
      </c>
      <c r="E8723" s="26">
        <v>0.15790000000000001</v>
      </c>
      <c r="J8723" s="25">
        <v>4</v>
      </c>
      <c r="K8723" s="25">
        <v>9</v>
      </c>
      <c r="L8723" s="25">
        <v>171</v>
      </c>
    </row>
    <row r="8724" spans="1:12" s="25" customFormat="1">
      <c r="A8724" s="25" t="s">
        <v>194</v>
      </c>
      <c r="B8724" s="25" t="s">
        <v>195</v>
      </c>
      <c r="C8724" s="25" t="s">
        <v>215</v>
      </c>
      <c r="D8724" s="25" t="s">
        <v>257</v>
      </c>
      <c r="E8724" s="26">
        <v>6.9500000000000006E-2</v>
      </c>
      <c r="F8724" s="26">
        <v>4.1599999999999998E-2</v>
      </c>
      <c r="J8724" s="25">
        <v>8</v>
      </c>
      <c r="K8724" s="25">
        <v>14</v>
      </c>
      <c r="L8724" s="25">
        <v>171</v>
      </c>
    </row>
    <row r="8725" spans="1:12" s="25" customFormat="1">
      <c r="A8725" s="25" t="s">
        <v>194</v>
      </c>
      <c r="B8725" s="25" t="s">
        <v>195</v>
      </c>
      <c r="C8725" s="25" t="s">
        <v>215</v>
      </c>
      <c r="D8725" s="25" t="s">
        <v>1705</v>
      </c>
      <c r="E8725" s="26">
        <v>0.3679</v>
      </c>
      <c r="F8725" s="26">
        <v>0.63690000000000002</v>
      </c>
      <c r="G8725" s="26">
        <v>0.38379999999999997</v>
      </c>
      <c r="H8725" s="26">
        <v>0.6714</v>
      </c>
      <c r="I8725" s="26">
        <v>0.50380000000000003</v>
      </c>
      <c r="J8725" s="25">
        <v>8</v>
      </c>
      <c r="K8725" s="25">
        <v>14</v>
      </c>
      <c r="L8725" s="25">
        <v>171</v>
      </c>
    </row>
    <row r="8726" spans="1:12" s="25" customFormat="1">
      <c r="A8726" s="25" t="s">
        <v>194</v>
      </c>
      <c r="B8726" s="25" t="s">
        <v>195</v>
      </c>
      <c r="C8726" s="25" t="s">
        <v>215</v>
      </c>
      <c r="D8726" s="25" t="s">
        <v>1706</v>
      </c>
      <c r="E8726" s="26">
        <v>0.56259999999999999</v>
      </c>
      <c r="F8726" s="26">
        <v>0.32150000000000001</v>
      </c>
      <c r="G8726" s="26">
        <v>0.61619999999999997</v>
      </c>
      <c r="H8726" s="26">
        <v>0.3286</v>
      </c>
      <c r="I8726" s="26">
        <v>0.49619999999999997</v>
      </c>
      <c r="J8726" s="25">
        <v>8</v>
      </c>
      <c r="K8726" s="25">
        <v>14</v>
      </c>
      <c r="L8726" s="25">
        <v>171</v>
      </c>
    </row>
    <row r="8727" spans="1:12">
      <c r="A8727" t="s">
        <v>194</v>
      </c>
      <c r="B8727" t="s">
        <v>199</v>
      </c>
      <c r="C8727" t="s">
        <v>212</v>
      </c>
      <c r="D8727" t="s">
        <v>1705</v>
      </c>
      <c r="E8727" s="3">
        <v>0.37780000000000002</v>
      </c>
      <c r="F8727" s="3">
        <v>0.19389999999999999</v>
      </c>
      <c r="G8727" s="3">
        <v>0.34279999999999999</v>
      </c>
      <c r="H8727" s="3">
        <v>9.4700000000000006E-2</v>
      </c>
      <c r="I8727" s="3">
        <v>0.13400000000000001</v>
      </c>
      <c r="J8727">
        <v>27</v>
      </c>
      <c r="K8727">
        <v>55</v>
      </c>
      <c r="L8727">
        <v>171</v>
      </c>
    </row>
    <row r="8728" spans="1:12">
      <c r="A8728" t="s">
        <v>194</v>
      </c>
      <c r="B8728" t="s">
        <v>199</v>
      </c>
      <c r="C8728" t="s">
        <v>212</v>
      </c>
      <c r="D8728" t="s">
        <v>1706</v>
      </c>
      <c r="E8728" s="3">
        <v>0.62219999999999998</v>
      </c>
      <c r="F8728" s="3">
        <v>0.75139999999999996</v>
      </c>
      <c r="G8728" s="3">
        <v>0.64780000000000004</v>
      </c>
      <c r="H8728" s="3">
        <v>3.4700000000000002E-2</v>
      </c>
      <c r="I8728" s="3">
        <v>0.85189999999999999</v>
      </c>
      <c r="J8728">
        <v>27</v>
      </c>
      <c r="K8728">
        <v>55</v>
      </c>
      <c r="L8728">
        <v>171</v>
      </c>
    </row>
    <row r="8729" spans="1:12" s="25" customFormat="1">
      <c r="A8729" s="25" t="s">
        <v>194</v>
      </c>
      <c r="B8729" s="25" t="s">
        <v>199</v>
      </c>
      <c r="C8729" s="25" t="s">
        <v>214</v>
      </c>
      <c r="D8729" s="25" t="s">
        <v>1705</v>
      </c>
      <c r="E8729" s="26">
        <v>0.28010000000000002</v>
      </c>
      <c r="F8729" s="26">
        <v>0.26629999999999998</v>
      </c>
      <c r="G8729" s="26">
        <v>0.31859999999999999</v>
      </c>
      <c r="I8729" s="26">
        <v>0.28839999999999999</v>
      </c>
      <c r="J8729" s="25">
        <v>2</v>
      </c>
      <c r="K8729" s="25">
        <v>4</v>
      </c>
      <c r="L8729" s="25">
        <v>171</v>
      </c>
    </row>
    <row r="8730" spans="1:12" s="25" customFormat="1">
      <c r="A8730" s="25" t="s">
        <v>194</v>
      </c>
      <c r="B8730" s="25" t="s">
        <v>199</v>
      </c>
      <c r="C8730" s="25" t="s">
        <v>214</v>
      </c>
      <c r="D8730" s="25" t="s">
        <v>1706</v>
      </c>
      <c r="E8730" s="26">
        <v>0.71989999999999998</v>
      </c>
      <c r="F8730" s="26">
        <v>0.72909999999999997</v>
      </c>
      <c r="G8730" s="26">
        <v>0.68140000000000001</v>
      </c>
      <c r="I8730" s="26">
        <v>0.71160000000000001</v>
      </c>
      <c r="J8730" s="25">
        <v>2</v>
      </c>
      <c r="K8730" s="25">
        <v>4</v>
      </c>
      <c r="L8730" s="25">
        <v>171</v>
      </c>
    </row>
    <row r="8731" spans="1:12" s="25" customFormat="1">
      <c r="A8731" s="25" t="s">
        <v>194</v>
      </c>
      <c r="B8731" s="25" t="s">
        <v>199</v>
      </c>
      <c r="C8731" s="25" t="s">
        <v>215</v>
      </c>
      <c r="D8731" s="25" t="s">
        <v>1705</v>
      </c>
      <c r="E8731" s="26">
        <v>0.27810000000000001</v>
      </c>
      <c r="F8731" s="26">
        <v>0.33160000000000001</v>
      </c>
      <c r="G8731" s="26">
        <v>0.26200000000000001</v>
      </c>
      <c r="H8731" s="26">
        <v>0.2109</v>
      </c>
      <c r="I8731" s="26">
        <v>0.33119999999999999</v>
      </c>
      <c r="J8731" s="25">
        <v>8</v>
      </c>
      <c r="K8731" s="25">
        <v>14</v>
      </c>
      <c r="L8731" s="25">
        <v>171</v>
      </c>
    </row>
    <row r="8732" spans="1:12" s="25" customFormat="1">
      <c r="A8732" s="25" t="s">
        <v>194</v>
      </c>
      <c r="B8732" s="25" t="s">
        <v>199</v>
      </c>
      <c r="C8732" s="25" t="s">
        <v>215</v>
      </c>
      <c r="D8732" s="25" t="s">
        <v>1706</v>
      </c>
      <c r="E8732" s="26">
        <v>0.72189999999999999</v>
      </c>
      <c r="F8732" s="26">
        <v>0.66839999999999999</v>
      </c>
      <c r="G8732" s="26">
        <v>0.73799999999999999</v>
      </c>
      <c r="H8732" s="26">
        <v>0.15490000000000001</v>
      </c>
      <c r="I8732" s="26">
        <v>0.66879999999999995</v>
      </c>
      <c r="J8732" s="25">
        <v>8</v>
      </c>
      <c r="K8732" s="25">
        <v>14</v>
      </c>
      <c r="L8732" s="25">
        <v>171</v>
      </c>
    </row>
    <row r="8733" spans="1:12">
      <c r="A8733" t="s">
        <v>200</v>
      </c>
      <c r="B8733" t="s">
        <v>200</v>
      </c>
      <c r="C8733" t="s">
        <v>200</v>
      </c>
      <c r="D8733" t="s">
        <v>257</v>
      </c>
      <c r="E8733" s="3">
        <v>1.43E-2</v>
      </c>
      <c r="F8733" s="3">
        <v>1.78E-2</v>
      </c>
      <c r="G8733" s="3">
        <v>8.9999999999999998E-4</v>
      </c>
      <c r="H8733" s="3">
        <v>4.4000000000000003E-3</v>
      </c>
      <c r="I8733" s="3">
        <v>2.9100000000000001E-2</v>
      </c>
      <c r="J8733">
        <v>171</v>
      </c>
      <c r="K8733">
        <v>171</v>
      </c>
      <c r="L8733">
        <v>171</v>
      </c>
    </row>
    <row r="8734" spans="1:12">
      <c r="A8734" t="s">
        <v>200</v>
      </c>
      <c r="B8734" t="s">
        <v>200</v>
      </c>
      <c r="C8734" t="s">
        <v>200</v>
      </c>
      <c r="D8734" t="s">
        <v>247</v>
      </c>
      <c r="E8734" s="3">
        <v>5.9999999999999995E-4</v>
      </c>
      <c r="J8734">
        <v>171</v>
      </c>
      <c r="K8734">
        <v>171</v>
      </c>
      <c r="L8734">
        <v>171</v>
      </c>
    </row>
    <row r="8735" spans="1:12">
      <c r="A8735" t="s">
        <v>200</v>
      </c>
      <c r="B8735" t="s">
        <v>200</v>
      </c>
      <c r="C8735" t="s">
        <v>200</v>
      </c>
      <c r="D8735" t="s">
        <v>1705</v>
      </c>
      <c r="E8735" s="3">
        <v>0.40229999999999999</v>
      </c>
      <c r="F8735" s="3">
        <v>0.25219999999999998</v>
      </c>
      <c r="G8735" s="3">
        <v>0.43769999999999998</v>
      </c>
      <c r="H8735" s="3">
        <v>0.36480000000000001</v>
      </c>
      <c r="I8735" s="3">
        <v>0.3271</v>
      </c>
      <c r="J8735">
        <v>171</v>
      </c>
      <c r="K8735">
        <v>171</v>
      </c>
      <c r="L8735">
        <v>171</v>
      </c>
    </row>
    <row r="8736" spans="1:12">
      <c r="A8736" t="s">
        <v>200</v>
      </c>
      <c r="B8736" t="s">
        <v>200</v>
      </c>
      <c r="C8736" t="s">
        <v>200</v>
      </c>
      <c r="D8736" t="s">
        <v>1706</v>
      </c>
      <c r="E8736" s="3">
        <v>0.55869999999999997</v>
      </c>
      <c r="F8736" s="3">
        <v>0.73009999999999997</v>
      </c>
      <c r="G8736" s="3">
        <v>0.55289999999999995</v>
      </c>
      <c r="H8736" s="3">
        <v>0.10199999999999999</v>
      </c>
      <c r="I8736" s="3">
        <v>0.63870000000000005</v>
      </c>
      <c r="J8736">
        <v>171</v>
      </c>
      <c r="K8736">
        <v>171</v>
      </c>
      <c r="L8736">
        <v>171</v>
      </c>
    </row>
    <row r="8737" spans="1:13">
      <c r="A8737" t="s">
        <v>200</v>
      </c>
      <c r="B8737" t="s">
        <v>200</v>
      </c>
      <c r="C8737" t="s">
        <v>200</v>
      </c>
      <c r="D8737" t="s">
        <v>1707</v>
      </c>
      <c r="E8737" s="3">
        <v>2.4E-2</v>
      </c>
      <c r="G8737" s="3">
        <v>8.5000000000000006E-3</v>
      </c>
      <c r="H8737" s="3">
        <v>0.52880000000000005</v>
      </c>
      <c r="I8737" s="3">
        <v>5.1000000000000004E-3</v>
      </c>
      <c r="J8737">
        <v>171</v>
      </c>
      <c r="K8737">
        <v>171</v>
      </c>
      <c r="L8737">
        <v>171</v>
      </c>
    </row>
    <row r="8739" spans="1:13" ht="45">
      <c r="A8739" s="22" t="s">
        <v>1726</v>
      </c>
    </row>
    <row r="8740" spans="1:13">
      <c r="A8740" t="s">
        <v>185</v>
      </c>
      <c r="B8740" t="s">
        <v>186</v>
      </c>
      <c r="C8740" t="s">
        <v>192</v>
      </c>
      <c r="D8740" t="s">
        <v>184</v>
      </c>
      <c r="E8740" t="s">
        <v>193</v>
      </c>
      <c r="F8740" t="s">
        <v>1709</v>
      </c>
      <c r="G8740" t="s">
        <v>1710</v>
      </c>
      <c r="H8740" t="s">
        <v>1711</v>
      </c>
      <c r="I8740" t="s">
        <v>257</v>
      </c>
      <c r="J8740" t="s">
        <v>1712</v>
      </c>
      <c r="K8740" t="s">
        <v>1713</v>
      </c>
      <c r="L8740" t="s">
        <v>1714</v>
      </c>
      <c r="M8740" t="s">
        <v>247</v>
      </c>
    </row>
    <row r="8741" spans="1:13">
      <c r="A8741" t="s">
        <v>195</v>
      </c>
      <c r="B8741" t="s">
        <v>212</v>
      </c>
      <c r="C8741">
        <v>872</v>
      </c>
      <c r="D8741" t="s">
        <v>194</v>
      </c>
      <c r="E8741">
        <v>2676</v>
      </c>
      <c r="F8741" s="3">
        <v>0.19839999999999999</v>
      </c>
      <c r="G8741" s="3">
        <v>0.18010000000000001</v>
      </c>
      <c r="H8741" s="3">
        <v>0.1074</v>
      </c>
      <c r="I8741" s="3">
        <v>1.0999999999999999E-2</v>
      </c>
      <c r="J8741" s="3">
        <v>0.20899999999999999</v>
      </c>
      <c r="K8741" s="3">
        <v>0.23019999999999999</v>
      </c>
      <c r="L8741" s="3">
        <v>6.1100000000000002E-2</v>
      </c>
      <c r="M8741" s="3">
        <v>2.5999999999999999E-3</v>
      </c>
    </row>
    <row r="8742" spans="1:13">
      <c r="A8742" t="s">
        <v>195</v>
      </c>
      <c r="B8742" t="s">
        <v>214</v>
      </c>
      <c r="C8742">
        <v>181</v>
      </c>
      <c r="D8742" t="s">
        <v>194</v>
      </c>
      <c r="E8742">
        <v>2676</v>
      </c>
      <c r="F8742" s="3">
        <v>0.17319999999999999</v>
      </c>
      <c r="G8742" s="3">
        <v>0.16520000000000001</v>
      </c>
      <c r="H8742" s="3">
        <v>0.1384</v>
      </c>
      <c r="I8742" s="3">
        <v>2.0000000000000001E-4</v>
      </c>
      <c r="J8742" s="3">
        <v>0.1573</v>
      </c>
      <c r="K8742" s="3">
        <v>0.18590000000000001</v>
      </c>
      <c r="L8742" s="3">
        <v>0.17979999999999999</v>
      </c>
    </row>
    <row r="8743" spans="1:13">
      <c r="A8743" t="s">
        <v>195</v>
      </c>
      <c r="B8743" t="s">
        <v>215</v>
      </c>
      <c r="C8743">
        <v>135</v>
      </c>
      <c r="D8743" t="s">
        <v>194</v>
      </c>
      <c r="E8743">
        <v>2676</v>
      </c>
      <c r="F8743" s="3">
        <v>0.30099999999999999</v>
      </c>
      <c r="G8743" s="3">
        <v>0.1923</v>
      </c>
      <c r="H8743" s="3">
        <v>0.1618</v>
      </c>
      <c r="J8743" s="3">
        <v>0.1988</v>
      </c>
      <c r="K8743" s="3">
        <v>0.14369999999999999</v>
      </c>
      <c r="L8743" s="3">
        <v>2.3999999999999998E-3</v>
      </c>
    </row>
    <row r="8744" spans="1:13">
      <c r="A8744" t="s">
        <v>199</v>
      </c>
      <c r="B8744" t="s">
        <v>212</v>
      </c>
      <c r="C8744">
        <v>1118</v>
      </c>
      <c r="D8744" t="s">
        <v>194</v>
      </c>
      <c r="E8744">
        <v>2676</v>
      </c>
      <c r="F8744" s="3">
        <v>5.5500000000000001E-2</v>
      </c>
      <c r="G8744" s="3">
        <v>3.9E-2</v>
      </c>
      <c r="H8744" s="3">
        <v>3.5400000000000001E-2</v>
      </c>
      <c r="I8744" s="3">
        <v>3.3E-3</v>
      </c>
      <c r="J8744" s="3">
        <v>3.15E-2</v>
      </c>
      <c r="K8744" s="3">
        <v>0.30499999999999999</v>
      </c>
      <c r="L8744" s="3">
        <v>0.52939999999999998</v>
      </c>
      <c r="M8744" s="3">
        <v>8.9999999999999998E-4</v>
      </c>
    </row>
    <row r="8745" spans="1:13">
      <c r="A8745" t="s">
        <v>199</v>
      </c>
      <c r="B8745" t="s">
        <v>214</v>
      </c>
      <c r="C8745">
        <v>197</v>
      </c>
      <c r="D8745" t="s">
        <v>194</v>
      </c>
      <c r="E8745">
        <v>2676</v>
      </c>
      <c r="F8745" s="3">
        <v>2.1600000000000001E-2</v>
      </c>
      <c r="G8745" s="3">
        <v>7.22E-2</v>
      </c>
      <c r="H8745" s="3">
        <v>3.09E-2</v>
      </c>
      <c r="J8745" s="3">
        <v>3.9600000000000003E-2</v>
      </c>
      <c r="K8745" s="3">
        <v>0.3075</v>
      </c>
      <c r="L8745" s="3">
        <v>0.52380000000000004</v>
      </c>
      <c r="M8745" s="3">
        <v>4.3E-3</v>
      </c>
    </row>
    <row r="8746" spans="1:13">
      <c r="A8746" t="s">
        <v>199</v>
      </c>
      <c r="B8746" t="s">
        <v>215</v>
      </c>
      <c r="C8746">
        <v>173</v>
      </c>
      <c r="D8746" t="s">
        <v>194</v>
      </c>
      <c r="E8746">
        <v>2676</v>
      </c>
      <c r="F8746" s="3">
        <v>7.0199999999999999E-2</v>
      </c>
      <c r="G8746" s="3">
        <v>5.7299999999999997E-2</v>
      </c>
      <c r="H8746" s="3">
        <v>5.2499999999999998E-2</v>
      </c>
      <c r="J8746" s="3">
        <v>6.2399999999999997E-2</v>
      </c>
      <c r="K8746" s="3">
        <v>0.46310000000000001</v>
      </c>
      <c r="L8746" s="3">
        <v>0.29459999999999997</v>
      </c>
    </row>
    <row r="8747" spans="1:13">
      <c r="A8747" t="s">
        <v>200</v>
      </c>
      <c r="B8747" t="s">
        <v>200</v>
      </c>
      <c r="C8747">
        <v>2676</v>
      </c>
      <c r="D8747" t="s">
        <v>200</v>
      </c>
      <c r="E8747">
        <v>2676</v>
      </c>
      <c r="F8747" s="3">
        <v>0.1188</v>
      </c>
      <c r="G8747" s="3">
        <v>0.1047</v>
      </c>
      <c r="H8747" s="3">
        <v>7.2099999999999997E-2</v>
      </c>
      <c r="I8747" s="3">
        <v>5.1000000000000004E-3</v>
      </c>
      <c r="J8747" s="3">
        <v>0.10829999999999999</v>
      </c>
      <c r="K8747" s="3">
        <v>0.27289999999999998</v>
      </c>
      <c r="L8747" s="3">
        <v>0.3165</v>
      </c>
      <c r="M8747" s="3">
        <v>1.6000000000000001E-3</v>
      </c>
    </row>
    <row r="8749" spans="1:13" ht="30">
      <c r="A8749" s="22" t="s">
        <v>1727</v>
      </c>
    </row>
    <row r="8750" spans="1:13">
      <c r="A8750" t="s">
        <v>184</v>
      </c>
      <c r="B8750" t="s">
        <v>185</v>
      </c>
      <c r="C8750" t="s">
        <v>186</v>
      </c>
      <c r="D8750" t="s">
        <v>1007</v>
      </c>
      <c r="E8750" t="s">
        <v>1700</v>
      </c>
      <c r="F8750" t="s">
        <v>1701</v>
      </c>
      <c r="G8750" t="s">
        <v>1702</v>
      </c>
      <c r="H8750" t="s">
        <v>1703</v>
      </c>
      <c r="I8750" t="s">
        <v>1704</v>
      </c>
      <c r="J8750" t="s">
        <v>1018</v>
      </c>
      <c r="K8750" t="s">
        <v>192</v>
      </c>
      <c r="L8750" t="s">
        <v>193</v>
      </c>
    </row>
    <row r="8751" spans="1:13">
      <c r="A8751" t="s">
        <v>194</v>
      </c>
      <c r="B8751" t="s">
        <v>195</v>
      </c>
      <c r="C8751" t="s">
        <v>217</v>
      </c>
      <c r="D8751" t="s">
        <v>257</v>
      </c>
      <c r="E8751" s="3">
        <v>1.6E-2</v>
      </c>
      <c r="H8751" s="3">
        <v>2.5999999999999999E-3</v>
      </c>
      <c r="J8751">
        <v>35</v>
      </c>
      <c r="K8751">
        <v>37</v>
      </c>
      <c r="L8751">
        <v>171</v>
      </c>
    </row>
    <row r="8752" spans="1:13">
      <c r="A8752" t="s">
        <v>194</v>
      </c>
      <c r="B8752" t="s">
        <v>195</v>
      </c>
      <c r="C8752" t="s">
        <v>217</v>
      </c>
      <c r="D8752" t="s">
        <v>1705</v>
      </c>
      <c r="E8752" s="3">
        <v>0.40770000000000001</v>
      </c>
      <c r="F8752" s="3">
        <v>0.19789999999999999</v>
      </c>
      <c r="G8752" s="3">
        <v>0.43519999999999998</v>
      </c>
      <c r="H8752" s="3">
        <v>0.74539999999999995</v>
      </c>
      <c r="I8752" s="3">
        <v>0.37880000000000003</v>
      </c>
      <c r="J8752">
        <v>35</v>
      </c>
      <c r="K8752">
        <v>37</v>
      </c>
      <c r="L8752">
        <v>171</v>
      </c>
    </row>
    <row r="8753" spans="1:12">
      <c r="A8753" t="s">
        <v>194</v>
      </c>
      <c r="B8753" t="s">
        <v>195</v>
      </c>
      <c r="C8753" t="s">
        <v>217</v>
      </c>
      <c r="D8753" t="s">
        <v>1706</v>
      </c>
      <c r="E8753" s="3">
        <v>0.57630000000000003</v>
      </c>
      <c r="F8753" s="3">
        <v>0.80210000000000004</v>
      </c>
      <c r="G8753" s="3">
        <v>0.56479999999999997</v>
      </c>
      <c r="H8753" s="3">
        <v>0.1409</v>
      </c>
      <c r="I8753" s="3">
        <v>0.61570000000000003</v>
      </c>
      <c r="J8753">
        <v>35</v>
      </c>
      <c r="K8753">
        <v>37</v>
      </c>
      <c r="L8753">
        <v>171</v>
      </c>
    </row>
    <row r="8754" spans="1:12">
      <c r="A8754" t="s">
        <v>194</v>
      </c>
      <c r="B8754" t="s">
        <v>195</v>
      </c>
      <c r="C8754" t="s">
        <v>219</v>
      </c>
      <c r="D8754" t="s">
        <v>257</v>
      </c>
      <c r="E8754" s="3">
        <v>3.2000000000000001E-2</v>
      </c>
      <c r="F8754" s="3">
        <v>1.7899999999999999E-2</v>
      </c>
      <c r="I8754" s="3">
        <v>6.1499999999999999E-2</v>
      </c>
      <c r="J8754">
        <v>40</v>
      </c>
      <c r="K8754">
        <v>53</v>
      </c>
      <c r="L8754">
        <v>171</v>
      </c>
    </row>
    <row r="8755" spans="1:12">
      <c r="A8755" t="s">
        <v>194</v>
      </c>
      <c r="B8755" t="s">
        <v>195</v>
      </c>
      <c r="C8755" t="s">
        <v>219</v>
      </c>
      <c r="D8755" t="s">
        <v>247</v>
      </c>
      <c r="E8755" s="3">
        <v>2E-3</v>
      </c>
      <c r="J8755">
        <v>40</v>
      </c>
      <c r="K8755">
        <v>53</v>
      </c>
      <c r="L8755">
        <v>171</v>
      </c>
    </row>
    <row r="8756" spans="1:12">
      <c r="A8756" t="s">
        <v>194</v>
      </c>
      <c r="B8756" t="s">
        <v>195</v>
      </c>
      <c r="C8756" t="s">
        <v>219</v>
      </c>
      <c r="D8756" t="s">
        <v>1705</v>
      </c>
      <c r="E8756" s="3">
        <v>0.4158</v>
      </c>
      <c r="F8756" s="3">
        <v>0.3453</v>
      </c>
      <c r="G8756" s="3">
        <v>0.52090000000000003</v>
      </c>
      <c r="H8756" s="3">
        <v>0.42359999999999998</v>
      </c>
      <c r="I8756" s="3">
        <v>0.50470000000000004</v>
      </c>
      <c r="J8756">
        <v>40</v>
      </c>
      <c r="K8756">
        <v>53</v>
      </c>
      <c r="L8756">
        <v>171</v>
      </c>
    </row>
    <row r="8757" spans="1:12">
      <c r="A8757" t="s">
        <v>194</v>
      </c>
      <c r="B8757" t="s">
        <v>195</v>
      </c>
      <c r="C8757" t="s">
        <v>219</v>
      </c>
      <c r="D8757" t="s">
        <v>1706</v>
      </c>
      <c r="E8757" s="3">
        <v>0.4723</v>
      </c>
      <c r="F8757" s="3">
        <v>0.63670000000000004</v>
      </c>
      <c r="G8757" s="3">
        <v>0.45710000000000001</v>
      </c>
      <c r="H8757" s="3">
        <v>6.4600000000000005E-2</v>
      </c>
      <c r="I8757" s="3">
        <v>0.43380000000000002</v>
      </c>
      <c r="J8757">
        <v>40</v>
      </c>
      <c r="K8757">
        <v>53</v>
      </c>
      <c r="L8757">
        <v>171</v>
      </c>
    </row>
    <row r="8758" spans="1:12">
      <c r="A8758" t="s">
        <v>194</v>
      </c>
      <c r="B8758" t="s">
        <v>195</v>
      </c>
      <c r="C8758" t="s">
        <v>219</v>
      </c>
      <c r="D8758" t="s">
        <v>1707</v>
      </c>
      <c r="E8758" s="3">
        <v>7.7799999999999994E-2</v>
      </c>
      <c r="G8758" s="3">
        <v>2.1999999999999999E-2</v>
      </c>
      <c r="H8758" s="3">
        <v>0.51180000000000003</v>
      </c>
      <c r="J8758">
        <v>40</v>
      </c>
      <c r="K8758">
        <v>53</v>
      </c>
      <c r="L8758">
        <v>171</v>
      </c>
    </row>
    <row r="8759" spans="1:12" s="25" customFormat="1">
      <c r="A8759" s="25" t="s">
        <v>194</v>
      </c>
      <c r="B8759" s="25" t="s">
        <v>195</v>
      </c>
      <c r="C8759" s="25" t="s">
        <v>220</v>
      </c>
      <c r="D8759" s="25" t="s">
        <v>1705</v>
      </c>
      <c r="E8759" s="26">
        <v>0.47720000000000001</v>
      </c>
      <c r="F8759" s="26">
        <v>0.1411</v>
      </c>
      <c r="G8759" s="26">
        <v>0.38850000000000001</v>
      </c>
      <c r="H8759" s="26">
        <v>2.2200000000000001E-2</v>
      </c>
      <c r="I8759" s="26">
        <v>0.2039</v>
      </c>
      <c r="J8759" s="25">
        <v>16</v>
      </c>
      <c r="K8759" s="25">
        <v>8</v>
      </c>
      <c r="L8759" s="25">
        <v>171</v>
      </c>
    </row>
    <row r="8760" spans="1:12" s="25" customFormat="1">
      <c r="A8760" s="25" t="s">
        <v>194</v>
      </c>
      <c r="B8760" s="25" t="s">
        <v>195</v>
      </c>
      <c r="C8760" s="25" t="s">
        <v>220</v>
      </c>
      <c r="D8760" s="25" t="s">
        <v>1706</v>
      </c>
      <c r="E8760" s="26">
        <v>0.52280000000000004</v>
      </c>
      <c r="F8760" s="26">
        <v>0.8589</v>
      </c>
      <c r="G8760" s="26">
        <v>0.61150000000000004</v>
      </c>
      <c r="H8760" s="26">
        <v>0.21809999999999999</v>
      </c>
      <c r="I8760" s="26">
        <v>0.60670000000000002</v>
      </c>
      <c r="J8760" s="25">
        <v>16</v>
      </c>
      <c r="K8760" s="25">
        <v>8</v>
      </c>
      <c r="L8760" s="25">
        <v>171</v>
      </c>
    </row>
    <row r="8761" spans="1:12">
      <c r="A8761" t="s">
        <v>194</v>
      </c>
      <c r="B8761" t="s">
        <v>199</v>
      </c>
      <c r="C8761" t="s">
        <v>217</v>
      </c>
      <c r="D8761" t="s">
        <v>1705</v>
      </c>
      <c r="E8761" s="3">
        <v>0.49149999999999999</v>
      </c>
      <c r="F8761" s="3">
        <v>0.18990000000000001</v>
      </c>
      <c r="G8761" s="3">
        <v>0.37730000000000002</v>
      </c>
      <c r="H8761" s="3">
        <v>0.13930000000000001</v>
      </c>
      <c r="I8761" s="3">
        <v>0.10539999999999999</v>
      </c>
      <c r="J8761">
        <v>20</v>
      </c>
      <c r="K8761">
        <v>39</v>
      </c>
      <c r="L8761">
        <v>171</v>
      </c>
    </row>
    <row r="8762" spans="1:12">
      <c r="A8762" t="s">
        <v>194</v>
      </c>
      <c r="B8762" t="s">
        <v>199</v>
      </c>
      <c r="C8762" t="s">
        <v>217</v>
      </c>
      <c r="D8762" t="s">
        <v>1706</v>
      </c>
      <c r="E8762" s="3">
        <v>0.50849999999999995</v>
      </c>
      <c r="F8762" s="3">
        <v>0.80549999999999999</v>
      </c>
      <c r="G8762" s="3">
        <v>0.61460000000000004</v>
      </c>
      <c r="H8762" s="3">
        <v>9.0499999999999997E-2</v>
      </c>
      <c r="I8762" s="3">
        <v>0.87839999999999996</v>
      </c>
      <c r="J8762">
        <v>20</v>
      </c>
      <c r="K8762">
        <v>39</v>
      </c>
      <c r="L8762">
        <v>171</v>
      </c>
    </row>
    <row r="8763" spans="1:12" s="25" customFormat="1">
      <c r="A8763" s="25" t="s">
        <v>194</v>
      </c>
      <c r="B8763" s="25" t="s">
        <v>199</v>
      </c>
      <c r="C8763" s="25" t="s">
        <v>219</v>
      </c>
      <c r="D8763" s="25" t="s">
        <v>1705</v>
      </c>
      <c r="E8763" s="26">
        <v>0.1187</v>
      </c>
      <c r="F8763" s="26">
        <v>0.1694</v>
      </c>
      <c r="G8763" s="26">
        <v>0.31380000000000002</v>
      </c>
      <c r="H8763" s="26">
        <v>0.15870000000000001</v>
      </c>
      <c r="I8763" s="26">
        <v>0.1714</v>
      </c>
      <c r="J8763" s="25">
        <v>15</v>
      </c>
      <c r="K8763" s="25">
        <v>28</v>
      </c>
      <c r="L8763" s="25">
        <v>171</v>
      </c>
    </row>
    <row r="8764" spans="1:12" s="25" customFormat="1">
      <c r="A8764" s="25" t="s">
        <v>194</v>
      </c>
      <c r="B8764" s="25" t="s">
        <v>199</v>
      </c>
      <c r="C8764" s="25" t="s">
        <v>219</v>
      </c>
      <c r="D8764" s="25" t="s">
        <v>1706</v>
      </c>
      <c r="E8764" s="26">
        <v>0.88129999999999997</v>
      </c>
      <c r="F8764" s="26">
        <v>0.7429</v>
      </c>
      <c r="G8764" s="26">
        <v>0.68220000000000003</v>
      </c>
      <c r="H8764" s="26">
        <v>5.4600000000000003E-2</v>
      </c>
      <c r="I8764" s="26">
        <v>0.82579999999999998</v>
      </c>
      <c r="J8764" s="25">
        <v>15</v>
      </c>
      <c r="K8764" s="25">
        <v>28</v>
      </c>
      <c r="L8764" s="25">
        <v>171</v>
      </c>
    </row>
    <row r="8765" spans="1:12" s="25" customFormat="1">
      <c r="A8765" s="25" t="s">
        <v>194</v>
      </c>
      <c r="B8765" s="25" t="s">
        <v>199</v>
      </c>
      <c r="C8765" s="25" t="s">
        <v>220</v>
      </c>
      <c r="D8765" s="25" t="s">
        <v>1705</v>
      </c>
      <c r="E8765" s="26">
        <v>0.61929999999999996</v>
      </c>
      <c r="F8765" s="26">
        <v>0.59870000000000001</v>
      </c>
      <c r="G8765" s="26">
        <v>9.2799999999999994E-2</v>
      </c>
      <c r="H8765" s="26">
        <v>1</v>
      </c>
      <c r="I8765" s="26">
        <v>0.57120000000000004</v>
      </c>
      <c r="J8765" s="25">
        <v>2</v>
      </c>
      <c r="K8765" s="25">
        <v>6</v>
      </c>
      <c r="L8765" s="25">
        <v>171</v>
      </c>
    </row>
    <row r="8766" spans="1:12" s="25" customFormat="1">
      <c r="A8766" s="25" t="s">
        <v>194</v>
      </c>
      <c r="B8766" s="25" t="s">
        <v>199</v>
      </c>
      <c r="C8766" s="25" t="s">
        <v>220</v>
      </c>
      <c r="D8766" s="25" t="s">
        <v>1706</v>
      </c>
      <c r="E8766" s="26">
        <v>0.38069999999999998</v>
      </c>
      <c r="F8766" s="26">
        <v>0.40129999999999999</v>
      </c>
      <c r="G8766" s="26">
        <v>0.90720000000000001</v>
      </c>
      <c r="I8766" s="26">
        <v>0.42880000000000001</v>
      </c>
      <c r="J8766" s="25">
        <v>2</v>
      </c>
      <c r="K8766" s="25">
        <v>6</v>
      </c>
      <c r="L8766" s="25">
        <v>171</v>
      </c>
    </row>
    <row r="8767" spans="1:12">
      <c r="A8767" t="s">
        <v>200</v>
      </c>
      <c r="B8767" t="s">
        <v>200</v>
      </c>
      <c r="C8767" t="s">
        <v>200</v>
      </c>
      <c r="D8767" t="s">
        <v>257</v>
      </c>
      <c r="E8767" s="3">
        <v>1.43E-2</v>
      </c>
      <c r="F8767" s="3">
        <v>1.78E-2</v>
      </c>
      <c r="G8767" s="3">
        <v>8.9999999999999998E-4</v>
      </c>
      <c r="H8767" s="3">
        <v>4.4000000000000003E-3</v>
      </c>
      <c r="I8767" s="3">
        <v>2.9100000000000001E-2</v>
      </c>
      <c r="J8767">
        <v>171</v>
      </c>
      <c r="K8767">
        <v>171</v>
      </c>
      <c r="L8767">
        <v>171</v>
      </c>
    </row>
    <row r="8768" spans="1:12">
      <c r="A8768" t="s">
        <v>200</v>
      </c>
      <c r="B8768" t="s">
        <v>200</v>
      </c>
      <c r="C8768" t="s">
        <v>200</v>
      </c>
      <c r="D8768" t="s">
        <v>247</v>
      </c>
      <c r="E8768" s="3">
        <v>5.9999999999999995E-4</v>
      </c>
      <c r="J8768">
        <v>171</v>
      </c>
      <c r="K8768">
        <v>171</v>
      </c>
      <c r="L8768">
        <v>171</v>
      </c>
    </row>
    <row r="8769" spans="1:24">
      <c r="A8769" t="s">
        <v>200</v>
      </c>
      <c r="B8769" t="s">
        <v>200</v>
      </c>
      <c r="C8769" t="s">
        <v>200</v>
      </c>
      <c r="D8769" t="s">
        <v>1705</v>
      </c>
      <c r="E8769" s="3">
        <v>0.40229999999999999</v>
      </c>
      <c r="F8769" s="3">
        <v>0.25219999999999998</v>
      </c>
      <c r="G8769" s="3">
        <v>0.43769999999999998</v>
      </c>
      <c r="H8769" s="3">
        <v>0.36480000000000001</v>
      </c>
      <c r="I8769" s="3">
        <v>0.3271</v>
      </c>
      <c r="J8769">
        <v>171</v>
      </c>
      <c r="K8769">
        <v>171</v>
      </c>
      <c r="L8769">
        <v>171</v>
      </c>
    </row>
    <row r="8770" spans="1:24">
      <c r="A8770" t="s">
        <v>200</v>
      </c>
      <c r="B8770" t="s">
        <v>200</v>
      </c>
      <c r="C8770" t="s">
        <v>200</v>
      </c>
      <c r="D8770" t="s">
        <v>1706</v>
      </c>
      <c r="E8770" s="3">
        <v>0.55869999999999997</v>
      </c>
      <c r="F8770" s="3">
        <v>0.73009999999999997</v>
      </c>
      <c r="G8770" s="3">
        <v>0.55289999999999995</v>
      </c>
      <c r="H8770" s="3">
        <v>0.10199999999999999</v>
      </c>
      <c r="I8770" s="3">
        <v>0.63870000000000005</v>
      </c>
      <c r="J8770">
        <v>171</v>
      </c>
      <c r="K8770">
        <v>171</v>
      </c>
      <c r="L8770">
        <v>171</v>
      </c>
    </row>
    <row r="8771" spans="1:24">
      <c r="A8771" t="s">
        <v>200</v>
      </c>
      <c r="B8771" t="s">
        <v>200</v>
      </c>
      <c r="C8771" t="s">
        <v>200</v>
      </c>
      <c r="D8771" t="s">
        <v>1707</v>
      </c>
      <c r="E8771" s="3">
        <v>2.4E-2</v>
      </c>
      <c r="G8771" s="3">
        <v>8.5000000000000006E-3</v>
      </c>
      <c r="H8771" s="3">
        <v>0.52880000000000005</v>
      </c>
      <c r="I8771" s="3">
        <v>5.1000000000000004E-3</v>
      </c>
      <c r="J8771">
        <v>171</v>
      </c>
      <c r="K8771">
        <v>171</v>
      </c>
      <c r="L8771">
        <v>171</v>
      </c>
    </row>
    <row r="8773" spans="1:24" ht="45">
      <c r="A8773" s="22" t="s">
        <v>1728</v>
      </c>
    </row>
    <row r="8774" spans="1:24">
      <c r="A8774" t="s">
        <v>185</v>
      </c>
      <c r="B8774" t="s">
        <v>186</v>
      </c>
      <c r="C8774" t="s">
        <v>192</v>
      </c>
      <c r="D8774" t="s">
        <v>184</v>
      </c>
      <c r="E8774" t="s">
        <v>193</v>
      </c>
      <c r="F8774" t="s">
        <v>1709</v>
      </c>
      <c r="G8774" t="s">
        <v>1710</v>
      </c>
      <c r="H8774" t="s">
        <v>1711</v>
      </c>
      <c r="I8774" t="s">
        <v>257</v>
      </c>
      <c r="J8774" t="s">
        <v>1712</v>
      </c>
      <c r="K8774" t="s">
        <v>1713</v>
      </c>
      <c r="L8774" t="s">
        <v>1714</v>
      </c>
      <c r="M8774" t="s">
        <v>247</v>
      </c>
    </row>
    <row r="8775" spans="1:24">
      <c r="A8775" t="s">
        <v>195</v>
      </c>
      <c r="B8775" t="s">
        <v>217</v>
      </c>
      <c r="C8775">
        <v>498</v>
      </c>
      <c r="D8775" t="s">
        <v>194</v>
      </c>
      <c r="E8775">
        <v>2676</v>
      </c>
      <c r="F8775" s="3">
        <v>0.24540000000000001</v>
      </c>
      <c r="G8775" s="3">
        <v>0.14380000000000001</v>
      </c>
      <c r="H8775" s="3">
        <v>0.1128</v>
      </c>
      <c r="I8775" s="3">
        <v>1.4E-2</v>
      </c>
      <c r="J8775" s="3">
        <v>0.2089</v>
      </c>
      <c r="K8775" s="3">
        <v>0.23269999999999999</v>
      </c>
      <c r="L8775" s="3">
        <v>4.24E-2</v>
      </c>
    </row>
    <row r="8776" spans="1:24">
      <c r="A8776" t="s">
        <v>195</v>
      </c>
      <c r="B8776" t="s">
        <v>219</v>
      </c>
      <c r="C8776">
        <v>507</v>
      </c>
      <c r="D8776" t="s">
        <v>194</v>
      </c>
      <c r="E8776">
        <v>2676</v>
      </c>
      <c r="F8776" s="3">
        <v>0.1991</v>
      </c>
      <c r="G8776" s="3">
        <v>0.2059</v>
      </c>
      <c r="H8776" s="3">
        <v>7.2499999999999995E-2</v>
      </c>
      <c r="I8776" s="3">
        <v>1.5E-3</v>
      </c>
      <c r="J8776" s="3">
        <v>0.21229999999999999</v>
      </c>
      <c r="K8776" s="3">
        <v>0.24030000000000001</v>
      </c>
      <c r="L8776" s="3">
        <v>6.3500000000000001E-2</v>
      </c>
      <c r="M8776" s="3">
        <v>5.0000000000000001E-3</v>
      </c>
    </row>
    <row r="8777" spans="1:24">
      <c r="A8777" t="s">
        <v>195</v>
      </c>
      <c r="B8777" t="s">
        <v>220</v>
      </c>
      <c r="C8777">
        <v>182</v>
      </c>
      <c r="D8777" t="s">
        <v>194</v>
      </c>
      <c r="E8777">
        <v>2676</v>
      </c>
      <c r="F8777" s="3">
        <v>0.11559999999999999</v>
      </c>
      <c r="G8777" s="3">
        <v>0.2001</v>
      </c>
      <c r="H8777" s="3">
        <v>0.219</v>
      </c>
      <c r="I8777" s="3">
        <v>9.9000000000000008E-3</v>
      </c>
      <c r="J8777" s="3">
        <v>0.15240000000000001</v>
      </c>
      <c r="K8777" s="3">
        <v>0.1268</v>
      </c>
      <c r="L8777" s="3">
        <v>0.1762</v>
      </c>
    </row>
    <row r="8778" spans="1:24">
      <c r="A8778" t="s">
        <v>199</v>
      </c>
      <c r="B8778" t="s">
        <v>217</v>
      </c>
      <c r="C8778">
        <v>814</v>
      </c>
      <c r="D8778" t="s">
        <v>194</v>
      </c>
      <c r="E8778">
        <v>2676</v>
      </c>
      <c r="F8778" s="3">
        <v>6.1499999999999999E-2</v>
      </c>
      <c r="G8778" s="3">
        <v>3.7400000000000003E-2</v>
      </c>
      <c r="H8778" s="3">
        <v>3.4299999999999997E-2</v>
      </c>
      <c r="I8778" s="3">
        <v>4.1999999999999997E-3</v>
      </c>
      <c r="J8778" s="3">
        <v>2.5999999999999999E-2</v>
      </c>
      <c r="K8778" s="3">
        <v>0.3342</v>
      </c>
      <c r="L8778" s="3">
        <v>0.50119999999999998</v>
      </c>
      <c r="M8778" s="3">
        <v>1.1000000000000001E-3</v>
      </c>
    </row>
    <row r="8779" spans="1:24">
      <c r="A8779" t="s">
        <v>199</v>
      </c>
      <c r="B8779" t="s">
        <v>219</v>
      </c>
      <c r="C8779">
        <v>451</v>
      </c>
      <c r="D8779" t="s">
        <v>194</v>
      </c>
      <c r="E8779">
        <v>2676</v>
      </c>
      <c r="F8779" s="3">
        <v>5.04E-2</v>
      </c>
      <c r="G8779" s="3">
        <v>4.7600000000000003E-2</v>
      </c>
      <c r="H8779" s="3">
        <v>4.0599999999999997E-2</v>
      </c>
      <c r="J8779" s="3">
        <v>6.2399999999999997E-2</v>
      </c>
      <c r="K8779" s="3">
        <v>0.2949</v>
      </c>
      <c r="L8779" s="3">
        <v>0.50409999999999999</v>
      </c>
    </row>
    <row r="8780" spans="1:24">
      <c r="A8780" t="s">
        <v>199</v>
      </c>
      <c r="B8780" t="s">
        <v>220</v>
      </c>
      <c r="C8780">
        <v>223</v>
      </c>
      <c r="D8780" t="s">
        <v>194</v>
      </c>
      <c r="E8780">
        <v>2676</v>
      </c>
      <c r="F8780" s="3">
        <v>1.5599999999999999E-2</v>
      </c>
      <c r="G8780" s="3">
        <v>7.3300000000000004E-2</v>
      </c>
      <c r="H8780" s="3">
        <v>3.6200000000000003E-2</v>
      </c>
      <c r="J8780" s="3">
        <v>2.8500000000000001E-2</v>
      </c>
      <c r="K8780" s="3">
        <v>0.29699999999999999</v>
      </c>
      <c r="L8780" s="3">
        <v>0.54510000000000003</v>
      </c>
      <c r="M8780" s="3">
        <v>4.1999999999999997E-3</v>
      </c>
    </row>
    <row r="8781" spans="1:24">
      <c r="A8781" t="s">
        <v>200</v>
      </c>
      <c r="B8781" t="s">
        <v>200</v>
      </c>
      <c r="C8781">
        <v>2676</v>
      </c>
      <c r="D8781" t="s">
        <v>200</v>
      </c>
      <c r="E8781">
        <v>2676</v>
      </c>
      <c r="F8781" s="3">
        <v>0.1188</v>
      </c>
      <c r="G8781" s="3">
        <v>0.1047</v>
      </c>
      <c r="H8781" s="3">
        <v>7.2099999999999997E-2</v>
      </c>
      <c r="I8781" s="3">
        <v>5.1000000000000004E-3</v>
      </c>
      <c r="J8781" s="3">
        <v>0.10829999999999999</v>
      </c>
      <c r="K8781" s="3">
        <v>0.27289999999999998</v>
      </c>
      <c r="L8781" s="3">
        <v>0.3165</v>
      </c>
      <c r="M8781" s="3">
        <v>1.6000000000000001E-3</v>
      </c>
    </row>
    <row r="8783" spans="1:24" ht="45">
      <c r="A8783" s="22" t="s">
        <v>1729</v>
      </c>
    </row>
    <row r="8784" spans="1:24">
      <c r="A8784" t="s">
        <v>185</v>
      </c>
      <c r="B8784" t="s">
        <v>186</v>
      </c>
      <c r="C8784" t="s">
        <v>192</v>
      </c>
      <c r="D8784" t="s">
        <v>184</v>
      </c>
      <c r="E8784" t="s">
        <v>193</v>
      </c>
      <c r="F8784" t="s">
        <v>1730</v>
      </c>
      <c r="G8784" t="s">
        <v>570</v>
      </c>
      <c r="H8784" t="s">
        <v>329</v>
      </c>
      <c r="I8784" t="s">
        <v>274</v>
      </c>
      <c r="J8784" t="s">
        <v>247</v>
      </c>
      <c r="K8784" t="s">
        <v>1731</v>
      </c>
      <c r="L8784" t="s">
        <v>1732</v>
      </c>
      <c r="M8784" t="s">
        <v>1733</v>
      </c>
      <c r="N8784" t="s">
        <v>1734</v>
      </c>
      <c r="O8784" t="s">
        <v>1735</v>
      </c>
      <c r="P8784" t="s">
        <v>1736</v>
      </c>
      <c r="Q8784" t="s">
        <v>1737</v>
      </c>
      <c r="R8784" t="s">
        <v>1738</v>
      </c>
      <c r="S8784" t="s">
        <v>1739</v>
      </c>
      <c r="T8784" t="s">
        <v>1740</v>
      </c>
      <c r="U8784" t="s">
        <v>1741</v>
      </c>
      <c r="V8784" t="s">
        <v>1742</v>
      </c>
      <c r="W8784" t="s">
        <v>1743</v>
      </c>
      <c r="X8784" t="s">
        <v>1744</v>
      </c>
    </row>
    <row r="8785" spans="1:24">
      <c r="A8785" t="s">
        <v>195</v>
      </c>
      <c r="B8785" t="s">
        <v>222</v>
      </c>
      <c r="C8785">
        <v>247</v>
      </c>
      <c r="D8785" t="s">
        <v>194</v>
      </c>
      <c r="E8785">
        <v>2674</v>
      </c>
      <c r="F8785" s="3">
        <v>0.14530000000000001</v>
      </c>
      <c r="G8785" s="3">
        <v>2.87E-2</v>
      </c>
      <c r="H8785" s="3">
        <v>0.38829999999999998</v>
      </c>
      <c r="I8785" s="3">
        <v>2.9999999999999997E-4</v>
      </c>
      <c r="J8785" s="3">
        <v>2.18E-2</v>
      </c>
      <c r="K8785" s="3">
        <v>0.19939999999999999</v>
      </c>
      <c r="L8785" s="3">
        <v>4.3400000000000001E-2</v>
      </c>
      <c r="M8785" s="3">
        <v>2.8E-3</v>
      </c>
      <c r="N8785" s="3">
        <v>9.7999999999999997E-3</v>
      </c>
      <c r="O8785" s="3">
        <v>0.1923</v>
      </c>
      <c r="P8785" s="3">
        <v>0.1666</v>
      </c>
      <c r="Q8785" s="3">
        <v>5.0000000000000001E-3</v>
      </c>
      <c r="R8785" s="3">
        <v>2.8400000000000002E-2</v>
      </c>
      <c r="S8785" s="3">
        <v>8.9999999999999998E-4</v>
      </c>
      <c r="T8785" s="3">
        <v>6.1000000000000004E-3</v>
      </c>
      <c r="U8785" s="3">
        <v>6.8500000000000005E-2</v>
      </c>
      <c r="V8785" s="3">
        <v>1.17E-2</v>
      </c>
      <c r="W8785" s="3">
        <v>1.14E-2</v>
      </c>
      <c r="X8785" s="3">
        <v>4.0000000000000002E-4</v>
      </c>
    </row>
    <row r="8786" spans="1:24">
      <c r="A8786" t="s">
        <v>195</v>
      </c>
      <c r="B8786" t="s">
        <v>224</v>
      </c>
      <c r="C8786">
        <v>941</v>
      </c>
      <c r="D8786" t="s">
        <v>194</v>
      </c>
      <c r="E8786">
        <v>2674</v>
      </c>
      <c r="F8786" s="3">
        <v>6.5500000000000003E-2</v>
      </c>
      <c r="G8786" s="3">
        <v>1.5900000000000001E-2</v>
      </c>
      <c r="H8786" s="3">
        <v>0.49370000000000003</v>
      </c>
      <c r="I8786" s="3">
        <v>3.7000000000000002E-3</v>
      </c>
      <c r="K8786" s="3">
        <v>0.18229999999999999</v>
      </c>
      <c r="L8786" s="3">
        <v>5.1999999999999998E-2</v>
      </c>
      <c r="M8786" s="3">
        <v>1.2999999999999999E-2</v>
      </c>
      <c r="N8786" s="3">
        <v>4.4000000000000003E-3</v>
      </c>
      <c r="O8786" s="3">
        <v>0.13619999999999999</v>
      </c>
      <c r="P8786" s="3">
        <v>0.13969999999999999</v>
      </c>
      <c r="Q8786" s="3">
        <v>6.8999999999999999E-3</v>
      </c>
      <c r="R8786" s="3">
        <v>2.3E-3</v>
      </c>
      <c r="S8786" s="3">
        <v>1.5E-3</v>
      </c>
      <c r="T8786" s="3">
        <v>2.58E-2</v>
      </c>
      <c r="U8786" s="3">
        <v>0.1045</v>
      </c>
      <c r="V8786" s="3">
        <v>2.1399999999999999E-2</v>
      </c>
      <c r="W8786" s="3">
        <v>3.1899999999999998E-2</v>
      </c>
    </row>
    <row r="8787" spans="1:24">
      <c r="A8787" t="s">
        <v>199</v>
      </c>
      <c r="B8787" t="s">
        <v>222</v>
      </c>
      <c r="C8787">
        <v>389</v>
      </c>
      <c r="D8787" t="s">
        <v>194</v>
      </c>
      <c r="E8787">
        <v>2674</v>
      </c>
      <c r="F8787" s="3">
        <v>0.59160000000000001</v>
      </c>
      <c r="G8787" s="3">
        <v>2.3199999999999998E-2</v>
      </c>
      <c r="H8787" s="3">
        <v>0.2243</v>
      </c>
      <c r="I8787" s="3">
        <v>4.0000000000000002E-4</v>
      </c>
      <c r="J8787" s="3">
        <v>2.0000000000000001E-4</v>
      </c>
      <c r="K8787" s="3">
        <v>4.1200000000000001E-2</v>
      </c>
      <c r="L8787" s="3">
        <v>2.8999999999999998E-3</v>
      </c>
      <c r="O8787" s="3">
        <v>6.1499999999999999E-2</v>
      </c>
      <c r="P8787" s="3">
        <v>7.0900000000000005E-2</v>
      </c>
      <c r="Q8787" s="3">
        <v>1E-3</v>
      </c>
      <c r="U8787" s="3">
        <v>5.3800000000000001E-2</v>
      </c>
      <c r="V8787" s="3">
        <v>9.1999999999999998E-3</v>
      </c>
      <c r="W8787" s="3">
        <v>5.9999999999999995E-4</v>
      </c>
      <c r="X8787" s="3">
        <v>1E-4</v>
      </c>
    </row>
    <row r="8788" spans="1:24">
      <c r="A8788" t="s">
        <v>199</v>
      </c>
      <c r="B8788" t="s">
        <v>224</v>
      </c>
      <c r="C8788">
        <v>1097</v>
      </c>
      <c r="D8788" t="s">
        <v>194</v>
      </c>
      <c r="E8788">
        <v>2674</v>
      </c>
      <c r="F8788" s="3">
        <v>0.45569999999999999</v>
      </c>
      <c r="G8788" s="3">
        <v>2.9000000000000001E-2</v>
      </c>
      <c r="H8788" s="3">
        <v>0.30790000000000001</v>
      </c>
      <c r="K8788" s="3">
        <v>7.3300000000000004E-2</v>
      </c>
      <c r="L8788" s="3">
        <v>6.7000000000000002E-3</v>
      </c>
      <c r="M8788" s="3">
        <v>1.5E-3</v>
      </c>
      <c r="N8788" s="3">
        <v>1.2E-2</v>
      </c>
      <c r="O8788" s="3">
        <v>8.1900000000000001E-2</v>
      </c>
      <c r="P8788" s="3">
        <v>0.10539999999999999</v>
      </c>
      <c r="Q8788" s="3">
        <v>2.0999999999999999E-3</v>
      </c>
      <c r="R8788" s="3">
        <v>1.1000000000000001E-3</v>
      </c>
      <c r="S8788" s="3">
        <v>6.7999999999999996E-3</v>
      </c>
      <c r="T8788" s="3">
        <v>1E-3</v>
      </c>
      <c r="U8788" s="3">
        <v>5.11E-2</v>
      </c>
      <c r="V8788" s="3">
        <v>8.5000000000000006E-3</v>
      </c>
      <c r="W8788" s="3">
        <v>1.4E-2</v>
      </c>
      <c r="X8788" s="3">
        <v>1.6000000000000001E-3</v>
      </c>
    </row>
    <row r="8789" spans="1:24">
      <c r="A8789" t="s">
        <v>200</v>
      </c>
      <c r="B8789" t="s">
        <v>200</v>
      </c>
      <c r="C8789">
        <v>2674</v>
      </c>
      <c r="D8789" t="s">
        <v>200</v>
      </c>
      <c r="E8789">
        <v>2674</v>
      </c>
      <c r="F8789" s="3">
        <v>0.31409999999999999</v>
      </c>
      <c r="G8789" s="3">
        <v>2.35E-2</v>
      </c>
      <c r="H8789" s="3">
        <v>0.36499999999999999</v>
      </c>
      <c r="I8789" s="3">
        <v>1.4E-3</v>
      </c>
      <c r="J8789" s="3">
        <v>2.3999999999999998E-3</v>
      </c>
      <c r="K8789" s="3">
        <v>0.1181</v>
      </c>
      <c r="L8789" s="3">
        <v>2.52E-2</v>
      </c>
      <c r="M8789" s="3">
        <v>5.3E-3</v>
      </c>
      <c r="N8789" s="3">
        <v>7.1999999999999998E-3</v>
      </c>
      <c r="O8789" s="3">
        <v>0.1085</v>
      </c>
      <c r="P8789" s="3">
        <v>0.1176</v>
      </c>
      <c r="Q8789" s="3">
        <v>3.8E-3</v>
      </c>
      <c r="R8789" s="3">
        <v>4.3E-3</v>
      </c>
      <c r="S8789" s="3">
        <v>3.2000000000000002E-3</v>
      </c>
      <c r="T8789" s="3">
        <v>9.7999999999999997E-3</v>
      </c>
      <c r="U8789" s="3">
        <v>7.1400000000000005E-2</v>
      </c>
      <c r="V8789" s="3">
        <v>1.3299999999999999E-2</v>
      </c>
      <c r="W8789" s="3">
        <v>1.7500000000000002E-2</v>
      </c>
      <c r="X8789" s="3">
        <v>6.9999999999999999E-4</v>
      </c>
    </row>
    <row r="8791" spans="1:24" ht="30">
      <c r="A8791" s="22" t="s">
        <v>1745</v>
      </c>
    </row>
    <row r="8792" spans="1:24">
      <c r="A8792" t="s">
        <v>185</v>
      </c>
      <c r="B8792" t="s">
        <v>186</v>
      </c>
      <c r="C8792" t="s">
        <v>192</v>
      </c>
      <c r="D8792" t="s">
        <v>184</v>
      </c>
      <c r="E8792" t="s">
        <v>193</v>
      </c>
      <c r="F8792" t="s">
        <v>1730</v>
      </c>
      <c r="G8792" t="s">
        <v>570</v>
      </c>
      <c r="H8792" t="s">
        <v>329</v>
      </c>
      <c r="I8792" t="s">
        <v>274</v>
      </c>
      <c r="J8792" t="s">
        <v>247</v>
      </c>
      <c r="K8792" t="s">
        <v>1731</v>
      </c>
      <c r="L8792" t="s">
        <v>1732</v>
      </c>
      <c r="M8792" t="s">
        <v>1733</v>
      </c>
      <c r="N8792" t="s">
        <v>1734</v>
      </c>
      <c r="O8792" t="s">
        <v>1735</v>
      </c>
      <c r="P8792" t="s">
        <v>1736</v>
      </c>
      <c r="Q8792" t="s">
        <v>1737</v>
      </c>
      <c r="R8792" t="s">
        <v>1738</v>
      </c>
      <c r="S8792" t="s">
        <v>1739</v>
      </c>
      <c r="T8792" t="s">
        <v>1740</v>
      </c>
      <c r="U8792" t="s">
        <v>1741</v>
      </c>
      <c r="V8792" t="s">
        <v>1742</v>
      </c>
      <c r="W8792" t="s">
        <v>1743</v>
      </c>
      <c r="X8792" t="s">
        <v>1744</v>
      </c>
    </row>
    <row r="8793" spans="1:24">
      <c r="A8793" t="s">
        <v>195</v>
      </c>
      <c r="B8793" t="s">
        <v>229</v>
      </c>
      <c r="C8793">
        <v>130</v>
      </c>
      <c r="D8793" t="s">
        <v>194</v>
      </c>
      <c r="E8793">
        <v>2674</v>
      </c>
      <c r="F8793" s="3">
        <v>0.1376</v>
      </c>
      <c r="G8793" s="3">
        <v>3.85E-2</v>
      </c>
      <c r="H8793" s="3">
        <v>0.4289</v>
      </c>
      <c r="I8793" s="3">
        <v>6.3E-3</v>
      </c>
      <c r="J8793" s="3">
        <v>3.49E-2</v>
      </c>
      <c r="K8793" s="3">
        <v>0.15629999999999999</v>
      </c>
      <c r="L8793" s="3">
        <v>1.84E-2</v>
      </c>
      <c r="M8793" s="3">
        <v>1.2999999999999999E-3</v>
      </c>
      <c r="N8793" s="3">
        <v>1.5E-3</v>
      </c>
      <c r="O8793" s="3">
        <v>0.11269999999999999</v>
      </c>
      <c r="P8793" s="3">
        <v>2.7199999999999998E-2</v>
      </c>
      <c r="R8793" s="3">
        <v>3.1899999999999998E-2</v>
      </c>
      <c r="T8793" s="3">
        <v>6.7999999999999996E-3</v>
      </c>
      <c r="U8793" s="3">
        <v>0.1143</v>
      </c>
      <c r="V8793" s="3">
        <v>6.4999999999999997E-3</v>
      </c>
      <c r="W8793" s="3">
        <v>2.41E-2</v>
      </c>
    </row>
    <row r="8794" spans="1:24">
      <c r="A8794" t="s">
        <v>195</v>
      </c>
      <c r="B8794" t="s">
        <v>230</v>
      </c>
      <c r="C8794">
        <v>486</v>
      </c>
      <c r="D8794" t="s">
        <v>194</v>
      </c>
      <c r="E8794">
        <v>2674</v>
      </c>
      <c r="F8794" s="3">
        <v>0.10249999999999999</v>
      </c>
      <c r="G8794" s="3">
        <v>1.89E-2</v>
      </c>
      <c r="H8794" s="3">
        <v>0.40770000000000001</v>
      </c>
      <c r="I8794" s="3">
        <v>2.3999999999999998E-3</v>
      </c>
      <c r="K8794" s="3">
        <v>0.23449999999999999</v>
      </c>
      <c r="L8794" s="3">
        <v>5.2900000000000003E-2</v>
      </c>
      <c r="M8794" s="3">
        <v>2.0000000000000001E-4</v>
      </c>
      <c r="N8794" s="3">
        <v>9.5999999999999992E-3</v>
      </c>
      <c r="O8794" s="3">
        <v>0.15210000000000001</v>
      </c>
      <c r="P8794" s="3">
        <v>0.16200000000000001</v>
      </c>
      <c r="Q8794" s="3">
        <v>9.9000000000000008E-3</v>
      </c>
      <c r="R8794" s="3">
        <v>6.3E-3</v>
      </c>
      <c r="S8794" s="3">
        <v>2.3E-3</v>
      </c>
      <c r="T8794" s="3">
        <v>3.2899999999999999E-2</v>
      </c>
      <c r="U8794" s="3">
        <v>0.106</v>
      </c>
      <c r="V8794" s="3">
        <v>1.67E-2</v>
      </c>
      <c r="W8794" s="3">
        <v>3.9E-2</v>
      </c>
    </row>
    <row r="8795" spans="1:24">
      <c r="A8795" t="s">
        <v>195</v>
      </c>
      <c r="B8795" t="s">
        <v>231</v>
      </c>
      <c r="C8795">
        <v>304</v>
      </c>
      <c r="D8795" t="s">
        <v>194</v>
      </c>
      <c r="E8795">
        <v>2674</v>
      </c>
      <c r="F8795" s="3">
        <v>6.2600000000000003E-2</v>
      </c>
      <c r="G8795" s="3">
        <v>6.8999999999999999E-3</v>
      </c>
      <c r="H8795" s="3">
        <v>0.50329999999999997</v>
      </c>
      <c r="I8795" s="3">
        <v>4.1999999999999997E-3</v>
      </c>
      <c r="K8795" s="3">
        <v>0.1457</v>
      </c>
      <c r="L8795" s="3">
        <v>4.7E-2</v>
      </c>
      <c r="M8795" s="3">
        <v>2.6700000000000002E-2</v>
      </c>
      <c r="N8795" s="3">
        <v>8.0000000000000004E-4</v>
      </c>
      <c r="O8795" s="3">
        <v>0.1787</v>
      </c>
      <c r="P8795" s="3">
        <v>0.18479999999999999</v>
      </c>
      <c r="Q8795" s="3">
        <v>7.7999999999999996E-3</v>
      </c>
      <c r="R8795" s="3">
        <v>5.4999999999999997E-3</v>
      </c>
      <c r="S8795" s="3">
        <v>2E-3</v>
      </c>
      <c r="T8795" s="3">
        <v>1.41E-2</v>
      </c>
      <c r="U8795" s="3">
        <v>0.1024</v>
      </c>
      <c r="V8795" s="3">
        <v>2.3900000000000001E-2</v>
      </c>
      <c r="W8795" s="3">
        <v>1.34E-2</v>
      </c>
      <c r="X8795" s="3">
        <v>2.9999999999999997E-4</v>
      </c>
    </row>
    <row r="8796" spans="1:24">
      <c r="A8796" t="s">
        <v>195</v>
      </c>
      <c r="B8796" t="s">
        <v>232</v>
      </c>
      <c r="C8796">
        <v>268</v>
      </c>
      <c r="D8796" t="s">
        <v>194</v>
      </c>
      <c r="E8796">
        <v>2674</v>
      </c>
      <c r="F8796" s="3">
        <v>3.95E-2</v>
      </c>
      <c r="G8796" s="3">
        <v>1.9099999999999999E-2</v>
      </c>
      <c r="H8796" s="3">
        <v>0.56899999999999995</v>
      </c>
      <c r="K8796" s="3">
        <v>0.16450000000000001</v>
      </c>
      <c r="L8796" s="3">
        <v>6.9800000000000001E-2</v>
      </c>
      <c r="M8796" s="3">
        <v>1.7999999999999999E-2</v>
      </c>
      <c r="N8796" s="3">
        <v>7.0000000000000001E-3</v>
      </c>
      <c r="O8796" s="3">
        <v>0.13819999999999999</v>
      </c>
      <c r="P8796" s="3">
        <v>0.15659999999999999</v>
      </c>
      <c r="Q8796" s="3">
        <v>3.0000000000000001E-3</v>
      </c>
      <c r="T8796" s="3">
        <v>1.72E-2</v>
      </c>
      <c r="U8796" s="3">
        <v>5.6599999999999998E-2</v>
      </c>
      <c r="V8796" s="3">
        <v>2.6599999999999999E-2</v>
      </c>
      <c r="W8796" s="3">
        <v>2.2200000000000001E-2</v>
      </c>
    </row>
    <row r="8797" spans="1:24">
      <c r="A8797" t="s">
        <v>199</v>
      </c>
      <c r="B8797" t="s">
        <v>229</v>
      </c>
      <c r="C8797">
        <v>150</v>
      </c>
      <c r="D8797" t="s">
        <v>194</v>
      </c>
      <c r="E8797">
        <v>2674</v>
      </c>
      <c r="F8797" s="3">
        <v>0.56320000000000003</v>
      </c>
      <c r="G8797" s="3">
        <v>4.7800000000000002E-2</v>
      </c>
      <c r="H8797" s="3">
        <v>0.28639999999999999</v>
      </c>
      <c r="K8797" s="3">
        <v>5.2600000000000001E-2</v>
      </c>
      <c r="L8797" s="3">
        <v>2.9999999999999997E-4</v>
      </c>
      <c r="O8797" s="3">
        <v>4.41E-2</v>
      </c>
      <c r="P8797" s="3">
        <v>5.7099999999999998E-2</v>
      </c>
      <c r="Q8797" s="3">
        <v>4.1000000000000003E-3</v>
      </c>
      <c r="U8797" s="3">
        <v>5.9400000000000001E-2</v>
      </c>
      <c r="V8797" s="3">
        <v>1.0800000000000001E-2</v>
      </c>
    </row>
    <row r="8798" spans="1:24">
      <c r="A8798" t="s">
        <v>199</v>
      </c>
      <c r="B8798" t="s">
        <v>230</v>
      </c>
      <c r="C8798">
        <v>701</v>
      </c>
      <c r="D8798" t="s">
        <v>194</v>
      </c>
      <c r="E8798">
        <v>2674</v>
      </c>
      <c r="F8798" s="3">
        <v>0.50219999999999998</v>
      </c>
      <c r="G8798" s="3">
        <v>1.6199999999999999E-2</v>
      </c>
      <c r="H8798" s="3">
        <v>0.2969</v>
      </c>
      <c r="I8798" s="3">
        <v>2.9999999999999997E-4</v>
      </c>
      <c r="K8798" s="3">
        <v>6.9099999999999995E-2</v>
      </c>
      <c r="L8798" s="3">
        <v>2.8E-3</v>
      </c>
      <c r="M8798" s="3">
        <v>1.6000000000000001E-3</v>
      </c>
      <c r="N8798" s="3">
        <v>6.8999999999999999E-3</v>
      </c>
      <c r="O8798" s="3">
        <v>6.5500000000000003E-2</v>
      </c>
      <c r="P8798" s="3">
        <v>9.3600000000000003E-2</v>
      </c>
      <c r="Q8798" s="3">
        <v>5.0000000000000001E-4</v>
      </c>
      <c r="R8798" s="3">
        <v>1.6999999999999999E-3</v>
      </c>
      <c r="S8798" s="3">
        <v>1.6000000000000001E-3</v>
      </c>
      <c r="T8798" s="3">
        <v>1.2999999999999999E-3</v>
      </c>
      <c r="U8798" s="3">
        <v>4.8599999999999997E-2</v>
      </c>
      <c r="V8798" s="3">
        <v>9.4999999999999998E-3</v>
      </c>
      <c r="W8798" s="3">
        <v>5.1999999999999998E-3</v>
      </c>
      <c r="X8798" s="3">
        <v>1E-3</v>
      </c>
    </row>
    <row r="8799" spans="1:24">
      <c r="A8799" t="s">
        <v>199</v>
      </c>
      <c r="B8799" t="s">
        <v>231</v>
      </c>
      <c r="C8799">
        <v>396</v>
      </c>
      <c r="D8799" t="s">
        <v>194</v>
      </c>
      <c r="E8799">
        <v>2674</v>
      </c>
      <c r="F8799" s="3">
        <v>0.4859</v>
      </c>
      <c r="G8799" s="3">
        <v>5.2299999999999999E-2</v>
      </c>
      <c r="H8799" s="3">
        <v>0.28970000000000001</v>
      </c>
      <c r="J8799" s="3">
        <v>4.0000000000000002E-4</v>
      </c>
      <c r="K8799" s="3">
        <v>4.53E-2</v>
      </c>
      <c r="L8799" s="3">
        <v>7.4000000000000003E-3</v>
      </c>
      <c r="M8799" s="3">
        <v>6.9999999999999999E-4</v>
      </c>
      <c r="N8799" s="3">
        <v>2.75E-2</v>
      </c>
      <c r="O8799" s="3">
        <v>6.8400000000000002E-2</v>
      </c>
      <c r="P8799" s="3">
        <v>6.3700000000000007E-2</v>
      </c>
      <c r="Q8799" s="3">
        <v>4.1000000000000003E-3</v>
      </c>
      <c r="T8799" s="3">
        <v>6.9999999999999999E-4</v>
      </c>
      <c r="U8799" s="3">
        <v>5.3699999999999998E-2</v>
      </c>
      <c r="V8799" s="3">
        <v>6.0000000000000001E-3</v>
      </c>
      <c r="W8799" s="3">
        <v>9.1000000000000004E-3</v>
      </c>
      <c r="X8799" s="3">
        <v>2.0000000000000001E-4</v>
      </c>
    </row>
    <row r="8800" spans="1:24">
      <c r="A8800" t="s">
        <v>199</v>
      </c>
      <c r="B8800" t="s">
        <v>232</v>
      </c>
      <c r="C8800">
        <v>239</v>
      </c>
      <c r="D8800" t="s">
        <v>194</v>
      </c>
      <c r="E8800">
        <v>2674</v>
      </c>
      <c r="F8800" s="3">
        <v>0.42609999999999998</v>
      </c>
      <c r="G8800" s="3">
        <v>8.3000000000000001E-3</v>
      </c>
      <c r="H8800" s="3">
        <v>0.22900000000000001</v>
      </c>
      <c r="K8800" s="3">
        <v>7.9500000000000001E-2</v>
      </c>
      <c r="L8800" s="3">
        <v>1.6400000000000001E-2</v>
      </c>
      <c r="M8800" s="3">
        <v>8.0000000000000004E-4</v>
      </c>
      <c r="O8800" s="3">
        <v>0.14530000000000001</v>
      </c>
      <c r="P8800" s="3">
        <v>0.17280000000000001</v>
      </c>
      <c r="Q8800" s="3">
        <v>1E-4</v>
      </c>
      <c r="S8800" s="3">
        <v>2.3800000000000002E-2</v>
      </c>
      <c r="U8800" s="3">
        <v>5.1400000000000001E-2</v>
      </c>
      <c r="V8800" s="3">
        <v>7.4000000000000003E-3</v>
      </c>
      <c r="W8800" s="3">
        <v>3.4700000000000002E-2</v>
      </c>
      <c r="X8800" s="3">
        <v>3.8999999999999998E-3</v>
      </c>
    </row>
    <row r="8801" spans="1:24">
      <c r="A8801" t="s">
        <v>200</v>
      </c>
      <c r="B8801" t="s">
        <v>200</v>
      </c>
      <c r="C8801">
        <v>2674</v>
      </c>
      <c r="D8801" t="s">
        <v>200</v>
      </c>
      <c r="E8801">
        <v>2674</v>
      </c>
      <c r="F8801" s="3">
        <v>0.31409999999999999</v>
      </c>
      <c r="G8801" s="3">
        <v>2.35E-2</v>
      </c>
      <c r="H8801" s="3">
        <v>0.36499999999999999</v>
      </c>
      <c r="I8801" s="3">
        <v>1.4E-3</v>
      </c>
      <c r="J8801" s="3">
        <v>2.3999999999999998E-3</v>
      </c>
      <c r="K8801" s="3">
        <v>0.1181</v>
      </c>
      <c r="L8801" s="3">
        <v>2.52E-2</v>
      </c>
      <c r="M8801" s="3">
        <v>5.3E-3</v>
      </c>
      <c r="N8801" s="3">
        <v>7.1999999999999998E-3</v>
      </c>
      <c r="O8801" s="3">
        <v>0.1085</v>
      </c>
      <c r="P8801" s="3">
        <v>0.1176</v>
      </c>
      <c r="Q8801" s="3">
        <v>3.8E-3</v>
      </c>
      <c r="R8801" s="3">
        <v>4.3E-3</v>
      </c>
      <c r="S8801" s="3">
        <v>3.2000000000000002E-3</v>
      </c>
      <c r="T8801" s="3">
        <v>9.7999999999999997E-3</v>
      </c>
      <c r="U8801" s="3">
        <v>7.1400000000000005E-2</v>
      </c>
      <c r="V8801" s="3">
        <v>1.3299999999999999E-2</v>
      </c>
      <c r="W8801" s="3">
        <v>1.7500000000000002E-2</v>
      </c>
      <c r="X8801" s="3">
        <v>6.9999999999999999E-4</v>
      </c>
    </row>
    <row r="8803" spans="1:24" ht="30">
      <c r="A8803" s="22" t="s">
        <v>1746</v>
      </c>
    </row>
    <row r="8804" spans="1:24">
      <c r="A8804" t="s">
        <v>185</v>
      </c>
      <c r="B8804" t="s">
        <v>186</v>
      </c>
      <c r="C8804" t="s">
        <v>192</v>
      </c>
      <c r="D8804" t="s">
        <v>184</v>
      </c>
      <c r="E8804" t="s">
        <v>193</v>
      </c>
      <c r="F8804" t="s">
        <v>1730</v>
      </c>
      <c r="G8804" t="s">
        <v>570</v>
      </c>
      <c r="H8804" t="s">
        <v>329</v>
      </c>
      <c r="I8804" t="s">
        <v>274</v>
      </c>
      <c r="J8804" t="s">
        <v>247</v>
      </c>
      <c r="K8804" t="s">
        <v>1731</v>
      </c>
      <c r="L8804" t="s">
        <v>1732</v>
      </c>
      <c r="M8804" t="s">
        <v>1733</v>
      </c>
      <c r="N8804" t="s">
        <v>1734</v>
      </c>
      <c r="O8804" t="s">
        <v>1735</v>
      </c>
      <c r="P8804" t="s">
        <v>1736</v>
      </c>
      <c r="Q8804" t="s">
        <v>1737</v>
      </c>
      <c r="R8804" t="s">
        <v>1738</v>
      </c>
      <c r="S8804" t="s">
        <v>1739</v>
      </c>
      <c r="T8804" t="s">
        <v>1740</v>
      </c>
      <c r="U8804" t="s">
        <v>1741</v>
      </c>
      <c r="V8804" t="s">
        <v>1742</v>
      </c>
      <c r="W8804" t="s">
        <v>1743</v>
      </c>
      <c r="X8804" t="s">
        <v>1744</v>
      </c>
    </row>
    <row r="8805" spans="1:24">
      <c r="A8805" t="s">
        <v>195</v>
      </c>
      <c r="B8805" t="s">
        <v>196</v>
      </c>
      <c r="C8805">
        <v>413</v>
      </c>
      <c r="D8805" t="s">
        <v>194</v>
      </c>
      <c r="E8805">
        <v>2674</v>
      </c>
      <c r="F8805" s="3">
        <v>0.1094</v>
      </c>
      <c r="G8805" s="3">
        <v>8.3000000000000001E-3</v>
      </c>
      <c r="H8805" s="3">
        <v>0.42049999999999998</v>
      </c>
      <c r="J8805" s="3">
        <v>1.9699999999999999E-2</v>
      </c>
      <c r="K8805" s="3">
        <v>0.26519999999999999</v>
      </c>
      <c r="L8805" s="3">
        <v>5.2900000000000003E-2</v>
      </c>
      <c r="M8805" s="3">
        <v>9.1999999999999998E-3</v>
      </c>
      <c r="N8805" s="3">
        <v>8.2000000000000007E-3</v>
      </c>
      <c r="O8805" s="3">
        <v>0.17860000000000001</v>
      </c>
      <c r="P8805" s="3">
        <v>0.15079999999999999</v>
      </c>
      <c r="Q8805" s="3">
        <v>4.8999999999999998E-3</v>
      </c>
      <c r="R8805" s="3">
        <v>3.0000000000000001E-3</v>
      </c>
      <c r="S8805" s="3">
        <v>3.3999999999999998E-3</v>
      </c>
      <c r="T8805" s="3">
        <v>4.7399999999999998E-2</v>
      </c>
      <c r="U8805" s="3">
        <v>4.2099999999999999E-2</v>
      </c>
      <c r="V8805" s="3">
        <v>1.54E-2</v>
      </c>
      <c r="W8805" s="3">
        <v>4.4999999999999997E-3</v>
      </c>
      <c r="X8805" s="3">
        <v>2.9999999999999997E-4</v>
      </c>
    </row>
    <row r="8806" spans="1:24">
      <c r="A8806" t="s">
        <v>195</v>
      </c>
      <c r="B8806" t="s">
        <v>198</v>
      </c>
      <c r="C8806">
        <v>754</v>
      </c>
      <c r="D8806" t="s">
        <v>194</v>
      </c>
      <c r="E8806">
        <v>2674</v>
      </c>
      <c r="F8806" s="3">
        <v>7.5300000000000006E-2</v>
      </c>
      <c r="G8806" s="3">
        <v>2.1299999999999999E-2</v>
      </c>
      <c r="H8806" s="3">
        <v>0.48609999999999998</v>
      </c>
      <c r="I8806" s="3">
        <v>4.0000000000000001E-3</v>
      </c>
      <c r="K8806" s="3">
        <v>0.15840000000000001</v>
      </c>
      <c r="L8806" s="3">
        <v>4.9099999999999998E-2</v>
      </c>
      <c r="M8806" s="3">
        <v>1.0999999999999999E-2</v>
      </c>
      <c r="N8806" s="3">
        <v>4.7999999999999996E-3</v>
      </c>
      <c r="O8806" s="3">
        <v>0.13980000000000001</v>
      </c>
      <c r="P8806" s="3">
        <v>0.14510000000000001</v>
      </c>
      <c r="Q8806" s="3">
        <v>7.0000000000000001E-3</v>
      </c>
      <c r="R8806" s="3">
        <v>1.0699999999999999E-2</v>
      </c>
      <c r="S8806" s="3">
        <v>5.9999999999999995E-4</v>
      </c>
      <c r="T8806" s="3">
        <v>1.1599999999999999E-2</v>
      </c>
      <c r="U8806" s="3">
        <v>0.1153</v>
      </c>
      <c r="V8806" s="3">
        <v>2.0500000000000001E-2</v>
      </c>
      <c r="W8806" s="3">
        <v>3.5400000000000001E-2</v>
      </c>
    </row>
    <row r="8807" spans="1:24">
      <c r="A8807" t="s">
        <v>199</v>
      </c>
      <c r="B8807" t="s">
        <v>196</v>
      </c>
      <c r="C8807">
        <v>525</v>
      </c>
      <c r="D8807" t="s">
        <v>194</v>
      </c>
      <c r="E8807">
        <v>2674</v>
      </c>
      <c r="F8807" s="3">
        <v>0.4214</v>
      </c>
      <c r="G8807" s="3">
        <v>1.9599999999999999E-2</v>
      </c>
      <c r="H8807" s="3">
        <v>0.34050000000000002</v>
      </c>
      <c r="J8807" s="3">
        <v>4.0000000000000002E-4</v>
      </c>
      <c r="K8807" s="3">
        <v>6.54E-2</v>
      </c>
      <c r="L8807" s="3">
        <v>0.01</v>
      </c>
      <c r="M8807" s="3">
        <v>4.1999999999999997E-3</v>
      </c>
      <c r="N8807" s="3">
        <v>1.04E-2</v>
      </c>
      <c r="O8807" s="3">
        <v>9.9000000000000005E-2</v>
      </c>
      <c r="P8807" s="3">
        <v>0.1081</v>
      </c>
      <c r="Q8807" s="3">
        <v>4.1999999999999997E-3</v>
      </c>
      <c r="S8807" s="3">
        <v>1.5E-3</v>
      </c>
      <c r="T8807" s="3">
        <v>2E-3</v>
      </c>
      <c r="U8807" s="3">
        <v>3.1099999999999999E-2</v>
      </c>
      <c r="V8807" s="3">
        <v>6.7999999999999996E-3</v>
      </c>
      <c r="W8807" s="3">
        <v>3.3E-3</v>
      </c>
      <c r="X8807" s="3">
        <v>2.5999999999999999E-3</v>
      </c>
    </row>
    <row r="8808" spans="1:24">
      <c r="A8808" t="s">
        <v>199</v>
      </c>
      <c r="B8808" t="s">
        <v>198</v>
      </c>
      <c r="C8808">
        <v>943</v>
      </c>
      <c r="D8808" t="s">
        <v>194</v>
      </c>
      <c r="E8808">
        <v>2674</v>
      </c>
      <c r="F8808" s="3">
        <v>0.51539999999999997</v>
      </c>
      <c r="G8808" s="3">
        <v>2.9000000000000001E-2</v>
      </c>
      <c r="H8808" s="3">
        <v>0.26790000000000003</v>
      </c>
      <c r="I8808" s="3">
        <v>2.0000000000000001E-4</v>
      </c>
      <c r="K8808" s="3">
        <v>6.3200000000000006E-2</v>
      </c>
      <c r="L8808" s="3">
        <v>4.4999999999999997E-3</v>
      </c>
      <c r="M8808" s="3">
        <v>2.9999999999999997E-4</v>
      </c>
      <c r="N8808" s="3">
        <v>7.9000000000000008E-3</v>
      </c>
      <c r="O8808" s="3">
        <v>7.0400000000000004E-2</v>
      </c>
      <c r="P8808" s="3">
        <v>9.1999999999999998E-2</v>
      </c>
      <c r="Q8808" s="3">
        <v>1.1999999999999999E-3</v>
      </c>
      <c r="R8808" s="3">
        <v>1E-3</v>
      </c>
      <c r="S8808" s="3">
        <v>5.4999999999999997E-3</v>
      </c>
      <c r="T8808" s="3">
        <v>4.0000000000000002E-4</v>
      </c>
      <c r="U8808" s="3">
        <v>5.67E-2</v>
      </c>
      <c r="V8808" s="3">
        <v>9.1999999999999998E-3</v>
      </c>
      <c r="W8808" s="3">
        <v>1.14E-2</v>
      </c>
      <c r="X8808" s="3">
        <v>8.9999999999999998E-4</v>
      </c>
    </row>
    <row r="8809" spans="1:24">
      <c r="A8809" t="s">
        <v>200</v>
      </c>
      <c r="B8809" t="s">
        <v>200</v>
      </c>
      <c r="C8809">
        <v>2674</v>
      </c>
      <c r="D8809" t="s">
        <v>200</v>
      </c>
      <c r="E8809">
        <v>2674</v>
      </c>
      <c r="F8809" s="3">
        <v>0.31409999999999999</v>
      </c>
      <c r="G8809" s="3">
        <v>2.35E-2</v>
      </c>
      <c r="H8809" s="3">
        <v>0.36499999999999999</v>
      </c>
      <c r="I8809" s="3">
        <v>1.4E-3</v>
      </c>
      <c r="J8809" s="3">
        <v>2.3999999999999998E-3</v>
      </c>
      <c r="K8809" s="3">
        <v>0.1181</v>
      </c>
      <c r="L8809" s="3">
        <v>2.52E-2</v>
      </c>
      <c r="M8809" s="3">
        <v>5.3E-3</v>
      </c>
      <c r="N8809" s="3">
        <v>7.1999999999999998E-3</v>
      </c>
      <c r="O8809" s="3">
        <v>0.1085</v>
      </c>
      <c r="P8809" s="3">
        <v>0.1176</v>
      </c>
      <c r="Q8809" s="3">
        <v>3.8E-3</v>
      </c>
      <c r="R8809" s="3">
        <v>4.3E-3</v>
      </c>
      <c r="S8809" s="3">
        <v>3.2000000000000002E-3</v>
      </c>
      <c r="T8809" s="3">
        <v>9.7999999999999997E-3</v>
      </c>
      <c r="U8809" s="3">
        <v>7.1400000000000005E-2</v>
      </c>
      <c r="V8809" s="3">
        <v>1.3299999999999999E-2</v>
      </c>
      <c r="W8809" s="3">
        <v>1.7500000000000002E-2</v>
      </c>
      <c r="X8809" s="3">
        <v>6.9999999999999999E-4</v>
      </c>
    </row>
    <row r="8811" spans="1:24" ht="45">
      <c r="A8811" s="22" t="s">
        <v>1747</v>
      </c>
    </row>
    <row r="8812" spans="1:24">
      <c r="A8812" t="s">
        <v>185</v>
      </c>
      <c r="B8812" t="s">
        <v>186</v>
      </c>
      <c r="C8812" t="s">
        <v>192</v>
      </c>
      <c r="D8812" t="s">
        <v>184</v>
      </c>
      <c r="E8812" t="s">
        <v>193</v>
      </c>
      <c r="F8812" t="s">
        <v>1730</v>
      </c>
      <c r="G8812" t="s">
        <v>570</v>
      </c>
      <c r="H8812" t="s">
        <v>329</v>
      </c>
      <c r="I8812" t="s">
        <v>274</v>
      </c>
      <c r="J8812" t="s">
        <v>247</v>
      </c>
      <c r="K8812" t="s">
        <v>1731</v>
      </c>
      <c r="L8812" t="s">
        <v>1732</v>
      </c>
      <c r="M8812" t="s">
        <v>1733</v>
      </c>
      <c r="N8812" t="s">
        <v>1734</v>
      </c>
      <c r="O8812" t="s">
        <v>1735</v>
      </c>
      <c r="P8812" t="s">
        <v>1736</v>
      </c>
      <c r="Q8812" t="s">
        <v>1737</v>
      </c>
      <c r="R8812" t="s">
        <v>1738</v>
      </c>
      <c r="S8812" t="s">
        <v>1739</v>
      </c>
      <c r="T8812" t="s">
        <v>1740</v>
      </c>
      <c r="U8812" t="s">
        <v>1741</v>
      </c>
      <c r="V8812" t="s">
        <v>1742</v>
      </c>
      <c r="W8812" t="s">
        <v>1743</v>
      </c>
      <c r="X8812" t="s">
        <v>1744</v>
      </c>
    </row>
    <row r="8813" spans="1:24">
      <c r="A8813" t="s">
        <v>195</v>
      </c>
      <c r="B8813" t="s">
        <v>202</v>
      </c>
      <c r="C8813">
        <v>533</v>
      </c>
      <c r="D8813" t="s">
        <v>194</v>
      </c>
      <c r="E8813">
        <v>2674</v>
      </c>
      <c r="F8813" s="3">
        <v>8.9700000000000002E-2</v>
      </c>
      <c r="G8813" s="3">
        <v>2.5999999999999999E-2</v>
      </c>
      <c r="H8813" s="3">
        <v>0.44590000000000002</v>
      </c>
      <c r="J8813" s="3">
        <v>8.0999999999999996E-3</v>
      </c>
      <c r="K8813" s="3">
        <v>0.20710000000000001</v>
      </c>
      <c r="L8813" s="3">
        <v>5.3400000000000003E-2</v>
      </c>
      <c r="M8813" s="3">
        <v>5.4999999999999997E-3</v>
      </c>
      <c r="N8813" s="3">
        <v>1.9E-3</v>
      </c>
      <c r="O8813" s="3">
        <v>0.15129999999999999</v>
      </c>
      <c r="P8813" s="3">
        <v>0.14549999999999999</v>
      </c>
      <c r="Q8813" s="3">
        <v>3.3E-3</v>
      </c>
      <c r="R8813" s="3">
        <v>4.7999999999999996E-3</v>
      </c>
      <c r="T8813" s="3">
        <v>2.1000000000000001E-2</v>
      </c>
      <c r="U8813" s="3">
        <v>8.5699999999999998E-2</v>
      </c>
      <c r="V8813" s="3">
        <v>1.95E-2</v>
      </c>
      <c r="W8813" s="3">
        <v>2.1399999999999999E-2</v>
      </c>
    </row>
    <row r="8814" spans="1:24">
      <c r="A8814" t="s">
        <v>195</v>
      </c>
      <c r="B8814" t="s">
        <v>204</v>
      </c>
      <c r="C8814">
        <v>301</v>
      </c>
      <c r="D8814" t="s">
        <v>194</v>
      </c>
      <c r="E8814">
        <v>2674</v>
      </c>
      <c r="F8814" s="3">
        <v>0.1095</v>
      </c>
      <c r="G8814" s="3">
        <v>5.9999999999999995E-4</v>
      </c>
      <c r="H8814" s="3">
        <v>0.40489999999999998</v>
      </c>
      <c r="I8814" s="3">
        <v>1.3299999999999999E-2</v>
      </c>
      <c r="K8814" s="3">
        <v>0.15820000000000001</v>
      </c>
      <c r="L8814" s="3">
        <v>6.1899999999999997E-2</v>
      </c>
      <c r="M8814" s="3">
        <v>5.3E-3</v>
      </c>
      <c r="N8814" s="3">
        <v>1.06E-2</v>
      </c>
      <c r="O8814" s="3">
        <v>0.18</v>
      </c>
      <c r="P8814" s="3">
        <v>0.1552</v>
      </c>
      <c r="Q8814" s="3">
        <v>1.32E-2</v>
      </c>
      <c r="R8814" s="3">
        <v>2.3099999999999999E-2</v>
      </c>
      <c r="S8814" s="3">
        <v>2.8E-3</v>
      </c>
      <c r="T8814" s="3">
        <v>3.4500000000000003E-2</v>
      </c>
      <c r="U8814" s="3">
        <v>0.15440000000000001</v>
      </c>
      <c r="V8814" s="3">
        <v>2.1499999999999998E-2</v>
      </c>
      <c r="W8814" s="3">
        <v>4.7800000000000002E-2</v>
      </c>
      <c r="X8814" s="3">
        <v>4.0000000000000002E-4</v>
      </c>
    </row>
    <row r="8815" spans="1:24">
      <c r="A8815" t="s">
        <v>195</v>
      </c>
      <c r="B8815" t="s">
        <v>205</v>
      </c>
      <c r="C8815">
        <v>333</v>
      </c>
      <c r="D8815" t="s">
        <v>194</v>
      </c>
      <c r="E8815">
        <v>2674</v>
      </c>
      <c r="F8815" s="3">
        <v>1.9300000000000001E-2</v>
      </c>
      <c r="G8815" s="3">
        <v>5.4999999999999997E-3</v>
      </c>
      <c r="H8815" s="3">
        <v>0.6784</v>
      </c>
      <c r="I8815" s="3">
        <v>5.0000000000000001E-4</v>
      </c>
      <c r="K8815" s="3">
        <v>0.13600000000000001</v>
      </c>
      <c r="L8815" s="3">
        <v>1.5800000000000002E-2</v>
      </c>
      <c r="M8815" s="3">
        <v>4.2900000000000001E-2</v>
      </c>
      <c r="N8815" s="3">
        <v>1.6199999999999999E-2</v>
      </c>
      <c r="O8815" s="3">
        <v>9.7199999999999995E-2</v>
      </c>
      <c r="P8815" s="3">
        <v>0.1384</v>
      </c>
      <c r="Q8815" s="3">
        <v>1.0699999999999999E-2</v>
      </c>
      <c r="R8815" s="3">
        <v>4.1000000000000003E-3</v>
      </c>
      <c r="S8815" s="3">
        <v>5.7999999999999996E-3</v>
      </c>
      <c r="T8815" s="3">
        <v>1.1000000000000001E-3</v>
      </c>
      <c r="U8815" s="3">
        <v>5.0799999999999998E-2</v>
      </c>
      <c r="V8815" s="3">
        <v>1.38E-2</v>
      </c>
      <c r="W8815" s="3">
        <v>2.2100000000000002E-2</v>
      </c>
    </row>
    <row r="8816" spans="1:24">
      <c r="A8816" t="s">
        <v>199</v>
      </c>
      <c r="B8816" t="s">
        <v>202</v>
      </c>
      <c r="C8816">
        <v>537</v>
      </c>
      <c r="D8816" t="s">
        <v>194</v>
      </c>
      <c r="E8816">
        <v>2674</v>
      </c>
      <c r="F8816" s="3">
        <v>0.55840000000000001</v>
      </c>
      <c r="G8816" s="3">
        <v>3.3000000000000002E-2</v>
      </c>
      <c r="H8816" s="3">
        <v>0.25140000000000001</v>
      </c>
      <c r="J8816" s="3">
        <v>1E-4</v>
      </c>
      <c r="K8816" s="3">
        <v>5.3100000000000001E-2</v>
      </c>
      <c r="L8816" s="3">
        <v>1.9E-3</v>
      </c>
      <c r="O8816" s="3">
        <v>7.0000000000000007E-2</v>
      </c>
      <c r="P8816" s="3">
        <v>8.6900000000000005E-2</v>
      </c>
      <c r="Q8816" s="3">
        <v>2.3999999999999998E-3</v>
      </c>
      <c r="R8816" s="3">
        <v>2.0000000000000001E-4</v>
      </c>
      <c r="U8816" s="3">
        <v>4.0500000000000001E-2</v>
      </c>
      <c r="V8816" s="3">
        <v>2.0999999999999999E-3</v>
      </c>
      <c r="W8816" s="3">
        <v>2.3999999999999998E-3</v>
      </c>
      <c r="X8816" s="3">
        <v>6.9999999999999999E-4</v>
      </c>
    </row>
    <row r="8817" spans="1:24">
      <c r="A8817" t="s">
        <v>199</v>
      </c>
      <c r="B8817" t="s">
        <v>204</v>
      </c>
      <c r="C8817">
        <v>426</v>
      </c>
      <c r="D8817" t="s">
        <v>194</v>
      </c>
      <c r="E8817">
        <v>2674</v>
      </c>
      <c r="F8817" s="3">
        <v>0.4607</v>
      </c>
      <c r="G8817" s="3">
        <v>6.1000000000000004E-3</v>
      </c>
      <c r="H8817" s="3">
        <v>0.29170000000000001</v>
      </c>
      <c r="K8817" s="3">
        <v>8.6199999999999999E-2</v>
      </c>
      <c r="L8817" s="3">
        <v>2.1399999999999999E-2</v>
      </c>
      <c r="M8817" s="3">
        <v>2.7000000000000001E-3</v>
      </c>
      <c r="N8817" s="3">
        <v>1.01E-2</v>
      </c>
      <c r="O8817" s="3">
        <v>0.1062</v>
      </c>
      <c r="P8817" s="3">
        <v>0.09</v>
      </c>
      <c r="Q8817" s="3">
        <v>1E-4</v>
      </c>
      <c r="R8817" s="3">
        <v>3.3999999999999998E-3</v>
      </c>
      <c r="T8817" s="3">
        <v>5.9999999999999995E-4</v>
      </c>
      <c r="U8817" s="3">
        <v>8.0699999999999994E-2</v>
      </c>
      <c r="V8817" s="3">
        <v>1.6299999999999999E-2</v>
      </c>
      <c r="W8817" s="3">
        <v>1.0500000000000001E-2</v>
      </c>
      <c r="X8817" s="3">
        <v>3.5999999999999999E-3</v>
      </c>
    </row>
    <row r="8818" spans="1:24">
      <c r="A8818" t="s">
        <v>199</v>
      </c>
      <c r="B8818" t="s">
        <v>205</v>
      </c>
      <c r="C8818">
        <v>505</v>
      </c>
      <c r="D8818" t="s">
        <v>194</v>
      </c>
      <c r="E8818">
        <v>2674</v>
      </c>
      <c r="F8818" s="3">
        <v>0.31290000000000001</v>
      </c>
      <c r="G8818" s="3">
        <v>2.98E-2</v>
      </c>
      <c r="H8818" s="3">
        <v>0.38269999999999998</v>
      </c>
      <c r="I8818" s="3">
        <v>8.0000000000000004E-4</v>
      </c>
      <c r="K8818" s="3">
        <v>7.6999999999999999E-2</v>
      </c>
      <c r="L8818" s="3">
        <v>6.9999999999999999E-4</v>
      </c>
      <c r="M8818" s="3">
        <v>3.0000000000000001E-3</v>
      </c>
      <c r="N8818" s="3">
        <v>3.7699999999999997E-2</v>
      </c>
      <c r="O8818" s="3">
        <v>6.2300000000000001E-2</v>
      </c>
      <c r="P8818" s="3">
        <v>0.13100000000000001</v>
      </c>
      <c r="Q8818" s="3">
        <v>1.5E-3</v>
      </c>
      <c r="S8818" s="3">
        <v>2.8000000000000001E-2</v>
      </c>
      <c r="T8818" s="3">
        <v>3.5000000000000001E-3</v>
      </c>
      <c r="U8818" s="3">
        <v>6.2300000000000001E-2</v>
      </c>
      <c r="V8818" s="3">
        <v>2.5000000000000001E-2</v>
      </c>
      <c r="W8818" s="3">
        <v>3.7499999999999999E-2</v>
      </c>
      <c r="X8818" s="3">
        <v>2.0000000000000001E-4</v>
      </c>
    </row>
    <row r="8819" spans="1:24">
      <c r="A8819" t="s">
        <v>200</v>
      </c>
      <c r="B8819" t="s">
        <v>200</v>
      </c>
      <c r="C8819">
        <v>2674</v>
      </c>
      <c r="D8819" t="s">
        <v>200</v>
      </c>
      <c r="E8819">
        <v>2674</v>
      </c>
      <c r="F8819" s="3">
        <v>0.31409999999999999</v>
      </c>
      <c r="G8819" s="3">
        <v>2.35E-2</v>
      </c>
      <c r="H8819" s="3">
        <v>0.36499999999999999</v>
      </c>
      <c r="I8819" s="3">
        <v>1.4E-3</v>
      </c>
      <c r="J8819" s="3">
        <v>2.3999999999999998E-3</v>
      </c>
      <c r="K8819" s="3">
        <v>0.1181</v>
      </c>
      <c r="L8819" s="3">
        <v>2.52E-2</v>
      </c>
      <c r="M8819" s="3">
        <v>5.3E-3</v>
      </c>
      <c r="N8819" s="3">
        <v>7.1999999999999998E-3</v>
      </c>
      <c r="O8819" s="3">
        <v>0.1085</v>
      </c>
      <c r="P8819" s="3">
        <v>0.1176</v>
      </c>
      <c r="Q8819" s="3">
        <v>3.8E-3</v>
      </c>
      <c r="R8819" s="3">
        <v>4.3E-3</v>
      </c>
      <c r="S8819" s="3">
        <v>3.2000000000000002E-3</v>
      </c>
      <c r="T8819" s="3">
        <v>9.7999999999999997E-3</v>
      </c>
      <c r="U8819" s="3">
        <v>7.1400000000000005E-2</v>
      </c>
      <c r="V8819" s="3">
        <v>1.3299999999999999E-2</v>
      </c>
      <c r="W8819" s="3">
        <v>1.7500000000000002E-2</v>
      </c>
      <c r="X8819" s="3">
        <v>6.9999999999999999E-4</v>
      </c>
    </row>
    <row r="8821" spans="1:24" ht="45">
      <c r="A8821" s="22" t="s">
        <v>1748</v>
      </c>
    </row>
    <row r="8822" spans="1:24">
      <c r="A8822" t="s">
        <v>185</v>
      </c>
      <c r="B8822" t="s">
        <v>186</v>
      </c>
      <c r="C8822" t="s">
        <v>192</v>
      </c>
      <c r="D8822" t="s">
        <v>184</v>
      </c>
      <c r="E8822" t="s">
        <v>193</v>
      </c>
      <c r="F8822" t="s">
        <v>1730</v>
      </c>
      <c r="G8822" t="s">
        <v>570</v>
      </c>
      <c r="H8822" t="s">
        <v>329</v>
      </c>
      <c r="I8822" t="s">
        <v>274</v>
      </c>
      <c r="J8822" t="s">
        <v>247</v>
      </c>
      <c r="K8822" t="s">
        <v>1731</v>
      </c>
      <c r="L8822" t="s">
        <v>1732</v>
      </c>
      <c r="M8822" t="s">
        <v>1733</v>
      </c>
      <c r="N8822" t="s">
        <v>1734</v>
      </c>
      <c r="O8822" t="s">
        <v>1735</v>
      </c>
      <c r="P8822" t="s">
        <v>1736</v>
      </c>
      <c r="Q8822" t="s">
        <v>1737</v>
      </c>
      <c r="R8822" t="s">
        <v>1738</v>
      </c>
      <c r="S8822" t="s">
        <v>1739</v>
      </c>
      <c r="T8822" t="s">
        <v>1740</v>
      </c>
      <c r="U8822" t="s">
        <v>1741</v>
      </c>
      <c r="V8822" t="s">
        <v>1742</v>
      </c>
      <c r="W8822" t="s">
        <v>1743</v>
      </c>
      <c r="X8822" t="s">
        <v>1744</v>
      </c>
    </row>
    <row r="8823" spans="1:24">
      <c r="A8823" t="s">
        <v>195</v>
      </c>
      <c r="B8823" t="s">
        <v>207</v>
      </c>
      <c r="C8823">
        <v>322</v>
      </c>
      <c r="D8823" t="s">
        <v>194</v>
      </c>
      <c r="E8823">
        <v>2674</v>
      </c>
      <c r="F8823" s="3">
        <v>5.0099999999999999E-2</v>
      </c>
      <c r="G8823" s="3">
        <v>1.18E-2</v>
      </c>
      <c r="H8823" s="3">
        <v>0.47439999999999999</v>
      </c>
      <c r="I8823" s="3">
        <v>7.6E-3</v>
      </c>
      <c r="K8823" s="3">
        <v>0.2248</v>
      </c>
      <c r="L8823" s="3">
        <v>4.36E-2</v>
      </c>
      <c r="M8823" s="3">
        <v>3.5000000000000003E-2</v>
      </c>
      <c r="N8823" s="3">
        <v>8.6999999999999994E-3</v>
      </c>
      <c r="O8823" s="3">
        <v>0.20330000000000001</v>
      </c>
      <c r="P8823" s="3">
        <v>0.1983</v>
      </c>
      <c r="Q8823" s="3">
        <v>1.11E-2</v>
      </c>
      <c r="S8823" s="3">
        <v>2E-3</v>
      </c>
      <c r="T8823" s="3">
        <v>1.03E-2</v>
      </c>
      <c r="U8823" s="3">
        <v>5.74E-2</v>
      </c>
      <c r="V8823" s="3">
        <v>2.46E-2</v>
      </c>
      <c r="W8823" s="3">
        <v>2.46E-2</v>
      </c>
      <c r="X8823" s="3">
        <v>2.9999999999999997E-4</v>
      </c>
    </row>
    <row r="8824" spans="1:24">
      <c r="A8824" t="s">
        <v>195</v>
      </c>
      <c r="B8824" t="s">
        <v>209</v>
      </c>
      <c r="C8824">
        <v>866</v>
      </c>
      <c r="D8824" t="s">
        <v>194</v>
      </c>
      <c r="E8824">
        <v>2674</v>
      </c>
      <c r="F8824" s="3">
        <v>9.6600000000000005E-2</v>
      </c>
      <c r="G8824" s="3">
        <v>2.1399999999999999E-2</v>
      </c>
      <c r="H8824" s="3">
        <v>0.46629999999999999</v>
      </c>
      <c r="I8824" s="3">
        <v>1.2999999999999999E-3</v>
      </c>
      <c r="J8824" s="3">
        <v>7.1000000000000004E-3</v>
      </c>
      <c r="K8824" s="3">
        <v>0.1731</v>
      </c>
      <c r="L8824" s="3">
        <v>5.21E-2</v>
      </c>
      <c r="M8824" s="3">
        <v>2.0999999999999999E-3</v>
      </c>
      <c r="N8824" s="3">
        <v>4.7000000000000002E-3</v>
      </c>
      <c r="O8824" s="3">
        <v>0.13109999999999999</v>
      </c>
      <c r="P8824" s="3">
        <v>0.12809999999999999</v>
      </c>
      <c r="Q8824" s="3">
        <v>4.7999999999999996E-3</v>
      </c>
      <c r="R8824" s="3">
        <v>1.1599999999999999E-2</v>
      </c>
      <c r="S8824" s="3">
        <v>1.1999999999999999E-3</v>
      </c>
      <c r="T8824" s="3">
        <v>2.4799999999999999E-2</v>
      </c>
      <c r="U8824" s="3">
        <v>0.1091</v>
      </c>
      <c r="V8824" s="3">
        <v>1.7100000000000001E-2</v>
      </c>
      <c r="W8824" s="3">
        <v>2.7799999999999998E-2</v>
      </c>
    </row>
    <row r="8825" spans="1:24">
      <c r="A8825" t="s">
        <v>199</v>
      </c>
      <c r="B8825" t="s">
        <v>207</v>
      </c>
      <c r="C8825">
        <v>283</v>
      </c>
      <c r="D8825" t="s">
        <v>194</v>
      </c>
      <c r="E8825">
        <v>2674</v>
      </c>
      <c r="F8825" s="3">
        <v>0.29609999999999997</v>
      </c>
      <c r="G8825" s="3">
        <v>8.8000000000000005E-3</v>
      </c>
      <c r="H8825" s="3">
        <v>0.308</v>
      </c>
      <c r="J8825" s="3">
        <v>5.9999999999999995E-4</v>
      </c>
      <c r="K8825" s="3">
        <v>0.13220000000000001</v>
      </c>
      <c r="L8825" s="3">
        <v>1.83E-2</v>
      </c>
      <c r="M8825" s="3">
        <v>6.4000000000000003E-3</v>
      </c>
      <c r="N8825" s="3">
        <v>2.3E-3</v>
      </c>
      <c r="O8825" s="3">
        <v>0.1741</v>
      </c>
      <c r="P8825" s="3">
        <v>0.16889999999999999</v>
      </c>
      <c r="Q8825" s="3">
        <v>1.1999999999999999E-3</v>
      </c>
      <c r="S8825" s="3">
        <v>2.0999999999999999E-3</v>
      </c>
      <c r="T8825" s="3">
        <v>2.8999999999999998E-3</v>
      </c>
      <c r="U8825" s="3">
        <v>7.8899999999999998E-2</v>
      </c>
      <c r="V8825" s="3">
        <v>8.2000000000000007E-3</v>
      </c>
      <c r="W8825" s="3">
        <v>1.21E-2</v>
      </c>
      <c r="X8825" s="3">
        <v>2.9999999999999997E-4</v>
      </c>
    </row>
    <row r="8826" spans="1:24">
      <c r="A8826" t="s">
        <v>199</v>
      </c>
      <c r="B8826" t="s">
        <v>209</v>
      </c>
      <c r="C8826">
        <v>1203</v>
      </c>
      <c r="D8826" t="s">
        <v>194</v>
      </c>
      <c r="E8826">
        <v>2674</v>
      </c>
      <c r="F8826" s="3">
        <v>0.5252</v>
      </c>
      <c r="G8826" s="3">
        <v>2.9700000000000001E-2</v>
      </c>
      <c r="H8826" s="3">
        <v>0.2787</v>
      </c>
      <c r="I8826" s="3">
        <v>1E-4</v>
      </c>
      <c r="K8826" s="3">
        <v>5.3999999999999999E-2</v>
      </c>
      <c r="L8826" s="3">
        <v>3.7000000000000002E-3</v>
      </c>
      <c r="M8826" s="3">
        <v>2.9999999999999997E-4</v>
      </c>
      <c r="N8826" s="3">
        <v>9.1999999999999998E-3</v>
      </c>
      <c r="O8826" s="3">
        <v>6.2E-2</v>
      </c>
      <c r="P8826" s="3">
        <v>8.4599999999999995E-2</v>
      </c>
      <c r="Q8826" s="3">
        <v>1.9E-3</v>
      </c>
      <c r="R8826" s="3">
        <v>8.9999999999999998E-4</v>
      </c>
      <c r="S8826" s="3">
        <v>5.1000000000000004E-3</v>
      </c>
      <c r="T8826" s="3">
        <v>4.0000000000000002E-4</v>
      </c>
      <c r="U8826" s="3">
        <v>4.82E-2</v>
      </c>
      <c r="V8826" s="3">
        <v>8.8000000000000005E-3</v>
      </c>
      <c r="W8826" s="3">
        <v>9.5999999999999992E-3</v>
      </c>
      <c r="X8826" s="3">
        <v>1.2999999999999999E-3</v>
      </c>
    </row>
    <row r="8827" spans="1:24">
      <c r="A8827" t="s">
        <v>200</v>
      </c>
      <c r="B8827" t="s">
        <v>200</v>
      </c>
      <c r="C8827">
        <v>2674</v>
      </c>
      <c r="D8827" t="s">
        <v>200</v>
      </c>
      <c r="E8827">
        <v>2674</v>
      </c>
      <c r="F8827" s="3">
        <v>0.31409999999999999</v>
      </c>
      <c r="G8827" s="3">
        <v>2.35E-2</v>
      </c>
      <c r="H8827" s="3">
        <v>0.36499999999999999</v>
      </c>
      <c r="I8827" s="3">
        <v>1.4E-3</v>
      </c>
      <c r="J8827" s="3">
        <v>2.3999999999999998E-3</v>
      </c>
      <c r="K8827" s="3">
        <v>0.1181</v>
      </c>
      <c r="L8827" s="3">
        <v>2.52E-2</v>
      </c>
      <c r="M8827" s="3">
        <v>5.3E-3</v>
      </c>
      <c r="N8827" s="3">
        <v>7.1999999999999998E-3</v>
      </c>
      <c r="O8827" s="3">
        <v>0.1085</v>
      </c>
      <c r="P8827" s="3">
        <v>0.1176</v>
      </c>
      <c r="Q8827" s="3">
        <v>3.8E-3</v>
      </c>
      <c r="R8827" s="3">
        <v>4.3E-3</v>
      </c>
      <c r="S8827" s="3">
        <v>3.2000000000000002E-3</v>
      </c>
      <c r="T8827" s="3">
        <v>9.7999999999999997E-3</v>
      </c>
      <c r="U8827" s="3">
        <v>7.1400000000000005E-2</v>
      </c>
      <c r="V8827" s="3">
        <v>1.3299999999999999E-2</v>
      </c>
      <c r="W8827" s="3">
        <v>1.7500000000000002E-2</v>
      </c>
      <c r="X8827" s="3">
        <v>6.9999999999999999E-4</v>
      </c>
    </row>
    <row r="8829" spans="1:24" ht="45">
      <c r="A8829" s="22" t="s">
        <v>1749</v>
      </c>
    </row>
    <row r="8830" spans="1:24">
      <c r="A8830" t="s">
        <v>185</v>
      </c>
      <c r="B8830" t="s">
        <v>192</v>
      </c>
      <c r="C8830" t="s">
        <v>184</v>
      </c>
      <c r="D8830" t="s">
        <v>193</v>
      </c>
      <c r="E8830" t="s">
        <v>1730</v>
      </c>
      <c r="F8830" t="s">
        <v>570</v>
      </c>
      <c r="G8830" t="s">
        <v>329</v>
      </c>
      <c r="H8830" t="s">
        <v>274</v>
      </c>
      <c r="I8830" t="s">
        <v>247</v>
      </c>
      <c r="J8830" t="s">
        <v>1731</v>
      </c>
      <c r="K8830" t="s">
        <v>1732</v>
      </c>
      <c r="L8830" t="s">
        <v>1733</v>
      </c>
      <c r="M8830" t="s">
        <v>1734</v>
      </c>
      <c r="N8830" t="s">
        <v>1735</v>
      </c>
      <c r="O8830" t="s">
        <v>1736</v>
      </c>
      <c r="P8830" t="s">
        <v>1737</v>
      </c>
      <c r="Q8830" t="s">
        <v>1738</v>
      </c>
      <c r="R8830" t="s">
        <v>1739</v>
      </c>
      <c r="S8830" t="s">
        <v>1740</v>
      </c>
      <c r="T8830" t="s">
        <v>1741</v>
      </c>
      <c r="U8830" t="s">
        <v>1742</v>
      </c>
      <c r="V8830" t="s">
        <v>1743</v>
      </c>
      <c r="W8830" t="s">
        <v>1744</v>
      </c>
    </row>
    <row r="8831" spans="1:24">
      <c r="A8831" t="s">
        <v>195</v>
      </c>
      <c r="B8831">
        <v>1188</v>
      </c>
      <c r="C8831" t="s">
        <v>194</v>
      </c>
      <c r="D8831">
        <v>2674</v>
      </c>
      <c r="E8831" s="3">
        <v>8.4599999999999995E-2</v>
      </c>
      <c r="F8831" s="3">
        <v>1.9E-2</v>
      </c>
      <c r="G8831" s="3">
        <v>0.46839999999999998</v>
      </c>
      <c r="H8831" s="3">
        <v>2.8999999999999998E-3</v>
      </c>
      <c r="I8831" s="3">
        <v>5.1999999999999998E-3</v>
      </c>
      <c r="J8831" s="3">
        <v>0.18640000000000001</v>
      </c>
      <c r="K8831" s="3">
        <v>4.99E-2</v>
      </c>
      <c r="L8831" s="3">
        <v>1.06E-2</v>
      </c>
      <c r="M8831" s="3">
        <v>5.7000000000000002E-3</v>
      </c>
      <c r="N8831" s="3">
        <v>0.1497</v>
      </c>
      <c r="O8831" s="3">
        <v>0.1462</v>
      </c>
      <c r="P8831" s="3">
        <v>6.4000000000000003E-3</v>
      </c>
      <c r="Q8831" s="3">
        <v>8.6E-3</v>
      </c>
      <c r="R8831" s="3">
        <v>1.4E-3</v>
      </c>
      <c r="S8831" s="3">
        <v>2.1100000000000001E-2</v>
      </c>
      <c r="T8831" s="3">
        <v>9.5799999999999996E-2</v>
      </c>
      <c r="U8831" s="3">
        <v>1.9E-2</v>
      </c>
      <c r="V8831" s="3">
        <v>2.7E-2</v>
      </c>
      <c r="W8831" s="3">
        <v>1E-4</v>
      </c>
    </row>
    <row r="8832" spans="1:24">
      <c r="A8832" t="s">
        <v>199</v>
      </c>
      <c r="B8832">
        <v>1486</v>
      </c>
      <c r="C8832" t="s">
        <v>194</v>
      </c>
      <c r="D8832">
        <v>2674</v>
      </c>
      <c r="E8832" s="3">
        <v>0.49730000000000002</v>
      </c>
      <c r="F8832" s="3">
        <v>2.7199999999999998E-2</v>
      </c>
      <c r="G8832" s="3">
        <v>0.2823</v>
      </c>
      <c r="H8832" s="3">
        <v>1E-4</v>
      </c>
      <c r="I8832" s="3">
        <v>1E-4</v>
      </c>
      <c r="J8832" s="3">
        <v>6.3500000000000001E-2</v>
      </c>
      <c r="K8832" s="3">
        <v>5.4999999999999997E-3</v>
      </c>
      <c r="L8832" s="3">
        <v>1E-3</v>
      </c>
      <c r="M8832" s="3">
        <v>8.3000000000000001E-3</v>
      </c>
      <c r="N8832" s="3">
        <v>7.5600000000000001E-2</v>
      </c>
      <c r="O8832" s="3">
        <v>9.4799999999999995E-2</v>
      </c>
      <c r="P8832" s="3">
        <v>1.8E-3</v>
      </c>
      <c r="Q8832" s="3">
        <v>8.0000000000000004E-4</v>
      </c>
      <c r="R8832" s="3">
        <v>4.7000000000000002E-3</v>
      </c>
      <c r="S8832" s="3">
        <v>6.9999999999999999E-4</v>
      </c>
      <c r="T8832" s="3">
        <v>5.1900000000000002E-2</v>
      </c>
      <c r="U8832" s="3">
        <v>8.6999999999999994E-3</v>
      </c>
      <c r="V8832" s="3">
        <v>9.9000000000000008E-3</v>
      </c>
      <c r="W8832" s="3">
        <v>1.1999999999999999E-3</v>
      </c>
    </row>
    <row r="8833" spans="1:24">
      <c r="A8833" t="s">
        <v>200</v>
      </c>
      <c r="B8833">
        <v>2674</v>
      </c>
      <c r="C8833" t="s">
        <v>200</v>
      </c>
      <c r="D8833">
        <v>2674</v>
      </c>
      <c r="E8833" s="3">
        <v>0.31409999999999999</v>
      </c>
      <c r="F8833" s="3">
        <v>2.35E-2</v>
      </c>
      <c r="G8833" s="3">
        <v>0.36499999999999999</v>
      </c>
      <c r="H8833" s="3">
        <v>1.4E-3</v>
      </c>
      <c r="I8833" s="3">
        <v>2.3999999999999998E-3</v>
      </c>
      <c r="J8833" s="3">
        <v>0.1181</v>
      </c>
      <c r="K8833" s="3">
        <v>2.52E-2</v>
      </c>
      <c r="L8833" s="3">
        <v>5.3E-3</v>
      </c>
      <c r="M8833" s="3">
        <v>7.1999999999999998E-3</v>
      </c>
      <c r="N8833" s="3">
        <v>0.1085</v>
      </c>
      <c r="O8833" s="3">
        <v>0.1176</v>
      </c>
      <c r="P8833" s="3">
        <v>3.8E-3</v>
      </c>
      <c r="Q8833" s="3">
        <v>4.3E-3</v>
      </c>
      <c r="R8833" s="3">
        <v>3.2000000000000002E-3</v>
      </c>
      <c r="S8833" s="3">
        <v>9.7999999999999997E-3</v>
      </c>
      <c r="T8833" s="3">
        <v>7.1400000000000005E-2</v>
      </c>
      <c r="U8833" s="3">
        <v>1.3299999999999999E-2</v>
      </c>
      <c r="V8833" s="3">
        <v>1.7500000000000002E-2</v>
      </c>
      <c r="W8833" s="3">
        <v>6.9999999999999999E-4</v>
      </c>
    </row>
    <row r="8835" spans="1:24" ht="30">
      <c r="A8835" s="22" t="s">
        <v>1750</v>
      </c>
    </row>
    <row r="8836" spans="1:24">
      <c r="A8836" t="s">
        <v>185</v>
      </c>
      <c r="B8836" t="s">
        <v>186</v>
      </c>
      <c r="C8836" t="s">
        <v>192</v>
      </c>
      <c r="D8836" t="s">
        <v>184</v>
      </c>
      <c r="E8836" t="s">
        <v>193</v>
      </c>
      <c r="F8836" t="s">
        <v>1730</v>
      </c>
      <c r="G8836" t="s">
        <v>570</v>
      </c>
      <c r="H8836" t="s">
        <v>329</v>
      </c>
      <c r="I8836" t="s">
        <v>274</v>
      </c>
      <c r="J8836" t="s">
        <v>247</v>
      </c>
      <c r="K8836" t="s">
        <v>1731</v>
      </c>
      <c r="L8836" t="s">
        <v>1732</v>
      </c>
      <c r="M8836" t="s">
        <v>1733</v>
      </c>
      <c r="N8836" t="s">
        <v>1734</v>
      </c>
      <c r="O8836" t="s">
        <v>1735</v>
      </c>
      <c r="P8836" t="s">
        <v>1736</v>
      </c>
      <c r="Q8836" t="s">
        <v>1737</v>
      </c>
      <c r="R8836" t="s">
        <v>1738</v>
      </c>
      <c r="S8836" t="s">
        <v>1739</v>
      </c>
      <c r="T8836" t="s">
        <v>1740</v>
      </c>
      <c r="U8836" t="s">
        <v>1741</v>
      </c>
      <c r="V8836" t="s">
        <v>1742</v>
      </c>
      <c r="W8836" t="s">
        <v>1743</v>
      </c>
      <c r="X8836" t="s">
        <v>1744</v>
      </c>
    </row>
    <row r="8837" spans="1:24">
      <c r="A8837" t="s">
        <v>195</v>
      </c>
      <c r="B8837" t="s">
        <v>212</v>
      </c>
      <c r="C8837">
        <v>873</v>
      </c>
      <c r="D8837" t="s">
        <v>194</v>
      </c>
      <c r="E8837">
        <v>2674</v>
      </c>
      <c r="F8837" s="3">
        <v>7.0800000000000002E-2</v>
      </c>
      <c r="G8837" s="3">
        <v>1.6500000000000001E-2</v>
      </c>
      <c r="H8837" s="3">
        <v>0.4415</v>
      </c>
      <c r="I8837" s="3">
        <v>3.8E-3</v>
      </c>
      <c r="J8837" s="3">
        <v>7.0000000000000001E-3</v>
      </c>
      <c r="K8837" s="3">
        <v>0.2059</v>
      </c>
      <c r="L8837" s="3">
        <v>5.7599999999999998E-2</v>
      </c>
      <c r="M8837" s="3">
        <v>1.01E-2</v>
      </c>
      <c r="N8837" s="3">
        <v>5.5999999999999999E-3</v>
      </c>
      <c r="O8837" s="3">
        <v>0.15740000000000001</v>
      </c>
      <c r="P8837" s="3">
        <v>0.1537</v>
      </c>
      <c r="Q8837" s="3">
        <v>6.0000000000000001E-3</v>
      </c>
      <c r="R8837" s="3">
        <v>1.14E-2</v>
      </c>
      <c r="S8837" s="3">
        <v>1.4E-3</v>
      </c>
      <c r="T8837" s="3">
        <v>2.18E-2</v>
      </c>
      <c r="U8837" s="3">
        <v>0.1067</v>
      </c>
      <c r="V8837" s="3">
        <v>1.7100000000000001E-2</v>
      </c>
      <c r="W8837" s="3">
        <v>2.8899999999999999E-2</v>
      </c>
    </row>
    <row r="8838" spans="1:24">
      <c r="A8838" t="s">
        <v>195</v>
      </c>
      <c r="B8838" t="s">
        <v>214</v>
      </c>
      <c r="C8838">
        <v>181</v>
      </c>
      <c r="D8838" t="s">
        <v>194</v>
      </c>
      <c r="E8838">
        <v>2674</v>
      </c>
      <c r="F8838" s="3">
        <v>0.1406</v>
      </c>
      <c r="G8838" s="3">
        <v>3.4700000000000002E-2</v>
      </c>
      <c r="H8838" s="3">
        <v>0.54610000000000003</v>
      </c>
      <c r="K8838" s="3">
        <v>0.1167</v>
      </c>
      <c r="L8838" s="3">
        <v>2.5700000000000001E-2</v>
      </c>
      <c r="M8838" s="3">
        <v>1.43E-2</v>
      </c>
      <c r="N8838" s="3">
        <v>3.3E-3</v>
      </c>
      <c r="O8838" s="3">
        <v>0.12859999999999999</v>
      </c>
      <c r="P8838" s="3">
        <v>9.8599999999999993E-2</v>
      </c>
      <c r="Q8838" s="3">
        <v>2E-3</v>
      </c>
      <c r="T8838" s="3">
        <v>1.54E-2</v>
      </c>
      <c r="U8838" s="3">
        <v>7.7899999999999997E-2</v>
      </c>
      <c r="V8838" s="3">
        <v>2.1100000000000001E-2</v>
      </c>
      <c r="W8838" s="3">
        <v>2.3800000000000002E-2</v>
      </c>
      <c r="X8838" s="3">
        <v>5.0000000000000001E-4</v>
      </c>
    </row>
    <row r="8839" spans="1:24">
      <c r="A8839" t="s">
        <v>195</v>
      </c>
      <c r="B8839" t="s">
        <v>215</v>
      </c>
      <c r="C8839">
        <v>134</v>
      </c>
      <c r="D8839" t="s">
        <v>194</v>
      </c>
      <c r="E8839">
        <v>2674</v>
      </c>
      <c r="F8839" s="3">
        <v>9.8400000000000001E-2</v>
      </c>
      <c r="G8839" s="3">
        <v>1.01E-2</v>
      </c>
      <c r="H8839" s="3">
        <v>0.55779999999999996</v>
      </c>
      <c r="I8839" s="3">
        <v>8.0000000000000004E-4</v>
      </c>
      <c r="K8839" s="3">
        <v>0.14829999999999999</v>
      </c>
      <c r="L8839" s="3">
        <v>2.86E-2</v>
      </c>
      <c r="M8839" s="3">
        <v>7.3000000000000001E-3</v>
      </c>
      <c r="N8839" s="3">
        <v>1.14E-2</v>
      </c>
      <c r="O8839" s="3">
        <v>0.1222</v>
      </c>
      <c r="P8839" s="3">
        <v>0.17280000000000001</v>
      </c>
      <c r="Q8839" s="3">
        <v>1.8800000000000001E-2</v>
      </c>
      <c r="S8839" s="3">
        <v>3.8999999999999998E-3</v>
      </c>
      <c r="T8839" s="3">
        <v>2.58E-2</v>
      </c>
      <c r="U8839" s="3">
        <v>3.3300000000000003E-2</v>
      </c>
      <c r="V8839" s="3">
        <v>3.2099999999999997E-2</v>
      </c>
      <c r="W8839" s="3">
        <v>1.5699999999999999E-2</v>
      </c>
    </row>
    <row r="8840" spans="1:24">
      <c r="A8840" t="s">
        <v>199</v>
      </c>
      <c r="B8840" t="s">
        <v>212</v>
      </c>
      <c r="C8840">
        <v>1116</v>
      </c>
      <c r="D8840" t="s">
        <v>194</v>
      </c>
      <c r="E8840">
        <v>2674</v>
      </c>
      <c r="F8840" s="3">
        <v>0.52829999999999999</v>
      </c>
      <c r="G8840" s="3">
        <v>2.1000000000000001E-2</v>
      </c>
      <c r="H8840" s="3">
        <v>0.27260000000000001</v>
      </c>
      <c r="J8840" s="3">
        <v>1E-4</v>
      </c>
      <c r="K8840" s="3">
        <v>4.6300000000000001E-2</v>
      </c>
      <c r="L8840" s="3">
        <v>6.1000000000000004E-3</v>
      </c>
      <c r="M8840" s="3">
        <v>1E-3</v>
      </c>
      <c r="N8840" s="3">
        <v>1.09E-2</v>
      </c>
      <c r="O8840" s="3">
        <v>6.4799999999999996E-2</v>
      </c>
      <c r="P8840" s="3">
        <v>8.5900000000000004E-2</v>
      </c>
      <c r="Q8840" s="3">
        <v>5.9999999999999995E-4</v>
      </c>
      <c r="R8840" s="3">
        <v>1E-3</v>
      </c>
      <c r="S8840" s="3">
        <v>5.5999999999999999E-3</v>
      </c>
      <c r="T8840" s="3">
        <v>5.9999999999999995E-4</v>
      </c>
      <c r="U8840" s="3">
        <v>5.79E-2</v>
      </c>
      <c r="V8840" s="3">
        <v>9.5999999999999992E-3</v>
      </c>
      <c r="W8840" s="3">
        <v>7.3000000000000001E-3</v>
      </c>
      <c r="X8840" s="3">
        <v>1.5E-3</v>
      </c>
    </row>
    <row r="8841" spans="1:24">
      <c r="A8841" t="s">
        <v>199</v>
      </c>
      <c r="B8841" t="s">
        <v>214</v>
      </c>
      <c r="C8841">
        <v>197</v>
      </c>
      <c r="D8841" t="s">
        <v>194</v>
      </c>
      <c r="E8841">
        <v>2674</v>
      </c>
      <c r="F8841" s="3">
        <v>0.36670000000000003</v>
      </c>
      <c r="G8841" s="3">
        <v>6.6299999999999998E-2</v>
      </c>
      <c r="H8841" s="3">
        <v>0.3221</v>
      </c>
      <c r="I8841" s="3">
        <v>8.9999999999999998E-4</v>
      </c>
      <c r="K8841" s="3">
        <v>0.1178</v>
      </c>
      <c r="L8841" s="3">
        <v>3.8999999999999998E-3</v>
      </c>
      <c r="M8841" s="3">
        <v>1.8E-3</v>
      </c>
      <c r="O8841" s="3">
        <v>0.113</v>
      </c>
      <c r="P8841" s="3">
        <v>0.12230000000000001</v>
      </c>
      <c r="Q8841" s="3">
        <v>5.0000000000000001E-3</v>
      </c>
      <c r="S8841" s="3">
        <v>1.5E-3</v>
      </c>
      <c r="T8841" s="3">
        <v>8.9999999999999998E-4</v>
      </c>
      <c r="U8841" s="3">
        <v>2.1000000000000001E-2</v>
      </c>
      <c r="V8841" s="3">
        <v>2.7000000000000001E-3</v>
      </c>
      <c r="W8841" s="3">
        <v>2.5499999999999998E-2</v>
      </c>
    </row>
    <row r="8842" spans="1:24">
      <c r="A8842" t="s">
        <v>199</v>
      </c>
      <c r="B8842" t="s">
        <v>215</v>
      </c>
      <c r="C8842">
        <v>173</v>
      </c>
      <c r="D8842" t="s">
        <v>194</v>
      </c>
      <c r="E8842">
        <v>2674</v>
      </c>
      <c r="F8842" s="3">
        <v>0.45100000000000001</v>
      </c>
      <c r="G8842" s="3">
        <v>1.32E-2</v>
      </c>
      <c r="H8842" s="3">
        <v>0.29859999999999998</v>
      </c>
      <c r="K8842" s="3">
        <v>0.1217</v>
      </c>
      <c r="L8842" s="3">
        <v>2.7000000000000001E-3</v>
      </c>
      <c r="O8842" s="3">
        <v>0.10639999999999999</v>
      </c>
      <c r="P8842" s="3">
        <v>0.1263</v>
      </c>
      <c r="Q8842" s="3">
        <v>6.7000000000000002E-3</v>
      </c>
      <c r="S8842" s="3">
        <v>2.5999999999999999E-3</v>
      </c>
      <c r="T8842" s="3">
        <v>1.5E-3</v>
      </c>
      <c r="U8842" s="3">
        <v>5.3499999999999999E-2</v>
      </c>
      <c r="V8842" s="3">
        <v>1.2200000000000001E-2</v>
      </c>
      <c r="W8842" s="3">
        <v>5.4000000000000003E-3</v>
      </c>
    </row>
    <row r="8843" spans="1:24">
      <c r="A8843" t="s">
        <v>200</v>
      </c>
      <c r="B8843" t="s">
        <v>200</v>
      </c>
      <c r="C8843">
        <v>2674</v>
      </c>
      <c r="D8843" t="s">
        <v>200</v>
      </c>
      <c r="E8843">
        <v>2674</v>
      </c>
      <c r="F8843" s="3">
        <v>0.31409999999999999</v>
      </c>
      <c r="G8843" s="3">
        <v>2.35E-2</v>
      </c>
      <c r="H8843" s="3">
        <v>0.36499999999999999</v>
      </c>
      <c r="I8843" s="3">
        <v>1.4E-3</v>
      </c>
      <c r="J8843" s="3">
        <v>2.3999999999999998E-3</v>
      </c>
      <c r="K8843" s="3">
        <v>0.1181</v>
      </c>
      <c r="L8843" s="3">
        <v>2.52E-2</v>
      </c>
      <c r="M8843" s="3">
        <v>5.3E-3</v>
      </c>
      <c r="N8843" s="3">
        <v>7.1999999999999998E-3</v>
      </c>
      <c r="O8843" s="3">
        <v>0.1085</v>
      </c>
      <c r="P8843" s="3">
        <v>0.1176</v>
      </c>
      <c r="Q8843" s="3">
        <v>3.8E-3</v>
      </c>
      <c r="R8843" s="3">
        <v>4.3E-3</v>
      </c>
      <c r="S8843" s="3">
        <v>3.2000000000000002E-3</v>
      </c>
      <c r="T8843" s="3">
        <v>9.7999999999999997E-3</v>
      </c>
      <c r="U8843" s="3">
        <v>7.1400000000000005E-2</v>
      </c>
      <c r="V8843" s="3">
        <v>1.3299999999999999E-2</v>
      </c>
      <c r="W8843" s="3">
        <v>1.7500000000000002E-2</v>
      </c>
      <c r="X8843" s="3">
        <v>6.9999999999999999E-4</v>
      </c>
    </row>
    <row r="8845" spans="1:24" ht="45">
      <c r="A8845" s="22" t="s">
        <v>1751</v>
      </c>
    </row>
    <row r="8846" spans="1:24">
      <c r="A8846" t="s">
        <v>185</v>
      </c>
      <c r="B8846" t="s">
        <v>186</v>
      </c>
      <c r="C8846" t="s">
        <v>192</v>
      </c>
      <c r="D8846" t="s">
        <v>184</v>
      </c>
      <c r="E8846" t="s">
        <v>193</v>
      </c>
      <c r="F8846" t="s">
        <v>1730</v>
      </c>
      <c r="G8846" t="s">
        <v>570</v>
      </c>
      <c r="H8846" t="s">
        <v>329</v>
      </c>
      <c r="I8846" t="s">
        <v>274</v>
      </c>
      <c r="J8846" t="s">
        <v>247</v>
      </c>
      <c r="K8846" t="s">
        <v>1731</v>
      </c>
      <c r="L8846" t="s">
        <v>1732</v>
      </c>
      <c r="M8846" t="s">
        <v>1733</v>
      </c>
      <c r="N8846" t="s">
        <v>1734</v>
      </c>
      <c r="O8846" t="s">
        <v>1735</v>
      </c>
      <c r="P8846" t="s">
        <v>1736</v>
      </c>
      <c r="Q8846" t="s">
        <v>1737</v>
      </c>
      <c r="R8846" t="s">
        <v>1738</v>
      </c>
      <c r="S8846" t="s">
        <v>1739</v>
      </c>
      <c r="T8846" t="s">
        <v>1740</v>
      </c>
      <c r="U8846" t="s">
        <v>1741</v>
      </c>
      <c r="V8846" t="s">
        <v>1742</v>
      </c>
      <c r="W8846" t="s">
        <v>1743</v>
      </c>
      <c r="X8846" t="s">
        <v>1744</v>
      </c>
    </row>
    <row r="8847" spans="1:24">
      <c r="A8847" t="s">
        <v>195</v>
      </c>
      <c r="B8847" t="s">
        <v>217</v>
      </c>
      <c r="C8847">
        <v>498</v>
      </c>
      <c r="D8847" t="s">
        <v>194</v>
      </c>
      <c r="E8847">
        <v>2674</v>
      </c>
      <c r="F8847" s="3">
        <v>6.5799999999999997E-2</v>
      </c>
      <c r="G8847" s="3">
        <v>2.4E-2</v>
      </c>
      <c r="H8847" s="3">
        <v>0.48470000000000002</v>
      </c>
      <c r="I8847" s="3">
        <v>2.3E-3</v>
      </c>
      <c r="K8847" s="3">
        <v>0.19639999999999999</v>
      </c>
      <c r="L8847" s="3">
        <v>5.0799999999999998E-2</v>
      </c>
      <c r="M8847" s="3">
        <v>1.2E-2</v>
      </c>
      <c r="N8847" s="3">
        <v>4.7999999999999996E-3</v>
      </c>
      <c r="O8847" s="3">
        <v>0.14510000000000001</v>
      </c>
      <c r="P8847" s="3">
        <v>0.15820000000000001</v>
      </c>
      <c r="Q8847" s="3">
        <v>1.5E-3</v>
      </c>
      <c r="R8847" s="3">
        <v>4.7000000000000002E-3</v>
      </c>
      <c r="S8847" s="3">
        <v>1.6000000000000001E-3</v>
      </c>
      <c r="T8847" s="3">
        <v>5.5999999999999999E-3</v>
      </c>
      <c r="U8847" s="3">
        <v>8.7900000000000006E-2</v>
      </c>
      <c r="V8847" s="3">
        <v>1.6199999999999999E-2</v>
      </c>
      <c r="W8847" s="3">
        <v>1.6899999999999998E-2</v>
      </c>
    </row>
    <row r="8848" spans="1:24">
      <c r="A8848" t="s">
        <v>195</v>
      </c>
      <c r="B8848" t="s">
        <v>219</v>
      </c>
      <c r="C8848">
        <v>507</v>
      </c>
      <c r="D8848" t="s">
        <v>194</v>
      </c>
      <c r="E8848">
        <v>2674</v>
      </c>
      <c r="F8848" s="3">
        <v>7.3200000000000001E-2</v>
      </c>
      <c r="G8848" s="3">
        <v>1.84E-2</v>
      </c>
      <c r="H8848" s="3">
        <v>0.48699999999999999</v>
      </c>
      <c r="I8848" s="3">
        <v>4.8999999999999998E-3</v>
      </c>
      <c r="K8848" s="3">
        <v>0.16830000000000001</v>
      </c>
      <c r="L8848" s="3">
        <v>5.5E-2</v>
      </c>
      <c r="M8848" s="3">
        <v>1.24E-2</v>
      </c>
      <c r="N8848" s="3">
        <v>3.3999999999999998E-3</v>
      </c>
      <c r="O8848" s="3">
        <v>0.124</v>
      </c>
      <c r="P8848" s="3">
        <v>0.1255</v>
      </c>
      <c r="Q8848" s="3">
        <v>1.0200000000000001E-2</v>
      </c>
      <c r="R8848" s="3">
        <v>2.7000000000000001E-3</v>
      </c>
      <c r="S8848" s="3">
        <v>1.1999999999999999E-3</v>
      </c>
      <c r="T8848" s="3">
        <v>4.41E-2</v>
      </c>
      <c r="U8848" s="3">
        <v>9.9900000000000003E-2</v>
      </c>
      <c r="V8848" s="3">
        <v>2.1899999999999999E-2</v>
      </c>
      <c r="W8848" s="3">
        <v>3.0700000000000002E-2</v>
      </c>
    </row>
    <row r="8849" spans="1:24">
      <c r="A8849" t="s">
        <v>195</v>
      </c>
      <c r="B8849" t="s">
        <v>220</v>
      </c>
      <c r="C8849">
        <v>182</v>
      </c>
      <c r="D8849" t="s">
        <v>194</v>
      </c>
      <c r="E8849">
        <v>2674</v>
      </c>
      <c r="F8849" s="3">
        <v>0.15029999999999999</v>
      </c>
      <c r="G8849" s="3">
        <v>8.8000000000000005E-3</v>
      </c>
      <c r="H8849" s="3">
        <v>0.39350000000000002</v>
      </c>
      <c r="I8849" s="3">
        <v>4.0000000000000002E-4</v>
      </c>
      <c r="J8849" s="3">
        <v>2.7799999999999998E-2</v>
      </c>
      <c r="K8849" s="3">
        <v>0.20150000000000001</v>
      </c>
      <c r="L8849" s="3">
        <v>3.7400000000000003E-2</v>
      </c>
      <c r="M8849" s="3">
        <v>3.5999999999999999E-3</v>
      </c>
      <c r="N8849" s="3">
        <v>1.2500000000000001E-2</v>
      </c>
      <c r="O8849" s="3">
        <v>0.21310000000000001</v>
      </c>
      <c r="P8849" s="3">
        <v>0.16220000000000001</v>
      </c>
      <c r="Q8849" s="3">
        <v>9.5999999999999992E-3</v>
      </c>
      <c r="R8849" s="3">
        <v>2.9499999999999998E-2</v>
      </c>
      <c r="S8849" s="3">
        <v>1.1999999999999999E-3</v>
      </c>
      <c r="T8849" s="3">
        <v>7.7999999999999996E-3</v>
      </c>
      <c r="U8849" s="3">
        <v>0.1051</v>
      </c>
      <c r="V8849" s="3">
        <v>1.95E-2</v>
      </c>
      <c r="W8849" s="3">
        <v>4.1799999999999997E-2</v>
      </c>
      <c r="X8849" s="3">
        <v>4.0000000000000002E-4</v>
      </c>
    </row>
    <row r="8850" spans="1:24">
      <c r="A8850" t="s">
        <v>199</v>
      </c>
      <c r="B8850" t="s">
        <v>217</v>
      </c>
      <c r="C8850">
        <v>812</v>
      </c>
      <c r="D8850" t="s">
        <v>194</v>
      </c>
      <c r="E8850">
        <v>2674</v>
      </c>
      <c r="F8850" s="3">
        <v>0.53239999999999998</v>
      </c>
      <c r="G8850" s="3">
        <v>1.8200000000000001E-2</v>
      </c>
      <c r="H8850" s="3">
        <v>0.27089999999999997</v>
      </c>
      <c r="J8850" s="3">
        <v>1E-4</v>
      </c>
      <c r="K8850" s="3">
        <v>4.5600000000000002E-2</v>
      </c>
      <c r="L8850" s="3">
        <v>5.4000000000000003E-3</v>
      </c>
      <c r="M8850" s="3">
        <v>2.0000000000000001E-4</v>
      </c>
      <c r="N8850" s="3">
        <v>1.18E-2</v>
      </c>
      <c r="O8850" s="3">
        <v>7.0300000000000001E-2</v>
      </c>
      <c r="P8850" s="3">
        <v>9.74E-2</v>
      </c>
      <c r="Q8850" s="3">
        <v>8.9999999999999998E-4</v>
      </c>
      <c r="R8850" s="3">
        <v>2.0000000000000001E-4</v>
      </c>
      <c r="S8850" s="3">
        <v>3.7000000000000002E-3</v>
      </c>
      <c r="U8850" s="3">
        <v>6.0400000000000002E-2</v>
      </c>
      <c r="V8850" s="3">
        <v>1.15E-2</v>
      </c>
      <c r="W8850" s="3">
        <v>7.4999999999999997E-3</v>
      </c>
      <c r="X8850" s="3">
        <v>1E-4</v>
      </c>
    </row>
    <row r="8851" spans="1:24">
      <c r="A8851" t="s">
        <v>199</v>
      </c>
      <c r="B8851" t="s">
        <v>219</v>
      </c>
      <c r="C8851">
        <v>451</v>
      </c>
      <c r="D8851" t="s">
        <v>194</v>
      </c>
      <c r="E8851">
        <v>2674</v>
      </c>
      <c r="F8851" s="3">
        <v>0.34739999999999999</v>
      </c>
      <c r="G8851" s="3">
        <v>4.6699999999999998E-2</v>
      </c>
      <c r="H8851" s="3">
        <v>0.35289999999999999</v>
      </c>
      <c r="K8851" s="3">
        <v>9.3799999999999994E-2</v>
      </c>
      <c r="L8851" s="3">
        <v>8.3000000000000001E-3</v>
      </c>
      <c r="M8851" s="3">
        <v>3.7000000000000002E-3</v>
      </c>
      <c r="N8851" s="3">
        <v>2.7000000000000001E-3</v>
      </c>
      <c r="O8851" s="3">
        <v>8.5900000000000004E-2</v>
      </c>
      <c r="P8851" s="3">
        <v>0.10920000000000001</v>
      </c>
      <c r="Q8851" s="3">
        <v>3.5999999999999999E-3</v>
      </c>
      <c r="R8851" s="3">
        <v>2.7000000000000001E-3</v>
      </c>
      <c r="S8851" s="3">
        <v>1.0200000000000001E-2</v>
      </c>
      <c r="T8851" s="3">
        <v>2.8999999999999998E-3</v>
      </c>
      <c r="U8851" s="3">
        <v>5.4100000000000002E-2</v>
      </c>
      <c r="V8851" s="3">
        <v>7.0000000000000001E-3</v>
      </c>
      <c r="W8851" s="3">
        <v>2.1499999999999998E-2</v>
      </c>
      <c r="X8851" s="3">
        <v>4.4000000000000003E-3</v>
      </c>
    </row>
    <row r="8852" spans="1:24">
      <c r="A8852" t="s">
        <v>199</v>
      </c>
      <c r="B8852" t="s">
        <v>220</v>
      </c>
      <c r="C8852">
        <v>223</v>
      </c>
      <c r="D8852" t="s">
        <v>194</v>
      </c>
      <c r="E8852">
        <v>2674</v>
      </c>
      <c r="F8852" s="3">
        <v>0.5998</v>
      </c>
      <c r="G8852" s="3">
        <v>3.0800000000000001E-2</v>
      </c>
      <c r="H8852" s="3">
        <v>0.21460000000000001</v>
      </c>
      <c r="I8852" s="3">
        <v>8.0000000000000004E-4</v>
      </c>
      <c r="K8852" s="3">
        <v>8.4199999999999997E-2</v>
      </c>
      <c r="L8852" s="3">
        <v>1.4E-3</v>
      </c>
      <c r="N8852" s="3">
        <v>4.1999999999999997E-3</v>
      </c>
      <c r="O8852" s="3">
        <v>7.9899999999999999E-2</v>
      </c>
      <c r="P8852" s="3">
        <v>6.2600000000000003E-2</v>
      </c>
      <c r="Q8852" s="3">
        <v>1.9E-3</v>
      </c>
      <c r="U8852" s="3">
        <v>1.6299999999999999E-2</v>
      </c>
      <c r="V8852" s="3">
        <v>6.9999999999999999E-4</v>
      </c>
      <c r="W8852" s="3">
        <v>6.9999999999999999E-4</v>
      </c>
    </row>
    <row r="8853" spans="1:24">
      <c r="A8853" t="s">
        <v>200</v>
      </c>
      <c r="B8853" t="s">
        <v>200</v>
      </c>
      <c r="C8853">
        <v>2674</v>
      </c>
      <c r="D8853" t="s">
        <v>200</v>
      </c>
      <c r="E8853">
        <v>2674</v>
      </c>
      <c r="F8853" s="3">
        <v>0.31409999999999999</v>
      </c>
      <c r="G8853" s="3">
        <v>2.35E-2</v>
      </c>
      <c r="H8853" s="3">
        <v>0.36499999999999999</v>
      </c>
      <c r="I8853" s="3">
        <v>1.4E-3</v>
      </c>
      <c r="J8853" s="3">
        <v>2.3999999999999998E-3</v>
      </c>
      <c r="K8853" s="3">
        <v>0.1181</v>
      </c>
      <c r="L8853" s="3">
        <v>2.52E-2</v>
      </c>
      <c r="M8853" s="3">
        <v>5.3E-3</v>
      </c>
      <c r="N8853" s="3">
        <v>7.1999999999999998E-3</v>
      </c>
      <c r="O8853" s="3">
        <v>0.1085</v>
      </c>
      <c r="P8853" s="3">
        <v>0.1176</v>
      </c>
      <c r="Q8853" s="3">
        <v>3.8E-3</v>
      </c>
      <c r="R8853" s="3">
        <v>4.3E-3</v>
      </c>
      <c r="S8853" s="3">
        <v>3.2000000000000002E-3</v>
      </c>
      <c r="T8853" s="3">
        <v>9.7999999999999997E-3</v>
      </c>
      <c r="U8853" s="3">
        <v>7.1400000000000005E-2</v>
      </c>
      <c r="V8853" s="3">
        <v>1.3299999999999999E-2</v>
      </c>
      <c r="W8853" s="3">
        <v>1.7500000000000002E-2</v>
      </c>
      <c r="X8853" s="3">
        <v>6.9999999999999999E-4</v>
      </c>
    </row>
    <row r="8855" spans="1:24" ht="30">
      <c r="A8855" s="22" t="s">
        <v>1752</v>
      </c>
    </row>
    <row r="8856" spans="1:24">
      <c r="A8856" t="s">
        <v>185</v>
      </c>
      <c r="B8856" t="s">
        <v>186</v>
      </c>
      <c r="C8856" t="s">
        <v>192</v>
      </c>
      <c r="D8856" t="s">
        <v>184</v>
      </c>
      <c r="E8856" t="s">
        <v>193</v>
      </c>
      <c r="F8856" t="s">
        <v>1753</v>
      </c>
      <c r="G8856" t="s">
        <v>1754</v>
      </c>
      <c r="H8856" t="s">
        <v>247</v>
      </c>
      <c r="I8856" t="s">
        <v>1755</v>
      </c>
      <c r="J8856" t="s">
        <v>1756</v>
      </c>
      <c r="K8856" t="s">
        <v>1757</v>
      </c>
    </row>
    <row r="8857" spans="1:24">
      <c r="A8857" t="s">
        <v>195</v>
      </c>
      <c r="B8857" t="s">
        <v>222</v>
      </c>
      <c r="C8857">
        <v>164</v>
      </c>
      <c r="D8857" t="s">
        <v>194</v>
      </c>
      <c r="E8857">
        <v>1560</v>
      </c>
      <c r="F8857" s="3">
        <v>5.3900000000000003E-2</v>
      </c>
      <c r="G8857" s="3">
        <v>0.16619999999999999</v>
      </c>
      <c r="H8857" s="3">
        <v>7.7000000000000002E-3</v>
      </c>
      <c r="I8857" s="3">
        <v>0.66049999999999998</v>
      </c>
      <c r="J8857" s="3">
        <v>7.7000000000000002E-3</v>
      </c>
      <c r="K8857" s="3">
        <v>0.104</v>
      </c>
    </row>
    <row r="8858" spans="1:24">
      <c r="A8858" t="s">
        <v>195</v>
      </c>
      <c r="B8858" t="s">
        <v>224</v>
      </c>
      <c r="C8858">
        <v>716</v>
      </c>
      <c r="D8858" t="s">
        <v>194</v>
      </c>
      <c r="E8858">
        <v>1560</v>
      </c>
      <c r="F8858" s="3">
        <v>2.9700000000000001E-2</v>
      </c>
      <c r="G8858" s="3">
        <v>0.1115</v>
      </c>
      <c r="H8858" s="3">
        <v>6.7999999999999996E-3</v>
      </c>
      <c r="I8858" s="3">
        <v>0.65090000000000003</v>
      </c>
      <c r="J8858" s="3">
        <v>6.7000000000000002E-3</v>
      </c>
      <c r="K8858" s="3">
        <v>0.1943</v>
      </c>
    </row>
    <row r="8859" spans="1:24">
      <c r="A8859" t="s">
        <v>199</v>
      </c>
      <c r="B8859" t="s">
        <v>222</v>
      </c>
      <c r="C8859">
        <v>143</v>
      </c>
      <c r="D8859" t="s">
        <v>194</v>
      </c>
      <c r="E8859">
        <v>1560</v>
      </c>
      <c r="F8859" s="3">
        <v>3.9899999999999998E-2</v>
      </c>
      <c r="G8859" s="3">
        <v>0.17380000000000001</v>
      </c>
      <c r="H8859" s="3">
        <v>1.9699999999999999E-2</v>
      </c>
      <c r="I8859" s="3">
        <v>0.52590000000000003</v>
      </c>
      <c r="J8859" s="3">
        <v>1.9099999999999999E-2</v>
      </c>
      <c r="K8859" s="3">
        <v>0.22159999999999999</v>
      </c>
    </row>
    <row r="8860" spans="1:24">
      <c r="A8860" t="s">
        <v>199</v>
      </c>
      <c r="B8860" t="s">
        <v>224</v>
      </c>
      <c r="C8860">
        <v>537</v>
      </c>
      <c r="D8860" t="s">
        <v>194</v>
      </c>
      <c r="E8860">
        <v>1560</v>
      </c>
      <c r="F8860" s="3">
        <v>5.0299999999999997E-2</v>
      </c>
      <c r="G8860" s="3">
        <v>0.13719999999999999</v>
      </c>
      <c r="H8860" s="3">
        <v>3.0999999999999999E-3</v>
      </c>
      <c r="I8860" s="3">
        <v>0.64890000000000003</v>
      </c>
      <c r="J8860" s="3">
        <v>3.5999999999999999E-3</v>
      </c>
      <c r="K8860" s="3">
        <v>0.157</v>
      </c>
    </row>
    <row r="8861" spans="1:24">
      <c r="A8861" t="s">
        <v>200</v>
      </c>
      <c r="B8861" t="s">
        <v>200</v>
      </c>
      <c r="C8861">
        <v>1560</v>
      </c>
      <c r="D8861" t="s">
        <v>200</v>
      </c>
      <c r="E8861">
        <v>1560</v>
      </c>
      <c r="F8861" s="3">
        <v>3.8399999999999997E-2</v>
      </c>
      <c r="G8861" s="3">
        <v>0.12909999999999999</v>
      </c>
      <c r="H8861" s="3">
        <v>6.8999999999999999E-3</v>
      </c>
      <c r="I8861" s="3">
        <v>0.64639999999999997</v>
      </c>
      <c r="J8861" s="3">
        <v>6.8999999999999999E-3</v>
      </c>
      <c r="K8861" s="3">
        <v>0.17230000000000001</v>
      </c>
    </row>
    <row r="8863" spans="1:24" ht="30">
      <c r="A8863" s="22" t="s">
        <v>1758</v>
      </c>
    </row>
    <row r="8864" spans="1:24">
      <c r="A8864" t="s">
        <v>185</v>
      </c>
      <c r="B8864" t="s">
        <v>186</v>
      </c>
      <c r="C8864" t="s">
        <v>192</v>
      </c>
      <c r="D8864" t="s">
        <v>184</v>
      </c>
      <c r="E8864" t="s">
        <v>193</v>
      </c>
      <c r="F8864" t="s">
        <v>1753</v>
      </c>
      <c r="G8864" t="s">
        <v>1754</v>
      </c>
      <c r="H8864" t="s">
        <v>247</v>
      </c>
      <c r="I8864" t="s">
        <v>1755</v>
      </c>
      <c r="J8864" t="s">
        <v>1756</v>
      </c>
      <c r="K8864" t="s">
        <v>1757</v>
      </c>
    </row>
    <row r="8865" spans="1:11">
      <c r="A8865" t="s">
        <v>195</v>
      </c>
      <c r="B8865" t="s">
        <v>229</v>
      </c>
      <c r="C8865">
        <v>83</v>
      </c>
      <c r="D8865" t="s">
        <v>194</v>
      </c>
      <c r="E8865">
        <v>1560</v>
      </c>
      <c r="F8865" s="3">
        <v>3.6700000000000003E-2</v>
      </c>
      <c r="G8865" s="3">
        <v>5.9499999999999997E-2</v>
      </c>
      <c r="I8865" s="3">
        <v>0.75519999999999998</v>
      </c>
      <c r="K8865" s="3">
        <v>0.14849999999999999</v>
      </c>
    </row>
    <row r="8866" spans="1:11">
      <c r="A8866" t="s">
        <v>195</v>
      </c>
      <c r="B8866" t="s">
        <v>230</v>
      </c>
      <c r="C8866">
        <v>366</v>
      </c>
      <c r="D8866" t="s">
        <v>194</v>
      </c>
      <c r="E8866">
        <v>1560</v>
      </c>
      <c r="F8866" s="3">
        <v>3.6200000000000003E-2</v>
      </c>
      <c r="G8866" s="3">
        <v>0.1421</v>
      </c>
      <c r="H8866" s="3">
        <v>8.9999999999999998E-4</v>
      </c>
      <c r="I8866" s="3">
        <v>0.64119999999999999</v>
      </c>
      <c r="J8866" s="3">
        <v>4.4999999999999997E-3</v>
      </c>
      <c r="K8866" s="3">
        <v>0.17510000000000001</v>
      </c>
    </row>
    <row r="8867" spans="1:11">
      <c r="A8867" t="s">
        <v>195</v>
      </c>
      <c r="B8867" t="s">
        <v>231</v>
      </c>
      <c r="C8867">
        <v>222</v>
      </c>
      <c r="D8867" t="s">
        <v>194</v>
      </c>
      <c r="E8867">
        <v>1560</v>
      </c>
      <c r="F8867" s="3">
        <v>4.9599999999999998E-2</v>
      </c>
      <c r="G8867" s="3">
        <v>0.1527</v>
      </c>
      <c r="H8867" s="3">
        <v>1.4E-3</v>
      </c>
      <c r="I8867" s="3">
        <v>0.64049999999999996</v>
      </c>
      <c r="J8867" s="3">
        <v>2.2000000000000001E-3</v>
      </c>
      <c r="K8867" s="3">
        <v>0.15359999999999999</v>
      </c>
    </row>
    <row r="8868" spans="1:11">
      <c r="A8868" t="s">
        <v>195</v>
      </c>
      <c r="B8868" t="s">
        <v>232</v>
      </c>
      <c r="C8868">
        <v>209</v>
      </c>
      <c r="D8868" t="s">
        <v>194</v>
      </c>
      <c r="E8868">
        <v>1560</v>
      </c>
      <c r="F8868" s="3">
        <v>1.83E-2</v>
      </c>
      <c r="G8868" s="3">
        <v>0.1028</v>
      </c>
      <c r="H8868" s="3">
        <v>2.8299999999999999E-2</v>
      </c>
      <c r="I8868" s="3">
        <v>0.62529999999999997</v>
      </c>
      <c r="J8868" s="3">
        <v>2.0500000000000001E-2</v>
      </c>
      <c r="K8868" s="3">
        <v>0.20480000000000001</v>
      </c>
    </row>
    <row r="8869" spans="1:11">
      <c r="A8869" t="s">
        <v>199</v>
      </c>
      <c r="B8869" t="s">
        <v>229</v>
      </c>
      <c r="C8869">
        <v>33</v>
      </c>
      <c r="D8869" t="s">
        <v>194</v>
      </c>
      <c r="E8869">
        <v>1560</v>
      </c>
      <c r="G8869" s="3">
        <v>0.26519999999999999</v>
      </c>
      <c r="I8869" s="3">
        <v>0.68559999999999999</v>
      </c>
      <c r="K8869" s="3">
        <v>4.9200000000000001E-2</v>
      </c>
    </row>
    <row r="8870" spans="1:11">
      <c r="A8870" t="s">
        <v>199</v>
      </c>
      <c r="B8870" t="s">
        <v>230</v>
      </c>
      <c r="C8870">
        <v>313</v>
      </c>
      <c r="D8870" t="s">
        <v>194</v>
      </c>
      <c r="E8870">
        <v>1560</v>
      </c>
      <c r="F8870" s="3">
        <v>7.2400000000000006E-2</v>
      </c>
      <c r="G8870" s="3">
        <v>0.1118</v>
      </c>
      <c r="H8870" s="3">
        <v>1.8E-3</v>
      </c>
      <c r="I8870" s="3">
        <v>0.629</v>
      </c>
      <c r="K8870" s="3">
        <v>0.185</v>
      </c>
    </row>
    <row r="8871" spans="1:11">
      <c r="A8871" t="s">
        <v>199</v>
      </c>
      <c r="B8871" t="s">
        <v>231</v>
      </c>
      <c r="C8871">
        <v>222</v>
      </c>
      <c r="D8871" t="s">
        <v>194</v>
      </c>
      <c r="E8871">
        <v>1560</v>
      </c>
      <c r="F8871" s="3">
        <v>3.0300000000000001E-2</v>
      </c>
      <c r="G8871" s="3">
        <v>0.1797</v>
      </c>
      <c r="H8871" s="3">
        <v>2.24E-2</v>
      </c>
      <c r="I8871" s="3">
        <v>0.53759999999999997</v>
      </c>
      <c r="J8871" s="3">
        <v>3.2599999999999997E-2</v>
      </c>
      <c r="K8871" s="3">
        <v>0.19739999999999999</v>
      </c>
    </row>
    <row r="8872" spans="1:11">
      <c r="A8872" t="s">
        <v>199</v>
      </c>
      <c r="B8872" t="s">
        <v>232</v>
      </c>
      <c r="C8872">
        <v>112</v>
      </c>
      <c r="D8872" t="s">
        <v>194</v>
      </c>
      <c r="E8872">
        <v>1560</v>
      </c>
      <c r="F8872" s="3">
        <v>3.6700000000000003E-2</v>
      </c>
      <c r="G8872" s="3">
        <v>0.13469999999999999</v>
      </c>
      <c r="H8872" s="3">
        <v>3.8E-3</v>
      </c>
      <c r="I8872" s="3">
        <v>0.66279999999999994</v>
      </c>
      <c r="K8872" s="3">
        <v>0.16200000000000001</v>
      </c>
    </row>
    <row r="8873" spans="1:11">
      <c r="A8873" t="s">
        <v>200</v>
      </c>
      <c r="B8873" t="s">
        <v>200</v>
      </c>
      <c r="C8873">
        <v>1560</v>
      </c>
      <c r="D8873" t="s">
        <v>200</v>
      </c>
      <c r="E8873">
        <v>1560</v>
      </c>
      <c r="F8873" s="3">
        <v>3.8399999999999997E-2</v>
      </c>
      <c r="G8873" s="3">
        <v>0.12909999999999999</v>
      </c>
      <c r="H8873" s="3">
        <v>6.8999999999999999E-3</v>
      </c>
      <c r="I8873" s="3">
        <v>0.64639999999999997</v>
      </c>
      <c r="J8873" s="3">
        <v>6.8999999999999999E-3</v>
      </c>
      <c r="K8873" s="3">
        <v>0.17230000000000001</v>
      </c>
    </row>
    <row r="8875" spans="1:11" ht="30">
      <c r="A8875" s="22" t="s">
        <v>1759</v>
      </c>
    </row>
    <row r="8876" spans="1:11">
      <c r="A8876" t="s">
        <v>185</v>
      </c>
      <c r="B8876" t="s">
        <v>186</v>
      </c>
      <c r="C8876" t="s">
        <v>192</v>
      </c>
      <c r="D8876" t="s">
        <v>184</v>
      </c>
      <c r="E8876" t="s">
        <v>193</v>
      </c>
      <c r="F8876" t="s">
        <v>1753</v>
      </c>
      <c r="G8876" t="s">
        <v>1754</v>
      </c>
      <c r="H8876" t="s">
        <v>247</v>
      </c>
      <c r="I8876" t="s">
        <v>1755</v>
      </c>
      <c r="J8876" t="s">
        <v>1756</v>
      </c>
      <c r="K8876" t="s">
        <v>1757</v>
      </c>
    </row>
    <row r="8877" spans="1:11">
      <c r="A8877" t="s">
        <v>195</v>
      </c>
      <c r="B8877" t="s">
        <v>196</v>
      </c>
      <c r="C8877">
        <v>298</v>
      </c>
      <c r="D8877" t="s">
        <v>194</v>
      </c>
      <c r="E8877">
        <v>1560</v>
      </c>
      <c r="F8877" s="3">
        <v>4.2500000000000003E-2</v>
      </c>
      <c r="G8877" s="3">
        <v>0.15409999999999999</v>
      </c>
      <c r="H8877" s="3">
        <v>2.41E-2</v>
      </c>
      <c r="I8877" s="3">
        <v>0.59209999999999996</v>
      </c>
      <c r="J8877" s="3">
        <v>1.2E-2</v>
      </c>
      <c r="K8877" s="3">
        <v>0.17510000000000001</v>
      </c>
    </row>
    <row r="8878" spans="1:11">
      <c r="A8878" t="s">
        <v>195</v>
      </c>
      <c r="B8878" t="s">
        <v>198</v>
      </c>
      <c r="C8878">
        <v>565</v>
      </c>
      <c r="D8878" t="s">
        <v>194</v>
      </c>
      <c r="E8878">
        <v>1560</v>
      </c>
      <c r="F8878" s="3">
        <v>3.2599999999999997E-2</v>
      </c>
      <c r="G8878" s="3">
        <v>0.1159</v>
      </c>
      <c r="H8878" s="3">
        <v>1.4E-3</v>
      </c>
      <c r="I8878" s="3">
        <v>0.6724</v>
      </c>
      <c r="J8878" s="3">
        <v>5.4000000000000003E-3</v>
      </c>
      <c r="K8878" s="3">
        <v>0.1724</v>
      </c>
    </row>
    <row r="8879" spans="1:11">
      <c r="A8879" t="s">
        <v>199</v>
      </c>
      <c r="B8879" t="s">
        <v>196</v>
      </c>
      <c r="C8879">
        <v>307</v>
      </c>
      <c r="D8879" t="s">
        <v>194</v>
      </c>
      <c r="E8879">
        <v>1560</v>
      </c>
      <c r="F8879" s="3">
        <v>5.2699999999999997E-2</v>
      </c>
      <c r="G8879" s="3">
        <v>0.13600000000000001</v>
      </c>
      <c r="H8879" s="3">
        <v>1.6999999999999999E-3</v>
      </c>
      <c r="I8879" s="3">
        <v>0.58650000000000002</v>
      </c>
      <c r="J8879" s="3">
        <v>8.5000000000000006E-3</v>
      </c>
      <c r="K8879" s="3">
        <v>0.2147</v>
      </c>
    </row>
    <row r="8880" spans="1:11">
      <c r="A8880" t="s">
        <v>199</v>
      </c>
      <c r="B8880" t="s">
        <v>198</v>
      </c>
      <c r="C8880">
        <v>360</v>
      </c>
      <c r="D8880" t="s">
        <v>194</v>
      </c>
      <c r="E8880">
        <v>1560</v>
      </c>
      <c r="F8880" s="3">
        <v>4.6800000000000001E-2</v>
      </c>
      <c r="G8880" s="3">
        <v>0.14849999999999999</v>
      </c>
      <c r="H8880" s="3">
        <v>8.0999999999999996E-3</v>
      </c>
      <c r="I8880" s="3">
        <v>0.6361</v>
      </c>
      <c r="J8880" s="3">
        <v>6.1999999999999998E-3</v>
      </c>
      <c r="K8880" s="3">
        <v>0.15429999999999999</v>
      </c>
    </row>
    <row r="8881" spans="1:11">
      <c r="A8881" t="s">
        <v>200</v>
      </c>
      <c r="B8881" t="s">
        <v>200</v>
      </c>
      <c r="C8881">
        <v>1560</v>
      </c>
      <c r="D8881" t="s">
        <v>200</v>
      </c>
      <c r="E8881">
        <v>1560</v>
      </c>
      <c r="F8881" s="3">
        <v>3.8399999999999997E-2</v>
      </c>
      <c r="G8881" s="3">
        <v>0.12909999999999999</v>
      </c>
      <c r="H8881" s="3">
        <v>6.8999999999999999E-3</v>
      </c>
      <c r="I8881" s="3">
        <v>0.64639999999999997</v>
      </c>
      <c r="J8881" s="3">
        <v>6.8999999999999999E-3</v>
      </c>
      <c r="K8881" s="3">
        <v>0.17230000000000001</v>
      </c>
    </row>
    <row r="8883" spans="1:11" ht="45">
      <c r="A8883" s="22" t="s">
        <v>1760</v>
      </c>
    </row>
    <row r="8884" spans="1:11">
      <c r="A8884" t="s">
        <v>185</v>
      </c>
      <c r="B8884" t="s">
        <v>186</v>
      </c>
      <c r="C8884" t="s">
        <v>192</v>
      </c>
      <c r="D8884" t="s">
        <v>184</v>
      </c>
      <c r="E8884" t="s">
        <v>193</v>
      </c>
      <c r="F8884" t="s">
        <v>1753</v>
      </c>
      <c r="G8884" t="s">
        <v>1754</v>
      </c>
      <c r="H8884" t="s">
        <v>247</v>
      </c>
      <c r="I8884" t="s">
        <v>1755</v>
      </c>
      <c r="J8884" t="s">
        <v>1756</v>
      </c>
      <c r="K8884" t="s">
        <v>1757</v>
      </c>
    </row>
    <row r="8885" spans="1:11">
      <c r="A8885" t="s">
        <v>195</v>
      </c>
      <c r="B8885" t="s">
        <v>202</v>
      </c>
      <c r="C8885">
        <v>337</v>
      </c>
      <c r="D8885" t="s">
        <v>194</v>
      </c>
      <c r="E8885">
        <v>1560</v>
      </c>
      <c r="F8885" s="3">
        <v>3.8100000000000002E-2</v>
      </c>
      <c r="G8885" s="3">
        <v>0.1421</v>
      </c>
      <c r="H8885" s="3">
        <v>1.0500000000000001E-2</v>
      </c>
      <c r="I8885" s="3">
        <v>0.62009999999999998</v>
      </c>
      <c r="J8885" s="3">
        <v>1.0800000000000001E-2</v>
      </c>
      <c r="K8885" s="3">
        <v>0.1784</v>
      </c>
    </row>
    <row r="8886" spans="1:11">
      <c r="A8886" t="s">
        <v>195</v>
      </c>
      <c r="B8886" t="s">
        <v>204</v>
      </c>
      <c r="C8886">
        <v>240</v>
      </c>
      <c r="D8886" t="s">
        <v>194</v>
      </c>
      <c r="E8886">
        <v>1560</v>
      </c>
      <c r="F8886" s="3">
        <v>3.9699999999999999E-2</v>
      </c>
      <c r="G8886" s="3">
        <v>0.1042</v>
      </c>
      <c r="H8886" s="3">
        <v>1.4E-3</v>
      </c>
      <c r="I8886" s="3">
        <v>0.71560000000000001</v>
      </c>
      <c r="J8886" s="3">
        <v>2.0999999999999999E-3</v>
      </c>
      <c r="K8886" s="3">
        <v>0.13689999999999999</v>
      </c>
    </row>
    <row r="8887" spans="1:11">
      <c r="A8887" t="s">
        <v>195</v>
      </c>
      <c r="B8887" t="s">
        <v>205</v>
      </c>
      <c r="C8887">
        <v>286</v>
      </c>
      <c r="D8887" t="s">
        <v>194</v>
      </c>
      <c r="E8887">
        <v>1560</v>
      </c>
      <c r="F8887" s="3">
        <v>1.6299999999999999E-2</v>
      </c>
      <c r="G8887" s="3">
        <v>9.2799999999999994E-2</v>
      </c>
      <c r="H8887" s="3">
        <v>8.0000000000000004E-4</v>
      </c>
      <c r="I8887" s="3">
        <v>0.68320000000000003</v>
      </c>
      <c r="K8887" s="3">
        <v>0.20699999999999999</v>
      </c>
    </row>
    <row r="8888" spans="1:11">
      <c r="A8888" t="s">
        <v>199</v>
      </c>
      <c r="B8888" t="s">
        <v>202</v>
      </c>
      <c r="C8888">
        <v>62</v>
      </c>
      <c r="D8888" t="s">
        <v>194</v>
      </c>
      <c r="E8888">
        <v>1560</v>
      </c>
      <c r="F8888" s="3">
        <v>1.15E-2</v>
      </c>
      <c r="G8888" s="3">
        <v>0.11210000000000001</v>
      </c>
      <c r="H8888" s="3">
        <v>1E-3</v>
      </c>
      <c r="I8888" s="3">
        <v>0.61760000000000004</v>
      </c>
      <c r="K8888" s="3">
        <v>0.25769999999999998</v>
      </c>
    </row>
    <row r="8889" spans="1:11">
      <c r="A8889" t="s">
        <v>199</v>
      </c>
      <c r="B8889" t="s">
        <v>204</v>
      </c>
      <c r="C8889">
        <v>243</v>
      </c>
      <c r="D8889" t="s">
        <v>194</v>
      </c>
      <c r="E8889">
        <v>1560</v>
      </c>
      <c r="F8889" s="3">
        <v>7.1499999999999994E-2</v>
      </c>
      <c r="G8889" s="3">
        <v>0.12529999999999999</v>
      </c>
      <c r="H8889" s="3">
        <v>1.7999999999999999E-2</v>
      </c>
      <c r="I8889" s="3">
        <v>0.60250000000000004</v>
      </c>
      <c r="J8889" s="3">
        <v>0.02</v>
      </c>
      <c r="K8889" s="3">
        <v>0.1628</v>
      </c>
    </row>
    <row r="8890" spans="1:11">
      <c r="A8890" t="s">
        <v>199</v>
      </c>
      <c r="B8890" t="s">
        <v>205</v>
      </c>
      <c r="C8890">
        <v>362</v>
      </c>
      <c r="D8890" t="s">
        <v>194</v>
      </c>
      <c r="E8890">
        <v>1560</v>
      </c>
      <c r="F8890" s="3">
        <v>5.5100000000000003E-2</v>
      </c>
      <c r="G8890" s="3">
        <v>0.18859999999999999</v>
      </c>
      <c r="H8890" s="3">
        <v>2.9999999999999997E-4</v>
      </c>
      <c r="I8890" s="3">
        <v>0.64749999999999996</v>
      </c>
      <c r="K8890" s="3">
        <v>0.1084</v>
      </c>
    </row>
    <row r="8891" spans="1:11">
      <c r="A8891" t="s">
        <v>200</v>
      </c>
      <c r="B8891" t="s">
        <v>200</v>
      </c>
      <c r="C8891">
        <v>1560</v>
      </c>
      <c r="D8891" t="s">
        <v>200</v>
      </c>
      <c r="E8891">
        <v>1560</v>
      </c>
      <c r="F8891" s="3">
        <v>3.8399999999999997E-2</v>
      </c>
      <c r="G8891" s="3">
        <v>0.12909999999999999</v>
      </c>
      <c r="H8891" s="3">
        <v>6.8999999999999999E-3</v>
      </c>
      <c r="I8891" s="3">
        <v>0.64639999999999997</v>
      </c>
      <c r="J8891" s="3">
        <v>6.8999999999999999E-3</v>
      </c>
      <c r="K8891" s="3">
        <v>0.17230000000000001</v>
      </c>
    </row>
    <row r="8893" spans="1:11" ht="30">
      <c r="A8893" s="22" t="s">
        <v>1761</v>
      </c>
    </row>
    <row r="8894" spans="1:11">
      <c r="A8894" t="s">
        <v>185</v>
      </c>
      <c r="B8894" t="s">
        <v>186</v>
      </c>
      <c r="C8894" t="s">
        <v>192</v>
      </c>
      <c r="D8894" t="s">
        <v>184</v>
      </c>
      <c r="E8894" t="s">
        <v>193</v>
      </c>
      <c r="F8894" t="s">
        <v>1753</v>
      </c>
      <c r="G8894" t="s">
        <v>1754</v>
      </c>
      <c r="H8894" t="s">
        <v>247</v>
      </c>
      <c r="I8894" t="s">
        <v>1755</v>
      </c>
      <c r="J8894" t="s">
        <v>1756</v>
      </c>
      <c r="K8894" t="s">
        <v>1757</v>
      </c>
    </row>
    <row r="8895" spans="1:11">
      <c r="A8895" t="s">
        <v>195</v>
      </c>
      <c r="B8895" t="s">
        <v>207</v>
      </c>
      <c r="C8895">
        <v>253</v>
      </c>
      <c r="D8895" t="s">
        <v>194</v>
      </c>
      <c r="E8895">
        <v>1560</v>
      </c>
      <c r="F8895" s="3">
        <v>4.4699999999999997E-2</v>
      </c>
      <c r="G8895" s="3">
        <v>0.1057</v>
      </c>
      <c r="H8895" s="3">
        <v>1.9400000000000001E-2</v>
      </c>
      <c r="I8895" s="3">
        <v>0.68920000000000003</v>
      </c>
      <c r="J8895" s="3">
        <v>1.9E-2</v>
      </c>
      <c r="K8895" s="3">
        <v>0.1221</v>
      </c>
    </row>
    <row r="8896" spans="1:11">
      <c r="A8896" t="s">
        <v>195</v>
      </c>
      <c r="B8896" t="s">
        <v>209</v>
      </c>
      <c r="C8896">
        <v>627</v>
      </c>
      <c r="D8896" t="s">
        <v>194</v>
      </c>
      <c r="E8896">
        <v>1560</v>
      </c>
      <c r="F8896" s="3">
        <v>3.2000000000000001E-2</v>
      </c>
      <c r="G8896" s="3">
        <v>0.1313</v>
      </c>
      <c r="H8896" s="3">
        <v>2.5000000000000001E-3</v>
      </c>
      <c r="I8896" s="3">
        <v>0.63990000000000002</v>
      </c>
      <c r="J8896" s="3">
        <v>2.5000000000000001E-3</v>
      </c>
      <c r="K8896" s="3">
        <v>0.1918</v>
      </c>
    </row>
    <row r="8897" spans="1:11">
      <c r="A8897" t="s">
        <v>199</v>
      </c>
      <c r="B8897" t="s">
        <v>207</v>
      </c>
      <c r="C8897">
        <v>184</v>
      </c>
      <c r="D8897" t="s">
        <v>194</v>
      </c>
      <c r="E8897">
        <v>1560</v>
      </c>
      <c r="F8897" s="3">
        <v>8.1100000000000005E-2</v>
      </c>
      <c r="G8897" s="3">
        <v>0.1234</v>
      </c>
      <c r="H8897" s="3">
        <v>7.1000000000000004E-3</v>
      </c>
      <c r="I8897" s="3">
        <v>0.63060000000000005</v>
      </c>
      <c r="J8897" s="3">
        <v>5.0000000000000001E-3</v>
      </c>
      <c r="K8897" s="3">
        <v>0.15279999999999999</v>
      </c>
    </row>
    <row r="8898" spans="1:11">
      <c r="A8898" t="s">
        <v>199</v>
      </c>
      <c r="B8898" t="s">
        <v>209</v>
      </c>
      <c r="C8898">
        <v>496</v>
      </c>
      <c r="D8898" t="s">
        <v>194</v>
      </c>
      <c r="E8898">
        <v>1560</v>
      </c>
      <c r="F8898" s="3">
        <v>3.95E-2</v>
      </c>
      <c r="G8898" s="3">
        <v>0.1502</v>
      </c>
      <c r="H8898" s="3">
        <v>6.3E-3</v>
      </c>
      <c r="I8898" s="3">
        <v>0.62209999999999999</v>
      </c>
      <c r="J8898" s="3">
        <v>7.1999999999999998E-3</v>
      </c>
      <c r="K8898" s="3">
        <v>0.17469999999999999</v>
      </c>
    </row>
    <row r="8899" spans="1:11">
      <c r="A8899" t="s">
        <v>200</v>
      </c>
      <c r="B8899" t="s">
        <v>200</v>
      </c>
      <c r="C8899">
        <v>1560</v>
      </c>
      <c r="D8899" t="s">
        <v>200</v>
      </c>
      <c r="E8899">
        <v>1560</v>
      </c>
      <c r="F8899" s="3">
        <v>3.8399999999999997E-2</v>
      </c>
      <c r="G8899" s="3">
        <v>0.12909999999999999</v>
      </c>
      <c r="H8899" s="3">
        <v>6.8999999999999999E-3</v>
      </c>
      <c r="I8899" s="3">
        <v>0.64639999999999997</v>
      </c>
      <c r="J8899" s="3">
        <v>6.8999999999999999E-3</v>
      </c>
      <c r="K8899" s="3">
        <v>0.17230000000000001</v>
      </c>
    </row>
    <row r="8901" spans="1:11" ht="30">
      <c r="A8901" s="22" t="s">
        <v>1762</v>
      </c>
    </row>
    <row r="8902" spans="1:11">
      <c r="A8902" t="s">
        <v>185</v>
      </c>
      <c r="B8902" t="s">
        <v>192</v>
      </c>
      <c r="C8902" t="s">
        <v>184</v>
      </c>
      <c r="D8902" t="s">
        <v>193</v>
      </c>
      <c r="E8902" t="s">
        <v>1753</v>
      </c>
      <c r="F8902" t="s">
        <v>1754</v>
      </c>
      <c r="G8902" t="s">
        <v>247</v>
      </c>
      <c r="H8902" t="s">
        <v>1755</v>
      </c>
      <c r="I8902" t="s">
        <v>1756</v>
      </c>
      <c r="J8902" t="s">
        <v>1757</v>
      </c>
    </row>
    <row r="8903" spans="1:11">
      <c r="A8903" t="s">
        <v>195</v>
      </c>
      <c r="B8903">
        <v>880</v>
      </c>
      <c r="C8903" t="s">
        <v>194</v>
      </c>
      <c r="D8903">
        <v>1560</v>
      </c>
      <c r="E8903" s="3">
        <v>3.5400000000000001E-2</v>
      </c>
      <c r="F8903" s="3">
        <v>0.1244</v>
      </c>
      <c r="G8903" s="3">
        <v>7.1000000000000004E-3</v>
      </c>
      <c r="H8903" s="3">
        <v>0.6532</v>
      </c>
      <c r="I8903" s="3">
        <v>6.8999999999999999E-3</v>
      </c>
      <c r="J8903" s="3">
        <v>0.17299999999999999</v>
      </c>
    </row>
    <row r="8904" spans="1:11">
      <c r="A8904" t="s">
        <v>199</v>
      </c>
      <c r="B8904">
        <v>680</v>
      </c>
      <c r="C8904" t="s">
        <v>194</v>
      </c>
      <c r="D8904">
        <v>1560</v>
      </c>
      <c r="E8904" s="3">
        <v>4.8099999999999997E-2</v>
      </c>
      <c r="F8904" s="3">
        <v>0.14460000000000001</v>
      </c>
      <c r="G8904" s="3">
        <v>6.4999999999999997E-3</v>
      </c>
      <c r="H8904" s="3">
        <v>0.62390000000000001</v>
      </c>
      <c r="I8904" s="3">
        <v>6.7000000000000002E-3</v>
      </c>
      <c r="J8904" s="3">
        <v>0.17019999999999999</v>
      </c>
    </row>
    <row r="8905" spans="1:11">
      <c r="A8905" t="s">
        <v>200</v>
      </c>
      <c r="B8905">
        <v>1560</v>
      </c>
      <c r="C8905" t="s">
        <v>200</v>
      </c>
      <c r="D8905">
        <v>1560</v>
      </c>
      <c r="E8905" s="3">
        <v>3.8399999999999997E-2</v>
      </c>
      <c r="F8905" s="3">
        <v>0.12909999999999999</v>
      </c>
      <c r="G8905" s="3">
        <v>6.8999999999999999E-3</v>
      </c>
      <c r="H8905" s="3">
        <v>0.64639999999999997</v>
      </c>
      <c r="I8905" s="3">
        <v>6.8999999999999999E-3</v>
      </c>
      <c r="J8905" s="3">
        <v>0.17230000000000001</v>
      </c>
    </row>
    <row r="8907" spans="1:11" ht="30">
      <c r="A8907" s="22" t="s">
        <v>1763</v>
      </c>
    </row>
    <row r="8908" spans="1:11">
      <c r="A8908" t="s">
        <v>185</v>
      </c>
      <c r="B8908" t="s">
        <v>186</v>
      </c>
      <c r="C8908" t="s">
        <v>192</v>
      </c>
      <c r="D8908" t="s">
        <v>184</v>
      </c>
      <c r="E8908" t="s">
        <v>193</v>
      </c>
      <c r="F8908" t="s">
        <v>1753</v>
      </c>
      <c r="G8908" t="s">
        <v>1754</v>
      </c>
      <c r="H8908" t="s">
        <v>247</v>
      </c>
      <c r="I8908" t="s">
        <v>1755</v>
      </c>
      <c r="J8908" t="s">
        <v>1756</v>
      </c>
      <c r="K8908" t="s">
        <v>1757</v>
      </c>
    </row>
    <row r="8909" spans="1:11">
      <c r="A8909" t="s">
        <v>195</v>
      </c>
      <c r="B8909" t="s">
        <v>212</v>
      </c>
      <c r="C8909">
        <v>634</v>
      </c>
      <c r="D8909" t="s">
        <v>194</v>
      </c>
      <c r="E8909">
        <v>1560</v>
      </c>
      <c r="F8909" s="3">
        <v>3.6200000000000003E-2</v>
      </c>
      <c r="G8909" s="3">
        <v>0.13039999999999999</v>
      </c>
      <c r="H8909" s="3">
        <v>8.9999999999999993E-3</v>
      </c>
      <c r="I8909" s="3">
        <v>0.65259999999999996</v>
      </c>
      <c r="J8909" s="3">
        <v>4.7999999999999996E-3</v>
      </c>
      <c r="K8909" s="3">
        <v>0.1671</v>
      </c>
    </row>
    <row r="8910" spans="1:11">
      <c r="A8910" t="s">
        <v>195</v>
      </c>
      <c r="B8910" t="s">
        <v>214</v>
      </c>
      <c r="C8910">
        <v>129</v>
      </c>
      <c r="D8910" t="s">
        <v>194</v>
      </c>
      <c r="E8910">
        <v>1560</v>
      </c>
      <c r="F8910" s="3">
        <v>4.1599999999999998E-2</v>
      </c>
      <c r="G8910" s="3">
        <v>0.10440000000000001</v>
      </c>
      <c r="I8910" s="3">
        <v>0.65329999999999999</v>
      </c>
      <c r="K8910" s="3">
        <v>0.20069999999999999</v>
      </c>
    </row>
    <row r="8911" spans="1:11">
      <c r="A8911" t="s">
        <v>195</v>
      </c>
      <c r="B8911" t="s">
        <v>215</v>
      </c>
      <c r="C8911">
        <v>117</v>
      </c>
      <c r="D8911" t="s">
        <v>194</v>
      </c>
      <c r="E8911">
        <v>1560</v>
      </c>
      <c r="F8911" s="3">
        <v>2.1100000000000001E-2</v>
      </c>
      <c r="G8911" s="3">
        <v>0.1096</v>
      </c>
      <c r="H8911" s="3">
        <v>3.3999999999999998E-3</v>
      </c>
      <c r="I8911" s="3">
        <v>0.65759999999999996</v>
      </c>
      <c r="J8911" s="3">
        <v>3.2599999999999997E-2</v>
      </c>
      <c r="K8911" s="3">
        <v>0.1757</v>
      </c>
    </row>
    <row r="8912" spans="1:11">
      <c r="A8912" t="s">
        <v>199</v>
      </c>
      <c r="B8912" t="s">
        <v>212</v>
      </c>
      <c r="C8912">
        <v>490</v>
      </c>
      <c r="D8912" t="s">
        <v>194</v>
      </c>
      <c r="E8912">
        <v>1560</v>
      </c>
      <c r="F8912" s="3">
        <v>4.2200000000000001E-2</v>
      </c>
      <c r="G8912" s="3">
        <v>0.15529999999999999</v>
      </c>
      <c r="H8912" s="3">
        <v>5.8999999999999999E-3</v>
      </c>
      <c r="I8912" s="3">
        <v>0.63970000000000005</v>
      </c>
      <c r="J8912" s="3">
        <v>9.1999999999999998E-3</v>
      </c>
      <c r="K8912" s="3">
        <v>0.1477</v>
      </c>
    </row>
    <row r="8913" spans="1:22">
      <c r="A8913" t="s">
        <v>199</v>
      </c>
      <c r="B8913" t="s">
        <v>214</v>
      </c>
      <c r="C8913">
        <v>92</v>
      </c>
      <c r="D8913" t="s">
        <v>194</v>
      </c>
      <c r="E8913">
        <v>1560</v>
      </c>
      <c r="F8913" s="3">
        <v>1.78E-2</v>
      </c>
      <c r="G8913" s="3">
        <v>7.9799999999999996E-2</v>
      </c>
      <c r="H8913" s="3">
        <v>5.0000000000000001E-3</v>
      </c>
      <c r="I8913" s="3">
        <v>0.62119999999999997</v>
      </c>
      <c r="K8913" s="3">
        <v>0.27610000000000001</v>
      </c>
    </row>
    <row r="8914" spans="1:22">
      <c r="A8914" t="s">
        <v>199</v>
      </c>
      <c r="B8914" t="s">
        <v>215</v>
      </c>
      <c r="C8914">
        <v>98</v>
      </c>
      <c r="D8914" t="s">
        <v>194</v>
      </c>
      <c r="E8914">
        <v>1560</v>
      </c>
      <c r="F8914" s="3">
        <v>0.1212</v>
      </c>
      <c r="G8914" s="3">
        <v>0.1593</v>
      </c>
      <c r="H8914" s="3">
        <v>1.18E-2</v>
      </c>
      <c r="I8914" s="3">
        <v>0.53090000000000004</v>
      </c>
      <c r="K8914" s="3">
        <v>0.17680000000000001</v>
      </c>
    </row>
    <row r="8915" spans="1:22">
      <c r="A8915" t="s">
        <v>200</v>
      </c>
      <c r="B8915" t="s">
        <v>200</v>
      </c>
      <c r="C8915">
        <v>1560</v>
      </c>
      <c r="D8915" t="s">
        <v>200</v>
      </c>
      <c r="E8915">
        <v>1560</v>
      </c>
      <c r="F8915" s="3">
        <v>3.8399999999999997E-2</v>
      </c>
      <c r="G8915" s="3">
        <v>0.12909999999999999</v>
      </c>
      <c r="H8915" s="3">
        <v>6.8999999999999999E-3</v>
      </c>
      <c r="I8915" s="3">
        <v>0.64639999999999997</v>
      </c>
      <c r="J8915" s="3">
        <v>6.8999999999999999E-3</v>
      </c>
      <c r="K8915" s="3">
        <v>0.17230000000000001</v>
      </c>
    </row>
    <row r="8917" spans="1:22" ht="30">
      <c r="A8917" s="22" t="s">
        <v>1764</v>
      </c>
    </row>
    <row r="8918" spans="1:22">
      <c r="A8918" t="s">
        <v>185</v>
      </c>
      <c r="B8918" t="s">
        <v>186</v>
      </c>
      <c r="C8918" t="s">
        <v>192</v>
      </c>
      <c r="D8918" t="s">
        <v>184</v>
      </c>
      <c r="E8918" t="s">
        <v>193</v>
      </c>
      <c r="F8918" t="s">
        <v>1753</v>
      </c>
      <c r="G8918" t="s">
        <v>1754</v>
      </c>
      <c r="H8918" t="s">
        <v>247</v>
      </c>
      <c r="I8918" t="s">
        <v>1755</v>
      </c>
      <c r="J8918" t="s">
        <v>1756</v>
      </c>
      <c r="K8918" t="s">
        <v>1757</v>
      </c>
    </row>
    <row r="8919" spans="1:22">
      <c r="A8919" t="s">
        <v>195</v>
      </c>
      <c r="B8919" t="s">
        <v>217</v>
      </c>
      <c r="C8919">
        <v>370</v>
      </c>
      <c r="D8919" t="s">
        <v>194</v>
      </c>
      <c r="E8919">
        <v>1560</v>
      </c>
      <c r="F8919" s="3">
        <v>3.4700000000000002E-2</v>
      </c>
      <c r="G8919" s="3">
        <v>0.1229</v>
      </c>
      <c r="H8919" s="3">
        <v>5.1000000000000004E-3</v>
      </c>
      <c r="I8919" s="3">
        <v>0.63180000000000003</v>
      </c>
      <c r="J8919" s="3">
        <v>9.5999999999999992E-3</v>
      </c>
      <c r="K8919" s="3">
        <v>0.19589999999999999</v>
      </c>
    </row>
    <row r="8920" spans="1:22">
      <c r="A8920" t="s">
        <v>195</v>
      </c>
      <c r="B8920" t="s">
        <v>219</v>
      </c>
      <c r="C8920">
        <v>385</v>
      </c>
      <c r="D8920" t="s">
        <v>194</v>
      </c>
      <c r="E8920">
        <v>1560</v>
      </c>
      <c r="F8920" s="3">
        <v>2.3599999999999999E-2</v>
      </c>
      <c r="G8920" s="3">
        <v>0.1401</v>
      </c>
      <c r="H8920" s="3">
        <v>1.2699999999999999E-2</v>
      </c>
      <c r="I8920" s="3">
        <v>0.66590000000000005</v>
      </c>
      <c r="J8920" s="3">
        <v>7.3000000000000001E-3</v>
      </c>
      <c r="K8920" s="3">
        <v>0.15029999999999999</v>
      </c>
    </row>
    <row r="8921" spans="1:22">
      <c r="A8921" t="s">
        <v>195</v>
      </c>
      <c r="B8921" t="s">
        <v>220</v>
      </c>
      <c r="C8921">
        <v>124</v>
      </c>
      <c r="D8921" t="s">
        <v>194</v>
      </c>
      <c r="E8921">
        <v>1560</v>
      </c>
      <c r="F8921" s="3">
        <v>6.1800000000000001E-2</v>
      </c>
      <c r="G8921" s="3">
        <v>9.5000000000000001E-2</v>
      </c>
      <c r="I8921" s="3">
        <v>0.67600000000000005</v>
      </c>
      <c r="K8921" s="3">
        <v>0.1673</v>
      </c>
    </row>
    <row r="8922" spans="1:22">
      <c r="A8922" t="s">
        <v>199</v>
      </c>
      <c r="B8922" t="s">
        <v>217</v>
      </c>
      <c r="C8922">
        <v>330</v>
      </c>
      <c r="D8922" t="s">
        <v>194</v>
      </c>
      <c r="E8922">
        <v>1560</v>
      </c>
      <c r="F8922" s="3">
        <v>6.2799999999999995E-2</v>
      </c>
      <c r="G8922" s="3">
        <v>0.16450000000000001</v>
      </c>
      <c r="H8922" s="3">
        <v>8.3000000000000001E-3</v>
      </c>
      <c r="I8922" s="3">
        <v>0.57369999999999999</v>
      </c>
      <c r="J8922" s="3">
        <v>1.06E-2</v>
      </c>
      <c r="K8922" s="3">
        <v>0.18010000000000001</v>
      </c>
    </row>
    <row r="8923" spans="1:22">
      <c r="A8923" t="s">
        <v>199</v>
      </c>
      <c r="B8923" t="s">
        <v>219</v>
      </c>
      <c r="C8923">
        <v>253</v>
      </c>
      <c r="D8923" t="s">
        <v>194</v>
      </c>
      <c r="E8923">
        <v>1560</v>
      </c>
      <c r="F8923" s="3">
        <v>3.6299999999999999E-2</v>
      </c>
      <c r="G8923" s="3">
        <v>8.43E-2</v>
      </c>
      <c r="H8923" s="3">
        <v>6.0000000000000001E-3</v>
      </c>
      <c r="I8923" s="3">
        <v>0.70209999999999995</v>
      </c>
      <c r="J8923" s="3">
        <v>2.5000000000000001E-3</v>
      </c>
      <c r="K8923" s="3">
        <v>0.16880000000000001</v>
      </c>
    </row>
    <row r="8924" spans="1:22">
      <c r="A8924" t="s">
        <v>199</v>
      </c>
      <c r="B8924" t="s">
        <v>220</v>
      </c>
      <c r="C8924">
        <v>97</v>
      </c>
      <c r="D8924" t="s">
        <v>194</v>
      </c>
      <c r="E8924">
        <v>1560</v>
      </c>
      <c r="F8924" s="3">
        <v>1.4800000000000001E-2</v>
      </c>
      <c r="G8924" s="3">
        <v>0.1905</v>
      </c>
      <c r="I8924" s="3">
        <v>0.66069999999999995</v>
      </c>
      <c r="K8924" s="3">
        <v>0.13400000000000001</v>
      </c>
    </row>
    <row r="8925" spans="1:22">
      <c r="A8925" t="s">
        <v>200</v>
      </c>
      <c r="B8925" t="s">
        <v>200</v>
      </c>
      <c r="C8925">
        <v>1560</v>
      </c>
      <c r="D8925" t="s">
        <v>200</v>
      </c>
      <c r="E8925">
        <v>1560</v>
      </c>
      <c r="F8925" s="3">
        <v>3.8399999999999997E-2</v>
      </c>
      <c r="G8925" s="3">
        <v>0.12909999999999999</v>
      </c>
      <c r="H8925" s="3">
        <v>6.8999999999999999E-3</v>
      </c>
      <c r="I8925" s="3">
        <v>0.64639999999999997</v>
      </c>
      <c r="J8925" s="3">
        <v>6.8999999999999999E-3</v>
      </c>
      <c r="K8925" s="3">
        <v>0.17230000000000001</v>
      </c>
    </row>
    <row r="8927" spans="1:22" ht="45">
      <c r="A8927" s="22" t="s">
        <v>1765</v>
      </c>
    </row>
    <row r="8928" spans="1:22">
      <c r="A8928" t="s">
        <v>185</v>
      </c>
      <c r="B8928" t="s">
        <v>186</v>
      </c>
      <c r="C8928" t="s">
        <v>192</v>
      </c>
      <c r="D8928" t="s">
        <v>184</v>
      </c>
      <c r="E8928" t="s">
        <v>193</v>
      </c>
      <c r="F8928" t="s">
        <v>1766</v>
      </c>
      <c r="G8928" t="s">
        <v>1767</v>
      </c>
      <c r="H8928" t="s">
        <v>1768</v>
      </c>
      <c r="I8928" t="s">
        <v>1769</v>
      </c>
      <c r="J8928" t="s">
        <v>1770</v>
      </c>
      <c r="K8928" t="s">
        <v>1771</v>
      </c>
      <c r="L8928" t="s">
        <v>1772</v>
      </c>
      <c r="M8928" t="s">
        <v>1773</v>
      </c>
      <c r="N8928" t="s">
        <v>1774</v>
      </c>
      <c r="O8928" t="s">
        <v>1775</v>
      </c>
      <c r="P8928" t="s">
        <v>1776</v>
      </c>
      <c r="Q8928" t="s">
        <v>1777</v>
      </c>
      <c r="R8928" t="s">
        <v>1778</v>
      </c>
      <c r="S8928" t="s">
        <v>329</v>
      </c>
      <c r="T8928" t="s">
        <v>274</v>
      </c>
      <c r="U8928" t="s">
        <v>247</v>
      </c>
      <c r="V8928" t="s">
        <v>1779</v>
      </c>
    </row>
    <row r="8929" spans="1:22">
      <c r="A8929" t="s">
        <v>195</v>
      </c>
      <c r="B8929" t="s">
        <v>222</v>
      </c>
      <c r="C8929">
        <v>247</v>
      </c>
      <c r="D8929" t="s">
        <v>194</v>
      </c>
      <c r="E8929">
        <v>2668</v>
      </c>
      <c r="F8929" s="3">
        <v>9.1999999999999998E-3</v>
      </c>
      <c r="G8929" s="3">
        <v>9.2600000000000002E-2</v>
      </c>
      <c r="H8929" s="3">
        <v>0.1603</v>
      </c>
      <c r="I8929" s="3">
        <v>3.8999999999999998E-3</v>
      </c>
      <c r="J8929" s="3">
        <v>0.32519999999999999</v>
      </c>
      <c r="K8929" s="3">
        <v>0.1774</v>
      </c>
      <c r="L8929" s="3">
        <v>8.7900000000000006E-2</v>
      </c>
      <c r="M8929" s="3">
        <v>0.33150000000000002</v>
      </c>
      <c r="N8929" s="3">
        <v>1.8499999999999999E-2</v>
      </c>
      <c r="O8929" s="3">
        <v>9.7000000000000003E-2</v>
      </c>
      <c r="P8929" s="3">
        <v>6.0699999999999997E-2</v>
      </c>
      <c r="Q8929" s="3">
        <v>1.9900000000000001E-2</v>
      </c>
      <c r="R8929" s="3">
        <v>4.6100000000000002E-2</v>
      </c>
      <c r="S8929" s="3">
        <v>0.33139999999999997</v>
      </c>
      <c r="T8929" s="3">
        <v>3.8999999999999998E-3</v>
      </c>
      <c r="U8929" s="3">
        <v>1.6000000000000001E-3</v>
      </c>
      <c r="V8929" s="3">
        <v>4.0800000000000003E-2</v>
      </c>
    </row>
    <row r="8930" spans="1:22">
      <c r="A8930" t="s">
        <v>195</v>
      </c>
      <c r="B8930" t="s">
        <v>224</v>
      </c>
      <c r="C8930">
        <v>939</v>
      </c>
      <c r="D8930" t="s">
        <v>194</v>
      </c>
      <c r="E8930">
        <v>2668</v>
      </c>
      <c r="F8930" s="3">
        <v>1.0800000000000001E-2</v>
      </c>
      <c r="G8930" s="3">
        <v>0.12239999999999999</v>
      </c>
      <c r="H8930" s="3">
        <v>0.12909999999999999</v>
      </c>
      <c r="I8930" s="3">
        <v>1E-4</v>
      </c>
      <c r="J8930" s="3">
        <v>0.32790000000000002</v>
      </c>
      <c r="K8930" s="3">
        <v>0.16880000000000001</v>
      </c>
      <c r="L8930" s="3">
        <v>0.1386</v>
      </c>
      <c r="M8930" s="3">
        <v>0.37469999999999998</v>
      </c>
      <c r="N8930" s="3">
        <v>8.3999999999999995E-3</v>
      </c>
      <c r="O8930" s="3">
        <v>4.82E-2</v>
      </c>
      <c r="P8930" s="3">
        <v>2.35E-2</v>
      </c>
      <c r="Q8930" s="3">
        <v>1.26E-2</v>
      </c>
      <c r="R8930" s="3">
        <v>4.6100000000000002E-2</v>
      </c>
      <c r="S8930" s="3">
        <v>0.28029999999999999</v>
      </c>
      <c r="T8930" s="3">
        <v>4.7999999999999996E-3</v>
      </c>
      <c r="U8930" s="3">
        <v>1.24E-2</v>
      </c>
      <c r="V8930" s="3">
        <v>5.0599999999999999E-2</v>
      </c>
    </row>
    <row r="8931" spans="1:22">
      <c r="A8931" t="s">
        <v>199</v>
      </c>
      <c r="B8931" t="s">
        <v>222</v>
      </c>
      <c r="C8931">
        <v>388</v>
      </c>
      <c r="D8931" t="s">
        <v>194</v>
      </c>
      <c r="E8931">
        <v>2668</v>
      </c>
      <c r="F8931" s="3">
        <v>3.8100000000000002E-2</v>
      </c>
      <c r="G8931" s="3">
        <v>5.3100000000000001E-2</v>
      </c>
      <c r="H8931" s="3">
        <v>6.4000000000000001E-2</v>
      </c>
      <c r="I8931" s="3">
        <v>6.3E-3</v>
      </c>
      <c r="J8931" s="3">
        <v>0.108</v>
      </c>
      <c r="K8931" s="3">
        <v>1.2699999999999999E-2</v>
      </c>
      <c r="L8931" s="3">
        <v>1.78E-2</v>
      </c>
      <c r="M8931" s="3">
        <v>0.1212</v>
      </c>
      <c r="N8931" s="3">
        <v>6.9999999999999999E-4</v>
      </c>
      <c r="O8931" s="3">
        <v>8.0000000000000004E-4</v>
      </c>
      <c r="P8931" s="3">
        <v>3.2399999999999998E-2</v>
      </c>
      <c r="Q8931" s="3">
        <v>5.7000000000000002E-3</v>
      </c>
      <c r="R8931" s="3">
        <v>1.24E-2</v>
      </c>
      <c r="S8931" s="3">
        <v>0.67520000000000002</v>
      </c>
      <c r="T8931" s="3">
        <v>4.1999999999999997E-3</v>
      </c>
      <c r="U8931" s="3">
        <v>1.34E-2</v>
      </c>
      <c r="V8931" s="3">
        <v>7.3700000000000002E-2</v>
      </c>
    </row>
    <row r="8932" spans="1:22">
      <c r="A8932" t="s">
        <v>199</v>
      </c>
      <c r="B8932" t="s">
        <v>224</v>
      </c>
      <c r="C8932">
        <v>1094</v>
      </c>
      <c r="D8932" t="s">
        <v>194</v>
      </c>
      <c r="E8932">
        <v>2668</v>
      </c>
      <c r="F8932" s="3">
        <v>5.3999999999999999E-2</v>
      </c>
      <c r="G8932" s="3">
        <v>5.9700000000000003E-2</v>
      </c>
      <c r="H8932" s="3">
        <v>9.3100000000000002E-2</v>
      </c>
      <c r="I8932" s="3">
        <v>1.47E-2</v>
      </c>
      <c r="J8932" s="3">
        <v>0.14510000000000001</v>
      </c>
      <c r="K8932" s="3">
        <v>3.7699999999999997E-2</v>
      </c>
      <c r="L8932" s="3">
        <v>5.3400000000000003E-2</v>
      </c>
      <c r="M8932" s="3">
        <v>0.20330000000000001</v>
      </c>
      <c r="N8932" s="3">
        <v>4.4000000000000003E-3</v>
      </c>
      <c r="O8932" s="3">
        <v>1.3100000000000001E-2</v>
      </c>
      <c r="P8932" s="3">
        <v>2.81E-2</v>
      </c>
      <c r="Q8932" s="3">
        <v>3.0999999999999999E-3</v>
      </c>
      <c r="R8932" s="3">
        <v>1.78E-2</v>
      </c>
      <c r="S8932" s="3">
        <v>0.5585</v>
      </c>
      <c r="T8932" s="3">
        <v>2.2800000000000001E-2</v>
      </c>
      <c r="U8932" s="3">
        <v>1.7999999999999999E-2</v>
      </c>
      <c r="V8932" s="3">
        <v>8.9700000000000002E-2</v>
      </c>
    </row>
    <row r="8933" spans="1:22">
      <c r="A8933" t="s">
        <v>200</v>
      </c>
      <c r="B8933" t="s">
        <v>200</v>
      </c>
      <c r="C8933">
        <v>2668</v>
      </c>
      <c r="D8933" t="s">
        <v>200</v>
      </c>
      <c r="E8933">
        <v>2668</v>
      </c>
      <c r="F8933" s="3">
        <v>3.1899999999999998E-2</v>
      </c>
      <c r="G8933" s="3">
        <v>8.3199999999999996E-2</v>
      </c>
      <c r="H8933" s="3">
        <v>0.1075</v>
      </c>
      <c r="I8933" s="3">
        <v>7.1999999999999998E-3</v>
      </c>
      <c r="J8933" s="3">
        <v>0.21970000000000001</v>
      </c>
      <c r="K8933" s="3">
        <v>9.2600000000000002E-2</v>
      </c>
      <c r="L8933" s="3">
        <v>7.9799999999999996E-2</v>
      </c>
      <c r="M8933" s="3">
        <v>0.26079999999999998</v>
      </c>
      <c r="N8933" s="3">
        <v>6.6E-3</v>
      </c>
      <c r="O8933" s="3">
        <v>3.1800000000000002E-2</v>
      </c>
      <c r="P8933" s="3">
        <v>3.0800000000000001E-2</v>
      </c>
      <c r="Q8933" s="3">
        <v>8.5000000000000006E-3</v>
      </c>
      <c r="R8933" s="3">
        <v>2.9399999999999999E-2</v>
      </c>
      <c r="S8933" s="3">
        <v>0.4602</v>
      </c>
      <c r="T8933" s="3">
        <v>1.1599999999999999E-2</v>
      </c>
      <c r="U8933" s="3">
        <v>1.3599999999999999E-2</v>
      </c>
      <c r="V8933" s="3">
        <v>6.8599999999999994E-2</v>
      </c>
    </row>
    <row r="8935" spans="1:22" ht="45">
      <c r="A8935" s="22" t="s">
        <v>1780</v>
      </c>
    </row>
    <row r="8936" spans="1:22">
      <c r="A8936" t="s">
        <v>185</v>
      </c>
      <c r="B8936" t="s">
        <v>186</v>
      </c>
      <c r="C8936" t="s">
        <v>192</v>
      </c>
      <c r="D8936" t="s">
        <v>184</v>
      </c>
      <c r="E8936" t="s">
        <v>193</v>
      </c>
      <c r="F8936" t="s">
        <v>1766</v>
      </c>
      <c r="G8936" t="s">
        <v>1767</v>
      </c>
      <c r="H8936" t="s">
        <v>1768</v>
      </c>
      <c r="I8936" t="s">
        <v>1769</v>
      </c>
      <c r="J8936" t="s">
        <v>1770</v>
      </c>
      <c r="K8936" t="s">
        <v>1771</v>
      </c>
      <c r="L8936" t="s">
        <v>1772</v>
      </c>
      <c r="M8936" t="s">
        <v>1773</v>
      </c>
      <c r="N8936" t="s">
        <v>1774</v>
      </c>
      <c r="O8936" t="s">
        <v>1775</v>
      </c>
      <c r="P8936" t="s">
        <v>1776</v>
      </c>
      <c r="Q8936" t="s">
        <v>1777</v>
      </c>
      <c r="R8936" t="s">
        <v>1778</v>
      </c>
      <c r="S8936" t="s">
        <v>329</v>
      </c>
      <c r="T8936" t="s">
        <v>274</v>
      </c>
      <c r="U8936" t="s">
        <v>247</v>
      </c>
      <c r="V8936" t="s">
        <v>1779</v>
      </c>
    </row>
    <row r="8937" spans="1:22">
      <c r="A8937" t="s">
        <v>195</v>
      </c>
      <c r="B8937" t="s">
        <v>229</v>
      </c>
      <c r="C8937">
        <v>130</v>
      </c>
      <c r="D8937" t="s">
        <v>194</v>
      </c>
      <c r="E8937">
        <v>2668</v>
      </c>
      <c r="F8937" s="3">
        <v>1.21E-2</v>
      </c>
      <c r="G8937" s="3">
        <v>0.1017</v>
      </c>
      <c r="H8937" s="3">
        <v>4.07E-2</v>
      </c>
      <c r="J8937" s="3">
        <v>0.29480000000000001</v>
      </c>
      <c r="K8937" s="3">
        <v>0.1724</v>
      </c>
      <c r="L8937" s="3">
        <v>8.4500000000000006E-2</v>
      </c>
      <c r="M8937" s="3">
        <v>0.35630000000000001</v>
      </c>
      <c r="O8937" s="3">
        <v>0.1087</v>
      </c>
      <c r="P8937" s="3">
        <v>5.4399999999999997E-2</v>
      </c>
      <c r="Q8937" s="3">
        <v>8.3999999999999995E-3</v>
      </c>
      <c r="R8937" s="3">
        <v>9.7999999999999997E-3</v>
      </c>
      <c r="S8937" s="3">
        <v>0.4168</v>
      </c>
      <c r="T8937" s="3">
        <v>6.3E-3</v>
      </c>
      <c r="U8937" s="3">
        <v>4.7000000000000002E-3</v>
      </c>
      <c r="V8937" s="3">
        <v>4.6300000000000001E-2</v>
      </c>
    </row>
    <row r="8938" spans="1:22">
      <c r="A8938" t="s">
        <v>195</v>
      </c>
      <c r="B8938" t="s">
        <v>230</v>
      </c>
      <c r="C8938">
        <v>484</v>
      </c>
      <c r="D8938" t="s">
        <v>194</v>
      </c>
      <c r="E8938">
        <v>2668</v>
      </c>
      <c r="F8938" s="3">
        <v>1.5299999999999999E-2</v>
      </c>
      <c r="G8938" s="3">
        <v>0.16800000000000001</v>
      </c>
      <c r="H8938" s="3">
        <v>0.14660000000000001</v>
      </c>
      <c r="I8938" s="3">
        <v>2.5999999999999999E-3</v>
      </c>
      <c r="J8938" s="3">
        <v>0.32329999999999998</v>
      </c>
      <c r="K8938" s="3">
        <v>0.15229999999999999</v>
      </c>
      <c r="L8938" s="3">
        <v>0.1326</v>
      </c>
      <c r="M8938" s="3">
        <v>0.37609999999999999</v>
      </c>
      <c r="N8938" s="3">
        <v>1.52E-2</v>
      </c>
      <c r="O8938" s="3">
        <v>3.8399999999999997E-2</v>
      </c>
      <c r="P8938" s="3">
        <v>2.9000000000000001E-2</v>
      </c>
      <c r="Q8938" s="3">
        <v>1.14E-2</v>
      </c>
      <c r="R8938" s="3">
        <v>5.1700000000000003E-2</v>
      </c>
      <c r="S8938" s="3">
        <v>0.30570000000000003</v>
      </c>
      <c r="T8938" s="3">
        <v>6.1999999999999998E-3</v>
      </c>
      <c r="U8938" s="3">
        <v>1.26E-2</v>
      </c>
      <c r="V8938" s="3">
        <v>5.0099999999999999E-2</v>
      </c>
    </row>
    <row r="8939" spans="1:22">
      <c r="A8939" t="s">
        <v>195</v>
      </c>
      <c r="B8939" t="s">
        <v>231</v>
      </c>
      <c r="C8939">
        <v>304</v>
      </c>
      <c r="D8939" t="s">
        <v>194</v>
      </c>
      <c r="E8939">
        <v>2668</v>
      </c>
      <c r="F8939" s="3">
        <v>5.4000000000000003E-3</v>
      </c>
      <c r="G8939" s="3">
        <v>0.11840000000000001</v>
      </c>
      <c r="H8939" s="3">
        <v>0.13969999999999999</v>
      </c>
      <c r="J8939" s="3">
        <v>0.31869999999999998</v>
      </c>
      <c r="K8939" s="3">
        <v>0.18279999999999999</v>
      </c>
      <c r="L8939" s="3">
        <v>0.13730000000000001</v>
      </c>
      <c r="M8939" s="3">
        <v>0.34470000000000001</v>
      </c>
      <c r="N8939" s="3">
        <v>1.37E-2</v>
      </c>
      <c r="O8939" s="3">
        <v>7.5700000000000003E-2</v>
      </c>
      <c r="P8939" s="3">
        <v>4.2799999999999998E-2</v>
      </c>
      <c r="Q8939" s="3">
        <v>2.2800000000000001E-2</v>
      </c>
      <c r="R8939" s="3">
        <v>6.9900000000000004E-2</v>
      </c>
      <c r="S8939" s="3">
        <v>0.25790000000000002</v>
      </c>
      <c r="T8939" s="3">
        <v>4.3E-3</v>
      </c>
      <c r="U8939" s="3">
        <v>9.9000000000000008E-3</v>
      </c>
      <c r="V8939" s="3">
        <v>6.8699999999999997E-2</v>
      </c>
    </row>
    <row r="8940" spans="1:22">
      <c r="A8940" t="s">
        <v>195</v>
      </c>
      <c r="B8940" t="s">
        <v>232</v>
      </c>
      <c r="C8940">
        <v>268</v>
      </c>
      <c r="D8940" t="s">
        <v>194</v>
      </c>
      <c r="E8940">
        <v>2668</v>
      </c>
      <c r="F8940" s="3">
        <v>5.8999999999999999E-3</v>
      </c>
      <c r="G8940" s="3">
        <v>2.3800000000000002E-2</v>
      </c>
      <c r="H8940" s="3">
        <v>0.18210000000000001</v>
      </c>
      <c r="J8940" s="3">
        <v>0.36709999999999998</v>
      </c>
      <c r="K8940" s="3">
        <v>0.1905</v>
      </c>
      <c r="L8940" s="3">
        <v>0.13189999999999999</v>
      </c>
      <c r="M8940" s="3">
        <v>0.37030000000000002</v>
      </c>
      <c r="N8940" s="3">
        <v>7.4000000000000003E-3</v>
      </c>
      <c r="O8940" s="3">
        <v>4.7500000000000001E-2</v>
      </c>
      <c r="P8940" s="3">
        <v>1.18E-2</v>
      </c>
      <c r="Q8940" s="3">
        <v>1.44E-2</v>
      </c>
      <c r="R8940" s="3">
        <v>3.4099999999999998E-2</v>
      </c>
      <c r="S8940" s="3">
        <v>0.22070000000000001</v>
      </c>
      <c r="T8940" s="3">
        <v>6.9999999999999999E-4</v>
      </c>
      <c r="U8940" s="3">
        <v>7.9000000000000008E-3</v>
      </c>
      <c r="V8940" s="3">
        <v>2.3E-2</v>
      </c>
    </row>
    <row r="8941" spans="1:22">
      <c r="A8941" t="s">
        <v>199</v>
      </c>
      <c r="B8941" t="s">
        <v>229</v>
      </c>
      <c r="C8941">
        <v>150</v>
      </c>
      <c r="D8941" t="s">
        <v>194</v>
      </c>
      <c r="E8941">
        <v>2668</v>
      </c>
      <c r="F8941" s="3">
        <v>5.6899999999999999E-2</v>
      </c>
      <c r="G8941" s="3">
        <v>6.7299999999999999E-2</v>
      </c>
      <c r="H8941" s="3">
        <v>5.5300000000000002E-2</v>
      </c>
      <c r="I8941" s="3">
        <v>2.9000000000000001E-2</v>
      </c>
      <c r="J8941" s="3">
        <v>6.7500000000000004E-2</v>
      </c>
      <c r="K8941" s="3">
        <v>1.0699999999999999E-2</v>
      </c>
      <c r="L8941" s="3">
        <v>2.9700000000000001E-2</v>
      </c>
      <c r="M8941" s="3">
        <v>0.12740000000000001</v>
      </c>
      <c r="P8941" s="3">
        <v>4.0000000000000001E-3</v>
      </c>
      <c r="Q8941" s="3">
        <v>2.0000000000000001E-4</v>
      </c>
      <c r="R8941" s="3">
        <v>1.8599999999999998E-2</v>
      </c>
      <c r="S8941" s="3">
        <v>0.62619999999999998</v>
      </c>
      <c r="T8941" s="3">
        <v>1.9900000000000001E-2</v>
      </c>
      <c r="U8941" s="3">
        <v>4.0800000000000003E-2</v>
      </c>
      <c r="V8941" s="3">
        <v>9.4799999999999995E-2</v>
      </c>
    </row>
    <row r="8942" spans="1:22">
      <c r="A8942" t="s">
        <v>199</v>
      </c>
      <c r="B8942" t="s">
        <v>230</v>
      </c>
      <c r="C8942">
        <v>699</v>
      </c>
      <c r="D8942" t="s">
        <v>194</v>
      </c>
      <c r="E8942">
        <v>2668</v>
      </c>
      <c r="F8942" s="3">
        <v>4.7199999999999999E-2</v>
      </c>
      <c r="G8942" s="3">
        <v>7.3700000000000002E-2</v>
      </c>
      <c r="H8942" s="3">
        <v>6.4399999999999999E-2</v>
      </c>
      <c r="I8942" s="3">
        <v>1.06E-2</v>
      </c>
      <c r="J8942" s="3">
        <v>0.13639999999999999</v>
      </c>
      <c r="K8942" s="3">
        <v>2.0799999999999999E-2</v>
      </c>
      <c r="L8942" s="3">
        <v>3.5700000000000003E-2</v>
      </c>
      <c r="M8942" s="3">
        <v>0.14849999999999999</v>
      </c>
      <c r="N8942" s="3">
        <v>8.9999999999999998E-4</v>
      </c>
      <c r="O8942" s="3">
        <v>4.8999999999999998E-3</v>
      </c>
      <c r="P8942" s="3">
        <v>4.1500000000000002E-2</v>
      </c>
      <c r="Q8942" s="3">
        <v>1.6000000000000001E-3</v>
      </c>
      <c r="R8942" s="3">
        <v>1.38E-2</v>
      </c>
      <c r="S8942" s="3">
        <v>0.62939999999999996</v>
      </c>
      <c r="T8942" s="3">
        <v>2.3800000000000002E-2</v>
      </c>
      <c r="U8942" s="3">
        <v>1.03E-2</v>
      </c>
      <c r="V8942" s="3">
        <v>7.4399999999999994E-2</v>
      </c>
    </row>
    <row r="8943" spans="1:22">
      <c r="A8943" t="s">
        <v>199</v>
      </c>
      <c r="B8943" t="s">
        <v>231</v>
      </c>
      <c r="C8943">
        <v>394</v>
      </c>
      <c r="D8943" t="s">
        <v>194</v>
      </c>
      <c r="E8943">
        <v>2668</v>
      </c>
      <c r="F8943" s="3">
        <v>8.1199999999999994E-2</v>
      </c>
      <c r="G8943" s="3">
        <v>4.9700000000000001E-2</v>
      </c>
      <c r="H8943" s="3">
        <v>8.5000000000000006E-2</v>
      </c>
      <c r="I8943" s="3">
        <v>1.0500000000000001E-2</v>
      </c>
      <c r="J8943" s="3">
        <v>0.1464</v>
      </c>
      <c r="K8943" s="3">
        <v>5.3699999999999998E-2</v>
      </c>
      <c r="L8943" s="3">
        <v>3.7100000000000001E-2</v>
      </c>
      <c r="M8943" s="3">
        <v>0.17449999999999999</v>
      </c>
      <c r="N8943" s="3">
        <v>1.5299999999999999E-2</v>
      </c>
      <c r="O8943" s="3">
        <v>3.8399999999999997E-2</v>
      </c>
      <c r="P8943" s="3">
        <v>2.87E-2</v>
      </c>
      <c r="Q8943" s="3">
        <v>4.4000000000000003E-3</v>
      </c>
      <c r="R8943" s="3">
        <v>2.7400000000000001E-2</v>
      </c>
      <c r="S8943" s="3">
        <v>0.5726</v>
      </c>
      <c r="T8943" s="3">
        <v>1.2800000000000001E-2</v>
      </c>
      <c r="U8943" s="3">
        <v>1.3599999999999999E-2</v>
      </c>
      <c r="V8943" s="3">
        <v>9.8699999999999996E-2</v>
      </c>
    </row>
    <row r="8944" spans="1:22">
      <c r="A8944" t="s">
        <v>199</v>
      </c>
      <c r="B8944" t="s">
        <v>232</v>
      </c>
      <c r="C8944">
        <v>239</v>
      </c>
      <c r="D8944" t="s">
        <v>194</v>
      </c>
      <c r="E8944">
        <v>2668</v>
      </c>
      <c r="F8944" s="3">
        <v>1.1299999999999999E-2</v>
      </c>
      <c r="G8944" s="3">
        <v>1.15E-2</v>
      </c>
      <c r="H8944" s="3">
        <v>0.16900000000000001</v>
      </c>
      <c r="I8944" s="3">
        <v>2.9999999999999997E-4</v>
      </c>
      <c r="J8944" s="3">
        <v>0.1825</v>
      </c>
      <c r="K8944" s="3">
        <v>5.0599999999999999E-2</v>
      </c>
      <c r="L8944" s="3">
        <v>8.1100000000000005E-2</v>
      </c>
      <c r="M8944" s="3">
        <v>0.31859999999999999</v>
      </c>
      <c r="P8944" s="3">
        <v>2.3800000000000002E-2</v>
      </c>
      <c r="Q8944" s="3">
        <v>1.38E-2</v>
      </c>
      <c r="R8944" s="3">
        <v>7.7000000000000002E-3</v>
      </c>
      <c r="S8944" s="3">
        <v>0.48609999999999998</v>
      </c>
      <c r="T8944" s="3">
        <v>2.0000000000000001E-4</v>
      </c>
      <c r="U8944" s="3">
        <v>1.17E-2</v>
      </c>
      <c r="V8944" s="3">
        <v>8.8200000000000001E-2</v>
      </c>
    </row>
    <row r="8945" spans="1:22">
      <c r="A8945" t="s">
        <v>200</v>
      </c>
      <c r="B8945" t="s">
        <v>200</v>
      </c>
      <c r="C8945">
        <v>2668</v>
      </c>
      <c r="D8945" t="s">
        <v>200</v>
      </c>
      <c r="E8945">
        <v>2668</v>
      </c>
      <c r="F8945" s="3">
        <v>3.1899999999999998E-2</v>
      </c>
      <c r="G8945" s="3">
        <v>8.3199999999999996E-2</v>
      </c>
      <c r="H8945" s="3">
        <v>0.1075</v>
      </c>
      <c r="I8945" s="3">
        <v>7.1999999999999998E-3</v>
      </c>
      <c r="J8945" s="3">
        <v>0.21970000000000001</v>
      </c>
      <c r="K8945" s="3">
        <v>9.2600000000000002E-2</v>
      </c>
      <c r="L8945" s="3">
        <v>7.9799999999999996E-2</v>
      </c>
      <c r="M8945" s="3">
        <v>0.26079999999999998</v>
      </c>
      <c r="N8945" s="3">
        <v>6.6E-3</v>
      </c>
      <c r="O8945" s="3">
        <v>3.1800000000000002E-2</v>
      </c>
      <c r="P8945" s="3">
        <v>3.0800000000000001E-2</v>
      </c>
      <c r="Q8945" s="3">
        <v>8.5000000000000006E-3</v>
      </c>
      <c r="R8945" s="3">
        <v>2.9399999999999999E-2</v>
      </c>
      <c r="S8945" s="3">
        <v>0.4602</v>
      </c>
      <c r="T8945" s="3">
        <v>1.1599999999999999E-2</v>
      </c>
      <c r="U8945" s="3">
        <v>1.3599999999999999E-2</v>
      </c>
      <c r="V8945" s="3">
        <v>6.8599999999999994E-2</v>
      </c>
    </row>
    <row r="8947" spans="1:22" ht="45">
      <c r="A8947" s="22" t="s">
        <v>1781</v>
      </c>
    </row>
    <row r="8948" spans="1:22">
      <c r="A8948" t="s">
        <v>185</v>
      </c>
      <c r="B8948" t="s">
        <v>186</v>
      </c>
      <c r="C8948" t="s">
        <v>192</v>
      </c>
      <c r="D8948" t="s">
        <v>184</v>
      </c>
      <c r="E8948" t="s">
        <v>193</v>
      </c>
      <c r="F8948" t="s">
        <v>1766</v>
      </c>
      <c r="G8948" t="s">
        <v>1767</v>
      </c>
      <c r="H8948" t="s">
        <v>1768</v>
      </c>
      <c r="I8948" t="s">
        <v>1769</v>
      </c>
      <c r="J8948" t="s">
        <v>1770</v>
      </c>
      <c r="K8948" t="s">
        <v>1771</v>
      </c>
      <c r="L8948" t="s">
        <v>1772</v>
      </c>
      <c r="M8948" t="s">
        <v>1773</v>
      </c>
      <c r="N8948" t="s">
        <v>1774</v>
      </c>
      <c r="O8948" t="s">
        <v>1775</v>
      </c>
      <c r="P8948" t="s">
        <v>1776</v>
      </c>
      <c r="Q8948" t="s">
        <v>1777</v>
      </c>
      <c r="R8948" t="s">
        <v>1778</v>
      </c>
      <c r="S8948" t="s">
        <v>329</v>
      </c>
      <c r="T8948" t="s">
        <v>274</v>
      </c>
      <c r="U8948" t="s">
        <v>247</v>
      </c>
      <c r="V8948" t="s">
        <v>1779</v>
      </c>
    </row>
    <row r="8949" spans="1:22">
      <c r="A8949" t="s">
        <v>195</v>
      </c>
      <c r="B8949" t="s">
        <v>196</v>
      </c>
      <c r="C8949">
        <v>411</v>
      </c>
      <c r="D8949" t="s">
        <v>194</v>
      </c>
      <c r="E8949">
        <v>2668</v>
      </c>
      <c r="F8949" s="3">
        <v>1.2699999999999999E-2</v>
      </c>
      <c r="G8949" s="3">
        <v>0.11559999999999999</v>
      </c>
      <c r="H8949" s="3">
        <v>0.11849999999999999</v>
      </c>
      <c r="J8949" s="3">
        <v>0.2979</v>
      </c>
      <c r="K8949" s="3">
        <v>0.1608</v>
      </c>
      <c r="L8949" s="3">
        <v>0.1245</v>
      </c>
      <c r="M8949" s="3">
        <v>0.37909999999999999</v>
      </c>
      <c r="N8949" s="3">
        <v>9.1999999999999998E-3</v>
      </c>
      <c r="O8949" s="3">
        <v>3.9699999999999999E-2</v>
      </c>
      <c r="P8949" s="3">
        <v>2.5999999999999999E-2</v>
      </c>
      <c r="Q8949" s="3">
        <v>1.5800000000000002E-2</v>
      </c>
      <c r="R8949" s="3">
        <v>4.6199999999999998E-2</v>
      </c>
      <c r="S8949" s="3">
        <v>0.31390000000000001</v>
      </c>
      <c r="T8949" s="3">
        <v>2.2000000000000001E-3</v>
      </c>
      <c r="U8949" s="3">
        <v>9.7000000000000003E-3</v>
      </c>
      <c r="V8949" s="3">
        <v>8.8999999999999996E-2</v>
      </c>
    </row>
    <row r="8950" spans="1:22">
      <c r="A8950" t="s">
        <v>195</v>
      </c>
      <c r="B8950" t="s">
        <v>198</v>
      </c>
      <c r="C8950">
        <v>755</v>
      </c>
      <c r="D8950" t="s">
        <v>194</v>
      </c>
      <c r="E8950">
        <v>2668</v>
      </c>
      <c r="F8950" s="3">
        <v>9.2999999999999992E-3</v>
      </c>
      <c r="G8950" s="3">
        <v>0.11550000000000001</v>
      </c>
      <c r="H8950" s="3">
        <v>0.1434</v>
      </c>
      <c r="I8950" s="3">
        <v>1.4E-3</v>
      </c>
      <c r="J8950" s="3">
        <v>0.33879999999999999</v>
      </c>
      <c r="K8950" s="3">
        <v>0.1739</v>
      </c>
      <c r="L8950" s="3">
        <v>0.12790000000000001</v>
      </c>
      <c r="M8950" s="3">
        <v>0.3599</v>
      </c>
      <c r="N8950" s="3">
        <v>1.15E-2</v>
      </c>
      <c r="O8950" s="3">
        <v>6.7699999999999996E-2</v>
      </c>
      <c r="P8950" s="3">
        <v>3.5099999999999999E-2</v>
      </c>
      <c r="Q8950" s="3">
        <v>1.3899999999999999E-2</v>
      </c>
      <c r="R8950" s="3">
        <v>4.6300000000000001E-2</v>
      </c>
      <c r="S8950" s="3">
        <v>0.28570000000000001</v>
      </c>
      <c r="T8950" s="3">
        <v>5.4999999999999997E-3</v>
      </c>
      <c r="U8950" s="3">
        <v>9.1000000000000004E-3</v>
      </c>
      <c r="V8950" s="3">
        <v>3.3300000000000003E-2</v>
      </c>
    </row>
    <row r="8951" spans="1:22">
      <c r="A8951" t="s">
        <v>199</v>
      </c>
      <c r="B8951" t="s">
        <v>196</v>
      </c>
      <c r="C8951">
        <v>521</v>
      </c>
      <c r="D8951" t="s">
        <v>194</v>
      </c>
      <c r="E8951">
        <v>2668</v>
      </c>
      <c r="F8951" s="3">
        <v>2.93E-2</v>
      </c>
      <c r="G8951" s="3">
        <v>5.45E-2</v>
      </c>
      <c r="H8951" s="3">
        <v>0.106</v>
      </c>
      <c r="I8951" s="3">
        <v>1.14E-2</v>
      </c>
      <c r="J8951" s="3">
        <v>0.1399</v>
      </c>
      <c r="K8951" s="3">
        <v>6.59E-2</v>
      </c>
      <c r="L8951" s="3">
        <v>4.9299999999999997E-2</v>
      </c>
      <c r="M8951" s="3">
        <v>0.18859999999999999</v>
      </c>
      <c r="N8951" s="3">
        <v>1.1999999999999999E-3</v>
      </c>
      <c r="O8951" s="3">
        <v>1.8E-3</v>
      </c>
      <c r="P8951" s="3">
        <v>1.66E-2</v>
      </c>
      <c r="Q8951" s="3">
        <v>1E-3</v>
      </c>
      <c r="R8951" s="3">
        <v>2.01E-2</v>
      </c>
      <c r="S8951" s="3">
        <v>0.56630000000000003</v>
      </c>
      <c r="T8951" s="3">
        <v>1.2200000000000001E-2</v>
      </c>
      <c r="U8951" s="3">
        <v>7.0000000000000001E-3</v>
      </c>
      <c r="V8951" s="3">
        <v>7.7499999999999999E-2</v>
      </c>
    </row>
    <row r="8952" spans="1:22">
      <c r="A8952" t="s">
        <v>199</v>
      </c>
      <c r="B8952" t="s">
        <v>198</v>
      </c>
      <c r="C8952">
        <v>943</v>
      </c>
      <c r="D8952" t="s">
        <v>194</v>
      </c>
      <c r="E8952">
        <v>2668</v>
      </c>
      <c r="F8952" s="3">
        <v>5.3800000000000001E-2</v>
      </c>
      <c r="G8952" s="3">
        <v>5.8500000000000003E-2</v>
      </c>
      <c r="H8952" s="3">
        <v>7.9000000000000001E-2</v>
      </c>
      <c r="I8952" s="3">
        <v>1.23E-2</v>
      </c>
      <c r="J8952" s="3">
        <v>0.13220000000000001</v>
      </c>
      <c r="K8952" s="3">
        <v>2.1899999999999999E-2</v>
      </c>
      <c r="L8952" s="3">
        <v>4.1000000000000002E-2</v>
      </c>
      <c r="M8952" s="3">
        <v>0.1759</v>
      </c>
      <c r="N8952" s="3">
        <v>3.7000000000000002E-3</v>
      </c>
      <c r="O8952" s="3">
        <v>1.11E-2</v>
      </c>
      <c r="P8952" s="3">
        <v>3.2399999999999998E-2</v>
      </c>
      <c r="Q8952" s="3">
        <v>4.5999999999999999E-3</v>
      </c>
      <c r="R8952" s="3">
        <v>1.5100000000000001E-2</v>
      </c>
      <c r="S8952" s="3">
        <v>0.60060000000000002</v>
      </c>
      <c r="T8952" s="3">
        <v>1.83E-2</v>
      </c>
      <c r="U8952" s="3">
        <v>1.8800000000000001E-2</v>
      </c>
      <c r="V8952" s="3">
        <v>8.6599999999999996E-2</v>
      </c>
    </row>
    <row r="8953" spans="1:22">
      <c r="A8953" t="s">
        <v>200</v>
      </c>
      <c r="B8953" t="s">
        <v>200</v>
      </c>
      <c r="C8953">
        <v>2668</v>
      </c>
      <c r="D8953" t="s">
        <v>200</v>
      </c>
      <c r="E8953">
        <v>2668</v>
      </c>
      <c r="F8953" s="3">
        <v>3.1899999999999998E-2</v>
      </c>
      <c r="G8953" s="3">
        <v>8.3199999999999996E-2</v>
      </c>
      <c r="H8953" s="3">
        <v>0.1075</v>
      </c>
      <c r="I8953" s="3">
        <v>7.1999999999999998E-3</v>
      </c>
      <c r="J8953" s="3">
        <v>0.21970000000000001</v>
      </c>
      <c r="K8953" s="3">
        <v>9.2600000000000002E-2</v>
      </c>
      <c r="L8953" s="3">
        <v>7.9799999999999996E-2</v>
      </c>
      <c r="M8953" s="3">
        <v>0.26079999999999998</v>
      </c>
      <c r="N8953" s="3">
        <v>6.6E-3</v>
      </c>
      <c r="O8953" s="3">
        <v>3.1800000000000002E-2</v>
      </c>
      <c r="P8953" s="3">
        <v>3.0800000000000001E-2</v>
      </c>
      <c r="Q8953" s="3">
        <v>8.5000000000000006E-3</v>
      </c>
      <c r="R8953" s="3">
        <v>2.9399999999999999E-2</v>
      </c>
      <c r="S8953" s="3">
        <v>0.4602</v>
      </c>
      <c r="T8953" s="3">
        <v>1.1599999999999999E-2</v>
      </c>
      <c r="U8953" s="3">
        <v>1.3599999999999999E-2</v>
      </c>
      <c r="V8953" s="3">
        <v>6.8599999999999994E-2</v>
      </c>
    </row>
    <row r="8955" spans="1:22" ht="45">
      <c r="A8955" s="22" t="s">
        <v>1782</v>
      </c>
    </row>
    <row r="8956" spans="1:22">
      <c r="A8956" t="s">
        <v>185</v>
      </c>
      <c r="B8956" t="s">
        <v>186</v>
      </c>
      <c r="C8956" t="s">
        <v>192</v>
      </c>
      <c r="D8956" t="s">
        <v>184</v>
      </c>
      <c r="E8956" t="s">
        <v>193</v>
      </c>
      <c r="F8956" t="s">
        <v>1766</v>
      </c>
      <c r="G8956" t="s">
        <v>1767</v>
      </c>
      <c r="H8956" t="s">
        <v>1768</v>
      </c>
      <c r="I8956" t="s">
        <v>1769</v>
      </c>
      <c r="J8956" t="s">
        <v>1770</v>
      </c>
      <c r="K8956" t="s">
        <v>1771</v>
      </c>
      <c r="L8956" t="s">
        <v>1772</v>
      </c>
      <c r="M8956" t="s">
        <v>1773</v>
      </c>
      <c r="N8956" t="s">
        <v>1774</v>
      </c>
      <c r="O8956" t="s">
        <v>1775</v>
      </c>
      <c r="P8956" t="s">
        <v>1776</v>
      </c>
      <c r="Q8956" t="s">
        <v>1777</v>
      </c>
      <c r="R8956" t="s">
        <v>1778</v>
      </c>
      <c r="S8956" t="s">
        <v>329</v>
      </c>
      <c r="T8956" t="s">
        <v>274</v>
      </c>
      <c r="U8956" t="s">
        <v>247</v>
      </c>
      <c r="V8956" t="s">
        <v>1779</v>
      </c>
    </row>
    <row r="8957" spans="1:22">
      <c r="A8957" t="s">
        <v>195</v>
      </c>
      <c r="B8957" t="s">
        <v>202</v>
      </c>
      <c r="C8957">
        <v>532</v>
      </c>
      <c r="D8957" t="s">
        <v>194</v>
      </c>
      <c r="E8957">
        <v>2668</v>
      </c>
      <c r="F8957" s="3">
        <v>9.7999999999999997E-3</v>
      </c>
      <c r="G8957" s="3">
        <v>0.1033</v>
      </c>
      <c r="H8957" s="3">
        <v>0.13089999999999999</v>
      </c>
      <c r="J8957" s="3">
        <v>0.28310000000000002</v>
      </c>
      <c r="K8957" s="3">
        <v>0.1305</v>
      </c>
      <c r="L8957" s="3">
        <v>0.1472</v>
      </c>
      <c r="M8957" s="3">
        <v>0.3604</v>
      </c>
      <c r="N8957" s="3">
        <v>8.6E-3</v>
      </c>
      <c r="O8957" s="3">
        <v>5.0599999999999999E-2</v>
      </c>
      <c r="P8957" s="3">
        <v>2.2100000000000002E-2</v>
      </c>
      <c r="Q8957" s="3">
        <v>1.4800000000000001E-2</v>
      </c>
      <c r="R8957" s="3">
        <v>4.36E-2</v>
      </c>
      <c r="S8957" s="3">
        <v>0.31409999999999999</v>
      </c>
      <c r="T8957" s="3">
        <v>2.8999999999999998E-3</v>
      </c>
      <c r="U8957" s="3">
        <v>6.1999999999999998E-3</v>
      </c>
      <c r="V8957" s="3">
        <v>4.0399999999999998E-2</v>
      </c>
    </row>
    <row r="8958" spans="1:22">
      <c r="A8958" t="s">
        <v>195</v>
      </c>
      <c r="B8958" t="s">
        <v>204</v>
      </c>
      <c r="C8958">
        <v>301</v>
      </c>
      <c r="D8958" t="s">
        <v>194</v>
      </c>
      <c r="E8958">
        <v>2668</v>
      </c>
      <c r="F8958" s="3">
        <v>9.1999999999999998E-3</v>
      </c>
      <c r="G8958" s="3">
        <v>0.13769999999999999</v>
      </c>
      <c r="H8958" s="3">
        <v>0.1578</v>
      </c>
      <c r="I8958" s="3">
        <v>4.4000000000000003E-3</v>
      </c>
      <c r="J8958" s="3">
        <v>0.4884</v>
      </c>
      <c r="K8958" s="3">
        <v>0.26269999999999999</v>
      </c>
      <c r="L8958" s="3">
        <v>8.9200000000000002E-2</v>
      </c>
      <c r="M8958" s="3">
        <v>0.33760000000000001</v>
      </c>
      <c r="N8958" s="3">
        <v>1.8100000000000002E-2</v>
      </c>
      <c r="O8958" s="3">
        <v>5.4300000000000001E-2</v>
      </c>
      <c r="P8958" s="3">
        <v>4.8800000000000003E-2</v>
      </c>
      <c r="Q8958" s="3">
        <v>1.4999999999999999E-2</v>
      </c>
      <c r="R8958" s="3">
        <v>6.0100000000000001E-2</v>
      </c>
      <c r="S8958" s="3">
        <v>0.22570000000000001</v>
      </c>
      <c r="T8958" s="3">
        <v>7.1000000000000004E-3</v>
      </c>
      <c r="U8958" s="3">
        <v>9.5999999999999992E-3</v>
      </c>
      <c r="V8958" s="3">
        <v>7.1900000000000006E-2</v>
      </c>
    </row>
    <row r="8959" spans="1:22">
      <c r="A8959" t="s">
        <v>195</v>
      </c>
      <c r="B8959" t="s">
        <v>205</v>
      </c>
      <c r="C8959">
        <v>333</v>
      </c>
      <c r="D8959" t="s">
        <v>194</v>
      </c>
      <c r="E8959">
        <v>2668</v>
      </c>
      <c r="F8959" s="3">
        <v>1.4E-2</v>
      </c>
      <c r="G8959" s="3">
        <v>0.13919999999999999</v>
      </c>
      <c r="H8959" s="3">
        <v>0.13159999999999999</v>
      </c>
      <c r="I8959" s="3">
        <v>5.0000000000000001E-4</v>
      </c>
      <c r="J8959" s="3">
        <v>0.28799999999999998</v>
      </c>
      <c r="K8959" s="3">
        <v>0.21510000000000001</v>
      </c>
      <c r="L8959" s="3">
        <v>9.0499999999999997E-2</v>
      </c>
      <c r="M8959" s="3">
        <v>0.43049999999999999</v>
      </c>
      <c r="N8959" s="3">
        <v>1.0500000000000001E-2</v>
      </c>
      <c r="O8959" s="3">
        <v>0.1154</v>
      </c>
      <c r="P8959" s="3">
        <v>5.7700000000000001E-2</v>
      </c>
      <c r="Q8959" s="3">
        <v>1.1599999999999999E-2</v>
      </c>
      <c r="R8959" s="3">
        <v>3.7199999999999997E-2</v>
      </c>
      <c r="S8959" s="3">
        <v>0.3004</v>
      </c>
      <c r="T8959" s="3">
        <v>8.6999999999999994E-3</v>
      </c>
      <c r="U8959" s="3">
        <v>2.3199999999999998E-2</v>
      </c>
      <c r="V8959" s="3">
        <v>4.7699999999999999E-2</v>
      </c>
    </row>
    <row r="8960" spans="1:22">
      <c r="A8960" t="s">
        <v>199</v>
      </c>
      <c r="B8960" t="s">
        <v>202</v>
      </c>
      <c r="C8960">
        <v>537</v>
      </c>
      <c r="D8960" t="s">
        <v>194</v>
      </c>
      <c r="E8960">
        <v>2668</v>
      </c>
      <c r="F8960" s="3">
        <v>6.9699999999999998E-2</v>
      </c>
      <c r="G8960" s="3">
        <v>5.04E-2</v>
      </c>
      <c r="H8960" s="3">
        <v>5.2299999999999999E-2</v>
      </c>
      <c r="I8960" s="3">
        <v>2.5999999999999999E-3</v>
      </c>
      <c r="J8960" s="3">
        <v>9.2700000000000005E-2</v>
      </c>
      <c r="K8960" s="3">
        <v>1.7299999999999999E-2</v>
      </c>
      <c r="L8960" s="3">
        <v>3.3099999999999997E-2</v>
      </c>
      <c r="M8960" s="3">
        <v>0.1241</v>
      </c>
      <c r="N8960" s="3">
        <v>6.9999999999999999E-4</v>
      </c>
      <c r="O8960" s="3">
        <v>8.0000000000000002E-3</v>
      </c>
      <c r="P8960" s="3">
        <v>1.2699999999999999E-2</v>
      </c>
      <c r="Q8960" s="3">
        <v>3.8E-3</v>
      </c>
      <c r="R8960" s="3">
        <v>1.1900000000000001E-2</v>
      </c>
      <c r="S8960" s="3">
        <v>0.64439999999999997</v>
      </c>
      <c r="T8960" s="3">
        <v>2.2599999999999999E-2</v>
      </c>
      <c r="U8960" s="3">
        <v>1.6400000000000001E-2</v>
      </c>
      <c r="V8960" s="3">
        <v>9.0300000000000005E-2</v>
      </c>
    </row>
    <row r="8961" spans="1:22">
      <c r="A8961" t="s">
        <v>199</v>
      </c>
      <c r="B8961" t="s">
        <v>204</v>
      </c>
      <c r="C8961">
        <v>424</v>
      </c>
      <c r="D8961" t="s">
        <v>194</v>
      </c>
      <c r="E8961">
        <v>2668</v>
      </c>
      <c r="F8961" s="3">
        <v>1.7000000000000001E-2</v>
      </c>
      <c r="G8961" s="3">
        <v>4.6300000000000001E-2</v>
      </c>
      <c r="H8961" s="3">
        <v>0.12520000000000001</v>
      </c>
      <c r="I8961" s="3">
        <v>1.35E-2</v>
      </c>
      <c r="J8961" s="3">
        <v>0.18609999999999999</v>
      </c>
      <c r="K8961" s="3">
        <v>4.0899999999999999E-2</v>
      </c>
      <c r="L8961" s="3">
        <v>8.5699999999999998E-2</v>
      </c>
      <c r="M8961" s="3">
        <v>0.22589999999999999</v>
      </c>
      <c r="P8961" s="3">
        <v>2.47E-2</v>
      </c>
      <c r="Q8961" s="3">
        <v>4.1999999999999997E-3</v>
      </c>
      <c r="R8961" s="3">
        <v>1.9300000000000001E-2</v>
      </c>
      <c r="S8961" s="3">
        <v>0.53690000000000004</v>
      </c>
      <c r="T8961" s="3">
        <v>1.8E-3</v>
      </c>
      <c r="U8961" s="3">
        <v>2.1600000000000001E-2</v>
      </c>
      <c r="V8961" s="3">
        <v>4.7500000000000001E-2</v>
      </c>
    </row>
    <row r="8962" spans="1:22">
      <c r="A8962" t="s">
        <v>199</v>
      </c>
      <c r="B8962" t="s">
        <v>205</v>
      </c>
      <c r="C8962">
        <v>503</v>
      </c>
      <c r="D8962" t="s">
        <v>194</v>
      </c>
      <c r="E8962">
        <v>2668</v>
      </c>
      <c r="F8962" s="3">
        <v>8.6999999999999994E-3</v>
      </c>
      <c r="G8962" s="3">
        <v>9.8599999999999993E-2</v>
      </c>
      <c r="H8962" s="3">
        <v>0.15679999999999999</v>
      </c>
      <c r="I8962" s="3">
        <v>4.6600000000000003E-2</v>
      </c>
      <c r="J8962" s="3">
        <v>0.2281</v>
      </c>
      <c r="K8962" s="3">
        <v>6.6000000000000003E-2</v>
      </c>
      <c r="L8962" s="3">
        <v>2.8899999999999999E-2</v>
      </c>
      <c r="M8962" s="3">
        <v>0.32790000000000002</v>
      </c>
      <c r="N8962" s="3">
        <v>1.6500000000000001E-2</v>
      </c>
      <c r="O8962" s="3">
        <v>2.5100000000000001E-2</v>
      </c>
      <c r="P8962" s="3">
        <v>9.8299999999999998E-2</v>
      </c>
      <c r="Q8962" s="3">
        <v>4.0000000000000001E-3</v>
      </c>
      <c r="R8962" s="3">
        <v>2.81E-2</v>
      </c>
      <c r="S8962" s="3">
        <v>0.47049999999999997</v>
      </c>
      <c r="T8962" s="3">
        <v>1.4E-2</v>
      </c>
      <c r="U8962" s="3">
        <v>1.18E-2</v>
      </c>
      <c r="V8962" s="3">
        <v>0.1072</v>
      </c>
    </row>
    <row r="8963" spans="1:22">
      <c r="A8963" t="s">
        <v>200</v>
      </c>
      <c r="B8963" t="s">
        <v>200</v>
      </c>
      <c r="C8963">
        <v>2668</v>
      </c>
      <c r="D8963" t="s">
        <v>200</v>
      </c>
      <c r="E8963">
        <v>2668</v>
      </c>
      <c r="F8963" s="3">
        <v>3.1899999999999998E-2</v>
      </c>
      <c r="G8963" s="3">
        <v>8.3199999999999996E-2</v>
      </c>
      <c r="H8963" s="3">
        <v>0.1075</v>
      </c>
      <c r="I8963" s="3">
        <v>7.1999999999999998E-3</v>
      </c>
      <c r="J8963" s="3">
        <v>0.21970000000000001</v>
      </c>
      <c r="K8963" s="3">
        <v>9.2600000000000002E-2</v>
      </c>
      <c r="L8963" s="3">
        <v>7.9799999999999996E-2</v>
      </c>
      <c r="M8963" s="3">
        <v>0.26079999999999998</v>
      </c>
      <c r="N8963" s="3">
        <v>6.6E-3</v>
      </c>
      <c r="O8963" s="3">
        <v>3.1800000000000002E-2</v>
      </c>
      <c r="P8963" s="3">
        <v>3.0800000000000001E-2</v>
      </c>
      <c r="Q8963" s="3">
        <v>8.5000000000000006E-3</v>
      </c>
      <c r="R8963" s="3">
        <v>2.9399999999999999E-2</v>
      </c>
      <c r="S8963" s="3">
        <v>0.4602</v>
      </c>
      <c r="T8963" s="3">
        <v>1.1599999999999999E-2</v>
      </c>
      <c r="U8963" s="3">
        <v>1.3599999999999999E-2</v>
      </c>
      <c r="V8963" s="3">
        <v>6.8599999999999994E-2</v>
      </c>
    </row>
    <row r="8965" spans="1:22" ht="45">
      <c r="A8965" s="22" t="s">
        <v>1783</v>
      </c>
    </row>
    <row r="8966" spans="1:22">
      <c r="A8966" t="s">
        <v>185</v>
      </c>
      <c r="B8966" t="s">
        <v>186</v>
      </c>
      <c r="C8966" t="s">
        <v>192</v>
      </c>
      <c r="D8966" t="s">
        <v>184</v>
      </c>
      <c r="E8966" t="s">
        <v>193</v>
      </c>
      <c r="F8966" t="s">
        <v>1766</v>
      </c>
      <c r="G8966" t="s">
        <v>1767</v>
      </c>
      <c r="H8966" t="s">
        <v>1768</v>
      </c>
      <c r="I8966" t="s">
        <v>1769</v>
      </c>
      <c r="J8966" t="s">
        <v>1770</v>
      </c>
      <c r="K8966" t="s">
        <v>1771</v>
      </c>
      <c r="L8966" t="s">
        <v>1772</v>
      </c>
      <c r="M8966" t="s">
        <v>1773</v>
      </c>
      <c r="N8966" t="s">
        <v>1774</v>
      </c>
      <c r="O8966" t="s">
        <v>1775</v>
      </c>
      <c r="P8966" t="s">
        <v>1776</v>
      </c>
      <c r="Q8966" t="s">
        <v>1777</v>
      </c>
      <c r="R8966" t="s">
        <v>1778</v>
      </c>
      <c r="S8966" t="s">
        <v>329</v>
      </c>
      <c r="T8966" t="s">
        <v>274</v>
      </c>
      <c r="U8966" t="s">
        <v>247</v>
      </c>
      <c r="V8966" t="s">
        <v>1779</v>
      </c>
    </row>
    <row r="8967" spans="1:22">
      <c r="A8967" t="s">
        <v>195</v>
      </c>
      <c r="B8967" t="s">
        <v>207</v>
      </c>
      <c r="C8967">
        <v>321</v>
      </c>
      <c r="D8967" t="s">
        <v>194</v>
      </c>
      <c r="E8967">
        <v>2668</v>
      </c>
      <c r="F8967" s="3">
        <v>1.5100000000000001E-2</v>
      </c>
      <c r="G8967" s="3">
        <v>4.2700000000000002E-2</v>
      </c>
      <c r="H8967" s="3">
        <v>0.20169999999999999</v>
      </c>
      <c r="J8967" s="3">
        <v>0.31490000000000001</v>
      </c>
      <c r="K8967" s="3">
        <v>0.15079999999999999</v>
      </c>
      <c r="L8967" s="3">
        <v>0.15529999999999999</v>
      </c>
      <c r="M8967" s="3">
        <v>0.42209999999999998</v>
      </c>
      <c r="N8967" s="3">
        <v>7.6E-3</v>
      </c>
      <c r="O8967" s="3">
        <v>6.1499999999999999E-2</v>
      </c>
      <c r="P8967" s="3">
        <v>2.29E-2</v>
      </c>
      <c r="Q8967" s="3">
        <v>2.06E-2</v>
      </c>
      <c r="R8967" s="3">
        <v>4.4299999999999999E-2</v>
      </c>
      <c r="S8967" s="3">
        <v>0.21959999999999999</v>
      </c>
      <c r="T8967" s="3">
        <v>4.1000000000000003E-3</v>
      </c>
      <c r="U8967" s="3">
        <v>8.6999999999999994E-3</v>
      </c>
      <c r="V8967" s="3">
        <v>1.9800000000000002E-2</v>
      </c>
    </row>
    <row r="8968" spans="1:22">
      <c r="A8968" t="s">
        <v>195</v>
      </c>
      <c r="B8968" t="s">
        <v>209</v>
      </c>
      <c r="C8968">
        <v>865</v>
      </c>
      <c r="D8968" t="s">
        <v>194</v>
      </c>
      <c r="E8968">
        <v>2668</v>
      </c>
      <c r="F8968" s="3">
        <v>8.8000000000000005E-3</v>
      </c>
      <c r="G8968" s="3">
        <v>0.14019999999999999</v>
      </c>
      <c r="H8968" s="3">
        <v>0.1142</v>
      </c>
      <c r="I8968" s="3">
        <v>1.4E-3</v>
      </c>
      <c r="J8968" s="3">
        <v>0.33150000000000002</v>
      </c>
      <c r="K8968" s="3">
        <v>0.1777</v>
      </c>
      <c r="L8968" s="3">
        <v>0.1164</v>
      </c>
      <c r="M8968" s="3">
        <v>0.34439999999999998</v>
      </c>
      <c r="N8968" s="3">
        <v>1.2E-2</v>
      </c>
      <c r="O8968" s="3">
        <v>5.9400000000000001E-2</v>
      </c>
      <c r="P8968" s="3">
        <v>3.5799999999999998E-2</v>
      </c>
      <c r="Q8968" s="3">
        <v>1.2200000000000001E-2</v>
      </c>
      <c r="R8968" s="3">
        <v>4.6699999999999998E-2</v>
      </c>
      <c r="S8968" s="3">
        <v>0.31769999999999998</v>
      </c>
      <c r="T8968" s="3">
        <v>4.7000000000000002E-3</v>
      </c>
      <c r="U8968" s="3">
        <v>1.01E-2</v>
      </c>
      <c r="V8968" s="3">
        <v>5.8099999999999999E-2</v>
      </c>
    </row>
    <row r="8969" spans="1:22">
      <c r="A8969" t="s">
        <v>199</v>
      </c>
      <c r="B8969" t="s">
        <v>207</v>
      </c>
      <c r="C8969">
        <v>282</v>
      </c>
      <c r="D8969" t="s">
        <v>194</v>
      </c>
      <c r="E8969">
        <v>2668</v>
      </c>
      <c r="F8969" s="3">
        <v>6.5600000000000006E-2</v>
      </c>
      <c r="G8969" s="3">
        <v>7.8600000000000003E-2</v>
      </c>
      <c r="H8969" s="3">
        <v>0.1114</v>
      </c>
      <c r="I8969" s="3">
        <v>1E-3</v>
      </c>
      <c r="J8969" s="3">
        <v>0.2019</v>
      </c>
      <c r="K8969" s="3">
        <v>5.9400000000000001E-2</v>
      </c>
      <c r="L8969" s="3">
        <v>7.8200000000000006E-2</v>
      </c>
      <c r="M8969" s="3">
        <v>0.29970000000000002</v>
      </c>
      <c r="N8969" s="3">
        <v>4.7000000000000002E-3</v>
      </c>
      <c r="O8969" s="3">
        <v>1E-3</v>
      </c>
      <c r="P8969" s="3">
        <v>3.3399999999999999E-2</v>
      </c>
      <c r="Q8969" s="3">
        <v>4.5999999999999999E-3</v>
      </c>
      <c r="R8969" s="3">
        <v>1.21E-2</v>
      </c>
      <c r="S8969" s="3">
        <v>0.42059999999999997</v>
      </c>
      <c r="T8969" s="3">
        <v>1.6999999999999999E-3</v>
      </c>
      <c r="U8969" s="3">
        <v>5.4999999999999997E-3</v>
      </c>
      <c r="V8969" s="3">
        <v>7.5499999999999998E-2</v>
      </c>
    </row>
    <row r="8970" spans="1:22">
      <c r="A8970" t="s">
        <v>199</v>
      </c>
      <c r="B8970" t="s">
        <v>209</v>
      </c>
      <c r="C8970">
        <v>1200</v>
      </c>
      <c r="D8970" t="s">
        <v>194</v>
      </c>
      <c r="E8970">
        <v>2668</v>
      </c>
      <c r="F8970" s="3">
        <v>4.6899999999999997E-2</v>
      </c>
      <c r="G8970" s="3">
        <v>5.4800000000000001E-2</v>
      </c>
      <c r="H8970" s="3">
        <v>8.0399999999999999E-2</v>
      </c>
      <c r="I8970" s="3">
        <v>1.37E-2</v>
      </c>
      <c r="J8970" s="3">
        <v>0.1242</v>
      </c>
      <c r="K8970" s="3">
        <v>2.5999999999999999E-2</v>
      </c>
      <c r="L8970" s="3">
        <v>3.7600000000000001E-2</v>
      </c>
      <c r="M8970" s="3">
        <v>0.1613</v>
      </c>
      <c r="N8970" s="3">
        <v>3.0999999999999999E-3</v>
      </c>
      <c r="O8970" s="3">
        <v>1.0500000000000001E-2</v>
      </c>
      <c r="P8970" s="3">
        <v>2.8899999999999999E-2</v>
      </c>
      <c r="Q8970" s="3">
        <v>3.8E-3</v>
      </c>
      <c r="R8970" s="3">
        <v>1.67E-2</v>
      </c>
      <c r="S8970" s="3">
        <v>0.61829999999999996</v>
      </c>
      <c r="T8970" s="3">
        <v>1.9300000000000001E-2</v>
      </c>
      <c r="U8970" s="3">
        <v>1.8200000000000001E-2</v>
      </c>
      <c r="V8970" s="3">
        <v>8.6099999999999996E-2</v>
      </c>
    </row>
    <row r="8971" spans="1:22">
      <c r="A8971" t="s">
        <v>200</v>
      </c>
      <c r="B8971" t="s">
        <v>200</v>
      </c>
      <c r="C8971">
        <v>2668</v>
      </c>
      <c r="D8971" t="s">
        <v>200</v>
      </c>
      <c r="E8971">
        <v>2668</v>
      </c>
      <c r="F8971" s="3">
        <v>3.1899999999999998E-2</v>
      </c>
      <c r="G8971" s="3">
        <v>8.3199999999999996E-2</v>
      </c>
      <c r="H8971" s="3">
        <v>0.1075</v>
      </c>
      <c r="I8971" s="3">
        <v>7.1999999999999998E-3</v>
      </c>
      <c r="J8971" s="3">
        <v>0.21970000000000001</v>
      </c>
      <c r="K8971" s="3">
        <v>9.2600000000000002E-2</v>
      </c>
      <c r="L8971" s="3">
        <v>7.9799999999999996E-2</v>
      </c>
      <c r="M8971" s="3">
        <v>0.26079999999999998</v>
      </c>
      <c r="N8971" s="3">
        <v>6.6E-3</v>
      </c>
      <c r="O8971" s="3">
        <v>3.1800000000000002E-2</v>
      </c>
      <c r="P8971" s="3">
        <v>3.0800000000000001E-2</v>
      </c>
      <c r="Q8971" s="3">
        <v>8.5000000000000006E-3</v>
      </c>
      <c r="R8971" s="3">
        <v>2.9399999999999999E-2</v>
      </c>
      <c r="S8971" s="3">
        <v>0.4602</v>
      </c>
      <c r="T8971" s="3">
        <v>1.1599999999999999E-2</v>
      </c>
      <c r="U8971" s="3">
        <v>1.3599999999999999E-2</v>
      </c>
      <c r="V8971" s="3">
        <v>6.8599999999999994E-2</v>
      </c>
    </row>
    <row r="8973" spans="1:22" ht="45">
      <c r="A8973" s="22" t="s">
        <v>1784</v>
      </c>
    </row>
    <row r="8974" spans="1:22">
      <c r="A8974" t="s">
        <v>185</v>
      </c>
      <c r="B8974" t="s">
        <v>192</v>
      </c>
      <c r="C8974" t="s">
        <v>184</v>
      </c>
      <c r="D8974" t="s">
        <v>193</v>
      </c>
      <c r="E8974" t="s">
        <v>1766</v>
      </c>
      <c r="F8974" t="s">
        <v>1767</v>
      </c>
      <c r="G8974" t="s">
        <v>1768</v>
      </c>
      <c r="H8974" t="s">
        <v>1769</v>
      </c>
      <c r="I8974" t="s">
        <v>1770</v>
      </c>
      <c r="J8974" t="s">
        <v>1771</v>
      </c>
      <c r="K8974" t="s">
        <v>1772</v>
      </c>
      <c r="L8974" t="s">
        <v>1773</v>
      </c>
      <c r="M8974" t="s">
        <v>1774</v>
      </c>
      <c r="N8974" t="s">
        <v>1775</v>
      </c>
      <c r="O8974" t="s">
        <v>1776</v>
      </c>
      <c r="P8974" t="s">
        <v>1777</v>
      </c>
      <c r="Q8974" t="s">
        <v>1778</v>
      </c>
      <c r="R8974" t="s">
        <v>329</v>
      </c>
      <c r="S8974" t="s">
        <v>274</v>
      </c>
      <c r="T8974" t="s">
        <v>247</v>
      </c>
      <c r="U8974" t="s">
        <v>1779</v>
      </c>
    </row>
    <row r="8975" spans="1:22">
      <c r="A8975" t="s">
        <v>195</v>
      </c>
      <c r="B8975">
        <v>1186</v>
      </c>
      <c r="C8975" t="s">
        <v>194</v>
      </c>
      <c r="D8975">
        <v>2668</v>
      </c>
      <c r="E8975" s="3">
        <v>1.04E-2</v>
      </c>
      <c r="F8975" s="3">
        <v>0.1152</v>
      </c>
      <c r="G8975" s="3">
        <v>0.1366</v>
      </c>
      <c r="H8975" s="3">
        <v>1E-3</v>
      </c>
      <c r="I8975" s="3">
        <v>0.32729999999999998</v>
      </c>
      <c r="J8975" s="3">
        <v>0.17080000000000001</v>
      </c>
      <c r="K8975" s="3">
        <v>0.12640000000000001</v>
      </c>
      <c r="L8975" s="3">
        <v>0.36430000000000001</v>
      </c>
      <c r="M8975" s="3">
        <v>1.09E-2</v>
      </c>
      <c r="N8975" s="3">
        <v>5.9900000000000002E-2</v>
      </c>
      <c r="O8975" s="3">
        <v>3.2500000000000001E-2</v>
      </c>
      <c r="P8975" s="3">
        <v>1.43E-2</v>
      </c>
      <c r="Q8975" s="3">
        <v>4.6100000000000002E-2</v>
      </c>
      <c r="R8975" s="3">
        <v>0.29260000000000003</v>
      </c>
      <c r="S8975" s="3">
        <v>4.5999999999999999E-3</v>
      </c>
      <c r="T8975" s="3">
        <v>9.7999999999999997E-3</v>
      </c>
      <c r="U8975" s="3">
        <v>4.8300000000000003E-2</v>
      </c>
    </row>
    <row r="8976" spans="1:22">
      <c r="A8976" t="s">
        <v>199</v>
      </c>
      <c r="B8976">
        <v>1482</v>
      </c>
      <c r="C8976" t="s">
        <v>194</v>
      </c>
      <c r="D8976">
        <v>2668</v>
      </c>
      <c r="E8976" s="3">
        <v>4.9200000000000001E-2</v>
      </c>
      <c r="F8976" s="3">
        <v>5.7700000000000001E-2</v>
      </c>
      <c r="G8976" s="3">
        <v>8.4199999999999997E-2</v>
      </c>
      <c r="H8976" s="3">
        <v>1.21E-2</v>
      </c>
      <c r="I8976" s="3">
        <v>0.13370000000000001</v>
      </c>
      <c r="J8976" s="3">
        <v>3.0099999999999998E-2</v>
      </c>
      <c r="K8976" s="3">
        <v>4.2500000000000003E-2</v>
      </c>
      <c r="L8976" s="3">
        <v>0.17810000000000001</v>
      </c>
      <c r="M8976" s="3">
        <v>3.3E-3</v>
      </c>
      <c r="N8976" s="3">
        <v>9.4000000000000004E-3</v>
      </c>
      <c r="O8976" s="3">
        <v>2.9499999999999998E-2</v>
      </c>
      <c r="P8976" s="3">
        <v>3.8999999999999998E-3</v>
      </c>
      <c r="Q8976" s="3">
        <v>1.61E-2</v>
      </c>
      <c r="R8976" s="3">
        <v>0.59419999999999995</v>
      </c>
      <c r="S8976" s="3">
        <v>1.7100000000000001E-2</v>
      </c>
      <c r="T8976" s="3">
        <v>1.66E-2</v>
      </c>
      <c r="U8976" s="3">
        <v>8.48E-2</v>
      </c>
    </row>
    <row r="8977" spans="1:22">
      <c r="A8977" t="s">
        <v>200</v>
      </c>
      <c r="B8977">
        <v>2668</v>
      </c>
      <c r="C8977" t="s">
        <v>200</v>
      </c>
      <c r="D8977">
        <v>2668</v>
      </c>
      <c r="E8977" s="3">
        <v>3.1899999999999998E-2</v>
      </c>
      <c r="F8977" s="3">
        <v>8.3199999999999996E-2</v>
      </c>
      <c r="G8977" s="3">
        <v>0.1075</v>
      </c>
      <c r="H8977" s="3">
        <v>7.1999999999999998E-3</v>
      </c>
      <c r="I8977" s="3">
        <v>0.21970000000000001</v>
      </c>
      <c r="J8977" s="3">
        <v>9.2600000000000002E-2</v>
      </c>
      <c r="K8977" s="3">
        <v>7.9799999999999996E-2</v>
      </c>
      <c r="L8977" s="3">
        <v>0.26079999999999998</v>
      </c>
      <c r="M8977" s="3">
        <v>6.6E-3</v>
      </c>
      <c r="N8977" s="3">
        <v>3.1800000000000002E-2</v>
      </c>
      <c r="O8977" s="3">
        <v>3.0800000000000001E-2</v>
      </c>
      <c r="P8977" s="3">
        <v>8.5000000000000006E-3</v>
      </c>
      <c r="Q8977" s="3">
        <v>2.9399999999999999E-2</v>
      </c>
      <c r="R8977" s="3">
        <v>0.4602</v>
      </c>
      <c r="S8977" s="3">
        <v>1.1599999999999999E-2</v>
      </c>
      <c r="T8977" s="3">
        <v>1.3599999999999999E-2</v>
      </c>
      <c r="U8977" s="3">
        <v>6.8599999999999994E-2</v>
      </c>
    </row>
    <row r="8979" spans="1:22" ht="45">
      <c r="A8979" s="22" t="s">
        <v>1785</v>
      </c>
    </row>
    <row r="8980" spans="1:22">
      <c r="A8980" t="s">
        <v>185</v>
      </c>
      <c r="B8980" t="s">
        <v>186</v>
      </c>
      <c r="C8980" t="s">
        <v>192</v>
      </c>
      <c r="D8980" t="s">
        <v>184</v>
      </c>
      <c r="E8980" t="s">
        <v>193</v>
      </c>
      <c r="F8980" t="s">
        <v>1766</v>
      </c>
      <c r="G8980" t="s">
        <v>1767</v>
      </c>
      <c r="H8980" t="s">
        <v>1768</v>
      </c>
      <c r="I8980" t="s">
        <v>1769</v>
      </c>
      <c r="J8980" t="s">
        <v>1770</v>
      </c>
      <c r="K8980" t="s">
        <v>1771</v>
      </c>
      <c r="L8980" t="s">
        <v>1772</v>
      </c>
      <c r="M8980" t="s">
        <v>1773</v>
      </c>
      <c r="N8980" t="s">
        <v>1774</v>
      </c>
      <c r="O8980" t="s">
        <v>1775</v>
      </c>
      <c r="P8980" t="s">
        <v>1776</v>
      </c>
      <c r="Q8980" t="s">
        <v>1777</v>
      </c>
      <c r="R8980" t="s">
        <v>1778</v>
      </c>
      <c r="S8980" t="s">
        <v>329</v>
      </c>
      <c r="T8980" t="s">
        <v>274</v>
      </c>
      <c r="U8980" t="s">
        <v>247</v>
      </c>
      <c r="V8980" t="s">
        <v>1779</v>
      </c>
    </row>
    <row r="8981" spans="1:22">
      <c r="A8981" t="s">
        <v>195</v>
      </c>
      <c r="B8981" t="s">
        <v>212</v>
      </c>
      <c r="C8981">
        <v>870</v>
      </c>
      <c r="D8981" t="s">
        <v>194</v>
      </c>
      <c r="E8981">
        <v>2668</v>
      </c>
      <c r="F8981" s="3">
        <v>9.4000000000000004E-3</v>
      </c>
      <c r="G8981" s="3">
        <v>0.1177</v>
      </c>
      <c r="H8981" s="3">
        <v>0.1535</v>
      </c>
      <c r="I8981" s="3">
        <v>1E-4</v>
      </c>
      <c r="J8981" s="3">
        <v>0.3377</v>
      </c>
      <c r="K8981" s="3">
        <v>0.18090000000000001</v>
      </c>
      <c r="L8981" s="3">
        <v>0.12540000000000001</v>
      </c>
      <c r="M8981" s="3">
        <v>0.35799999999999998</v>
      </c>
      <c r="N8981" s="3">
        <v>1.14E-2</v>
      </c>
      <c r="O8981" s="3">
        <v>5.3499999999999999E-2</v>
      </c>
      <c r="P8981" s="3">
        <v>2.4199999999999999E-2</v>
      </c>
      <c r="Q8981" s="3">
        <v>1.49E-2</v>
      </c>
      <c r="R8981" s="3">
        <v>5.3400000000000003E-2</v>
      </c>
      <c r="S8981" s="3">
        <v>0.27689999999999998</v>
      </c>
      <c r="T8981" s="3">
        <v>4.7000000000000002E-3</v>
      </c>
      <c r="U8981" s="3">
        <v>1.04E-2</v>
      </c>
      <c r="V8981" s="3">
        <v>5.28E-2</v>
      </c>
    </row>
    <row r="8982" spans="1:22">
      <c r="A8982" t="s">
        <v>195</v>
      </c>
      <c r="B8982" t="s">
        <v>214</v>
      </c>
      <c r="C8982">
        <v>181</v>
      </c>
      <c r="D8982" t="s">
        <v>194</v>
      </c>
      <c r="E8982">
        <v>2668</v>
      </c>
      <c r="F8982" s="3">
        <v>1.2999999999999999E-3</v>
      </c>
      <c r="G8982" s="3">
        <v>0.11</v>
      </c>
      <c r="H8982" s="3">
        <v>8.0600000000000005E-2</v>
      </c>
      <c r="J8982" s="3">
        <v>0.3382</v>
      </c>
      <c r="K8982" s="3">
        <v>0.13159999999999999</v>
      </c>
      <c r="L8982" s="3">
        <v>0.13489999999999999</v>
      </c>
      <c r="M8982" s="3">
        <v>0.376</v>
      </c>
      <c r="N8982" s="3">
        <v>7.0000000000000001E-3</v>
      </c>
      <c r="O8982" s="3">
        <v>0.10730000000000001</v>
      </c>
      <c r="P8982" s="3">
        <v>7.8200000000000006E-2</v>
      </c>
      <c r="Q8982" s="3">
        <v>1.3299999999999999E-2</v>
      </c>
      <c r="R8982" s="3">
        <v>2.6700000000000002E-2</v>
      </c>
      <c r="S8982" s="3">
        <v>0.34839999999999999</v>
      </c>
      <c r="T8982" s="3">
        <v>5.9999999999999995E-4</v>
      </c>
      <c r="U8982" s="3">
        <v>9.1999999999999998E-3</v>
      </c>
      <c r="V8982" s="3">
        <v>1.83E-2</v>
      </c>
    </row>
    <row r="8983" spans="1:22">
      <c r="A8983" t="s">
        <v>195</v>
      </c>
      <c r="B8983" t="s">
        <v>215</v>
      </c>
      <c r="C8983">
        <v>135</v>
      </c>
      <c r="D8983" t="s">
        <v>194</v>
      </c>
      <c r="E8983">
        <v>2668</v>
      </c>
      <c r="F8983" s="3">
        <v>3.6900000000000002E-2</v>
      </c>
      <c r="G8983" s="3">
        <v>0.10299999999999999</v>
      </c>
      <c r="H8983" s="3">
        <v>9.6299999999999997E-2</v>
      </c>
      <c r="I8983" s="3">
        <v>1.1299999999999999E-2</v>
      </c>
      <c r="J8983" s="3">
        <v>0.2122</v>
      </c>
      <c r="K8983" s="3">
        <v>0.1583</v>
      </c>
      <c r="L8983" s="3">
        <v>0.1186</v>
      </c>
      <c r="M8983" s="3">
        <v>0.39810000000000001</v>
      </c>
      <c r="N8983" s="3">
        <v>1.3599999999999999E-2</v>
      </c>
      <c r="O8983" s="3">
        <v>2.41E-2</v>
      </c>
      <c r="P8983" s="3">
        <v>1.67E-2</v>
      </c>
      <c r="Q8983" s="3">
        <v>1.1299999999999999E-2</v>
      </c>
      <c r="R8983" s="3">
        <v>1.8599999999999998E-2</v>
      </c>
      <c r="S8983" s="3">
        <v>0.32340000000000002</v>
      </c>
      <c r="T8983" s="3">
        <v>1.12E-2</v>
      </c>
      <c r="U8983" s="3">
        <v>5.5999999999999999E-3</v>
      </c>
      <c r="V8983" s="3">
        <v>6.7199999999999996E-2</v>
      </c>
    </row>
    <row r="8984" spans="1:22">
      <c r="A8984" t="s">
        <v>199</v>
      </c>
      <c r="B8984" t="s">
        <v>212</v>
      </c>
      <c r="C8984">
        <v>1113</v>
      </c>
      <c r="D8984" t="s">
        <v>194</v>
      </c>
      <c r="E8984">
        <v>2668</v>
      </c>
      <c r="F8984" s="3">
        <v>2.8000000000000001E-2</v>
      </c>
      <c r="G8984" s="3">
        <v>5.2200000000000003E-2</v>
      </c>
      <c r="H8984" s="3">
        <v>7.5200000000000003E-2</v>
      </c>
      <c r="I8984" s="3">
        <v>1.29E-2</v>
      </c>
      <c r="J8984" s="3">
        <v>0.1229</v>
      </c>
      <c r="K8984" s="3">
        <v>2.58E-2</v>
      </c>
      <c r="L8984" s="3">
        <v>3.7900000000000003E-2</v>
      </c>
      <c r="M8984" s="3">
        <v>0.16600000000000001</v>
      </c>
      <c r="N8984" s="3">
        <v>4.1000000000000003E-3</v>
      </c>
      <c r="O8984" s="3">
        <v>5.7999999999999996E-3</v>
      </c>
      <c r="P8984" s="3">
        <v>2.7799999999999998E-2</v>
      </c>
      <c r="Q8984" s="3">
        <v>4.4000000000000003E-3</v>
      </c>
      <c r="R8984" s="3">
        <v>1.8599999999999998E-2</v>
      </c>
      <c r="S8984" s="3">
        <v>0.62439999999999996</v>
      </c>
      <c r="T8984" s="3">
        <v>2.1299999999999999E-2</v>
      </c>
      <c r="U8984" s="3">
        <v>1.34E-2</v>
      </c>
      <c r="V8984" s="3">
        <v>7.1999999999999995E-2</v>
      </c>
    </row>
    <row r="8985" spans="1:22">
      <c r="A8985" t="s">
        <v>199</v>
      </c>
      <c r="B8985" t="s">
        <v>214</v>
      </c>
      <c r="C8985">
        <v>196</v>
      </c>
      <c r="D8985" t="s">
        <v>194</v>
      </c>
      <c r="E8985">
        <v>2668</v>
      </c>
      <c r="F8985" s="3">
        <v>0.16159999999999999</v>
      </c>
      <c r="G8985" s="3">
        <v>7.2599999999999998E-2</v>
      </c>
      <c r="H8985" s="3">
        <v>0.1229</v>
      </c>
      <c r="I8985" s="3">
        <v>1.5100000000000001E-2</v>
      </c>
      <c r="J8985" s="3">
        <v>0.18770000000000001</v>
      </c>
      <c r="K8985" s="3">
        <v>3.9E-2</v>
      </c>
      <c r="L8985" s="3">
        <v>5.8299999999999998E-2</v>
      </c>
      <c r="M8985" s="3">
        <v>0.21199999999999999</v>
      </c>
      <c r="O8985" s="3">
        <v>3.2300000000000002E-2</v>
      </c>
      <c r="P8985" s="3">
        <v>3.8199999999999998E-2</v>
      </c>
      <c r="Q8985" s="3">
        <v>3.3999999999999998E-3</v>
      </c>
      <c r="R8985" s="3">
        <v>1.0500000000000001E-2</v>
      </c>
      <c r="S8985" s="3">
        <v>0.45229999999999998</v>
      </c>
      <c r="T8985" s="3">
        <v>5.1000000000000004E-3</v>
      </c>
      <c r="U8985" s="3">
        <v>3.8899999999999997E-2</v>
      </c>
      <c r="V8985" s="3">
        <v>0.15640000000000001</v>
      </c>
    </row>
    <row r="8986" spans="1:22">
      <c r="A8986" t="s">
        <v>199</v>
      </c>
      <c r="B8986" t="s">
        <v>215</v>
      </c>
      <c r="C8986">
        <v>173</v>
      </c>
      <c r="D8986" t="s">
        <v>194</v>
      </c>
      <c r="E8986">
        <v>2668</v>
      </c>
      <c r="F8986" s="3">
        <v>3.9E-2</v>
      </c>
      <c r="G8986" s="3">
        <v>8.0199999999999994E-2</v>
      </c>
      <c r="H8986" s="3">
        <v>9.5600000000000004E-2</v>
      </c>
      <c r="J8986" s="3">
        <v>0.13500000000000001</v>
      </c>
      <c r="K8986" s="3">
        <v>5.2999999999999999E-2</v>
      </c>
      <c r="L8986" s="3">
        <v>5.6300000000000003E-2</v>
      </c>
      <c r="M8986" s="3">
        <v>0.2271</v>
      </c>
      <c r="N8986" s="3">
        <v>1.5E-3</v>
      </c>
      <c r="P8986" s="3">
        <v>2.8899999999999999E-2</v>
      </c>
      <c r="R8986" s="3">
        <v>4.3E-3</v>
      </c>
      <c r="S8986" s="3">
        <v>0.57609999999999995</v>
      </c>
      <c r="T8986" s="3">
        <v>5.0000000000000001E-4</v>
      </c>
      <c r="U8986" s="3">
        <v>6.1999999999999998E-3</v>
      </c>
      <c r="V8986" s="3">
        <v>7.2499999999999995E-2</v>
      </c>
    </row>
    <row r="8987" spans="1:22">
      <c r="A8987" t="s">
        <v>200</v>
      </c>
      <c r="B8987" t="s">
        <v>200</v>
      </c>
      <c r="C8987">
        <v>2668</v>
      </c>
      <c r="D8987" t="s">
        <v>200</v>
      </c>
      <c r="E8987">
        <v>2668</v>
      </c>
      <c r="F8987" s="3">
        <v>3.1899999999999998E-2</v>
      </c>
      <c r="G8987" s="3">
        <v>8.3199999999999996E-2</v>
      </c>
      <c r="H8987" s="3">
        <v>0.1075</v>
      </c>
      <c r="I8987" s="3">
        <v>7.1999999999999998E-3</v>
      </c>
      <c r="J8987" s="3">
        <v>0.21970000000000001</v>
      </c>
      <c r="K8987" s="3">
        <v>9.2600000000000002E-2</v>
      </c>
      <c r="L8987" s="3">
        <v>7.9799999999999996E-2</v>
      </c>
      <c r="M8987" s="3">
        <v>0.26079999999999998</v>
      </c>
      <c r="N8987" s="3">
        <v>6.6E-3</v>
      </c>
      <c r="O8987" s="3">
        <v>3.1800000000000002E-2</v>
      </c>
      <c r="P8987" s="3">
        <v>3.0800000000000001E-2</v>
      </c>
      <c r="Q8987" s="3">
        <v>8.5000000000000006E-3</v>
      </c>
      <c r="R8987" s="3">
        <v>2.9399999999999999E-2</v>
      </c>
      <c r="S8987" s="3">
        <v>0.4602</v>
      </c>
      <c r="T8987" s="3">
        <v>1.1599999999999999E-2</v>
      </c>
      <c r="U8987" s="3">
        <v>1.3599999999999999E-2</v>
      </c>
      <c r="V8987" s="3">
        <v>6.8599999999999994E-2</v>
      </c>
    </row>
    <row r="8989" spans="1:22" ht="45">
      <c r="A8989" s="22" t="s">
        <v>1786</v>
      </c>
    </row>
    <row r="8990" spans="1:22">
      <c r="A8990" t="s">
        <v>185</v>
      </c>
      <c r="B8990" t="s">
        <v>186</v>
      </c>
      <c r="C8990" t="s">
        <v>192</v>
      </c>
      <c r="D8990" t="s">
        <v>184</v>
      </c>
      <c r="E8990" t="s">
        <v>193</v>
      </c>
      <c r="F8990" t="s">
        <v>1766</v>
      </c>
      <c r="G8990" t="s">
        <v>1767</v>
      </c>
      <c r="H8990" t="s">
        <v>1768</v>
      </c>
      <c r="I8990" t="s">
        <v>1769</v>
      </c>
      <c r="J8990" t="s">
        <v>1770</v>
      </c>
      <c r="K8990" t="s">
        <v>1771</v>
      </c>
      <c r="L8990" t="s">
        <v>1772</v>
      </c>
      <c r="M8990" t="s">
        <v>1773</v>
      </c>
      <c r="N8990" t="s">
        <v>1774</v>
      </c>
      <c r="O8990" t="s">
        <v>1775</v>
      </c>
      <c r="P8990" t="s">
        <v>1776</v>
      </c>
      <c r="Q8990" t="s">
        <v>1777</v>
      </c>
      <c r="R8990" t="s">
        <v>1778</v>
      </c>
      <c r="S8990" t="s">
        <v>329</v>
      </c>
      <c r="T8990" t="s">
        <v>274</v>
      </c>
      <c r="U8990" t="s">
        <v>247</v>
      </c>
      <c r="V8990" t="s">
        <v>1779</v>
      </c>
    </row>
    <row r="8991" spans="1:22">
      <c r="A8991" t="s">
        <v>195</v>
      </c>
      <c r="B8991" t="s">
        <v>217</v>
      </c>
      <c r="C8991">
        <v>496</v>
      </c>
      <c r="D8991" t="s">
        <v>194</v>
      </c>
      <c r="E8991">
        <v>2668</v>
      </c>
      <c r="F8991" s="3">
        <v>1.44E-2</v>
      </c>
      <c r="G8991" s="3">
        <v>0.15509999999999999</v>
      </c>
      <c r="H8991" s="3">
        <v>0.16070000000000001</v>
      </c>
      <c r="I8991" s="3">
        <v>2.0000000000000001E-4</v>
      </c>
      <c r="J8991" s="3">
        <v>0.30280000000000001</v>
      </c>
      <c r="K8991" s="3">
        <v>0.16320000000000001</v>
      </c>
      <c r="L8991" s="3">
        <v>0.13850000000000001</v>
      </c>
      <c r="M8991" s="3">
        <v>0.3745</v>
      </c>
      <c r="N8991" s="3">
        <v>8.9999999999999993E-3</v>
      </c>
      <c r="O8991" s="3">
        <v>4.7199999999999999E-2</v>
      </c>
      <c r="P8991" s="3">
        <v>2.35E-2</v>
      </c>
      <c r="Q8991" s="3">
        <v>1.6799999999999999E-2</v>
      </c>
      <c r="R8991" s="3">
        <v>5.2600000000000001E-2</v>
      </c>
      <c r="S8991" s="3">
        <v>0.26190000000000002</v>
      </c>
      <c r="T8991" s="3">
        <v>6.7999999999999996E-3</v>
      </c>
      <c r="U8991" s="3">
        <v>1.03E-2</v>
      </c>
      <c r="V8991" s="3">
        <v>7.51E-2</v>
      </c>
    </row>
    <row r="8992" spans="1:22">
      <c r="A8992" t="s">
        <v>195</v>
      </c>
      <c r="B8992" t="s">
        <v>219</v>
      </c>
      <c r="C8992">
        <v>507</v>
      </c>
      <c r="D8992" t="s">
        <v>194</v>
      </c>
      <c r="E8992">
        <v>2668</v>
      </c>
      <c r="F8992" s="3">
        <v>8.6999999999999994E-3</v>
      </c>
      <c r="G8992" s="3">
        <v>8.5500000000000007E-2</v>
      </c>
      <c r="H8992" s="3">
        <v>9.3700000000000006E-2</v>
      </c>
      <c r="J8992" s="3">
        <v>0.33029999999999998</v>
      </c>
      <c r="K8992" s="3">
        <v>0.16639999999999999</v>
      </c>
      <c r="L8992" s="3">
        <v>0.1381</v>
      </c>
      <c r="M8992" s="3">
        <v>0.38240000000000002</v>
      </c>
      <c r="N8992" s="3">
        <v>1.09E-2</v>
      </c>
      <c r="O8992" s="3">
        <v>4.4299999999999999E-2</v>
      </c>
      <c r="P8992" s="3">
        <v>1.9800000000000002E-2</v>
      </c>
      <c r="Q8992" s="3">
        <v>8.0000000000000002E-3</v>
      </c>
      <c r="R8992" s="3">
        <v>4.2000000000000003E-2</v>
      </c>
      <c r="S8992" s="3">
        <v>0.28220000000000001</v>
      </c>
      <c r="T8992" s="3">
        <v>4.3E-3</v>
      </c>
      <c r="U8992" s="3">
        <v>1.3899999999999999E-2</v>
      </c>
      <c r="V8992" s="3">
        <v>0.03</v>
      </c>
    </row>
    <row r="8993" spans="1:22">
      <c r="A8993" t="s">
        <v>195</v>
      </c>
      <c r="B8993" t="s">
        <v>220</v>
      </c>
      <c r="C8993">
        <v>182</v>
      </c>
      <c r="D8993" t="s">
        <v>194</v>
      </c>
      <c r="E8993">
        <v>2668</v>
      </c>
      <c r="F8993" s="3">
        <v>5.1999999999999998E-3</v>
      </c>
      <c r="G8993" s="3">
        <v>8.8200000000000001E-2</v>
      </c>
      <c r="H8993" s="3">
        <v>0.1721</v>
      </c>
      <c r="I8993" s="3">
        <v>5.0000000000000001E-3</v>
      </c>
      <c r="J8993" s="3">
        <v>0.37530000000000002</v>
      </c>
      <c r="K8993" s="3">
        <v>0.1971</v>
      </c>
      <c r="L8993" s="3">
        <v>7.4999999999999997E-2</v>
      </c>
      <c r="M8993" s="3">
        <v>0.30409999999999998</v>
      </c>
      <c r="N8993" s="3">
        <v>1.4999999999999999E-2</v>
      </c>
      <c r="O8993" s="3">
        <v>0.1208</v>
      </c>
      <c r="P8993" s="3">
        <v>7.8799999999999995E-2</v>
      </c>
      <c r="Q8993" s="3">
        <v>2.2100000000000002E-2</v>
      </c>
      <c r="R8993" s="3">
        <v>0.04</v>
      </c>
      <c r="S8993" s="3">
        <v>0.38240000000000002</v>
      </c>
      <c r="T8993" s="3">
        <v>4.0000000000000002E-4</v>
      </c>
      <c r="V8993" s="3">
        <v>2.64E-2</v>
      </c>
    </row>
    <row r="8994" spans="1:22">
      <c r="A8994" t="s">
        <v>199</v>
      </c>
      <c r="B8994" t="s">
        <v>217</v>
      </c>
      <c r="C8994">
        <v>810</v>
      </c>
      <c r="D8994" t="s">
        <v>194</v>
      </c>
      <c r="E8994">
        <v>2668</v>
      </c>
      <c r="F8994" s="3">
        <v>3.32E-2</v>
      </c>
      <c r="G8994" s="3">
        <v>5.04E-2</v>
      </c>
      <c r="H8994" s="3">
        <v>7.5899999999999995E-2</v>
      </c>
      <c r="I8994" s="3">
        <v>1.6199999999999999E-2</v>
      </c>
      <c r="J8994" s="3">
        <v>0.1099</v>
      </c>
      <c r="K8994" s="3">
        <v>3.0700000000000002E-2</v>
      </c>
      <c r="L8994" s="3">
        <v>3.6299999999999999E-2</v>
      </c>
      <c r="M8994" s="3">
        <v>0.16769999999999999</v>
      </c>
      <c r="N8994" s="3">
        <v>4.0000000000000001E-3</v>
      </c>
      <c r="O8994" s="3">
        <v>6.8999999999999999E-3</v>
      </c>
      <c r="P8994" s="3">
        <v>2.5999999999999999E-2</v>
      </c>
      <c r="Q8994" s="3">
        <v>4.3E-3</v>
      </c>
      <c r="R8994" s="3">
        <v>1.9199999999999998E-2</v>
      </c>
      <c r="S8994" s="3">
        <v>0.62519999999999998</v>
      </c>
      <c r="T8994" s="3">
        <v>2.06E-2</v>
      </c>
      <c r="U8994" s="3">
        <v>1.3899999999999999E-2</v>
      </c>
      <c r="V8994" s="3">
        <v>7.7399999999999997E-2</v>
      </c>
    </row>
    <row r="8995" spans="1:22">
      <c r="A8995" t="s">
        <v>199</v>
      </c>
      <c r="B8995" t="s">
        <v>219</v>
      </c>
      <c r="C8995">
        <v>449</v>
      </c>
      <c r="D8995" t="s">
        <v>194</v>
      </c>
      <c r="E8995">
        <v>2668</v>
      </c>
      <c r="F8995" s="3">
        <v>8.9599999999999999E-2</v>
      </c>
      <c r="G8995" s="3">
        <v>5.9799999999999999E-2</v>
      </c>
      <c r="H8995" s="3">
        <v>0.1237</v>
      </c>
      <c r="I8995" s="3">
        <v>9.9000000000000008E-3</v>
      </c>
      <c r="J8995" s="3">
        <v>0.18179999999999999</v>
      </c>
      <c r="K8995" s="3">
        <v>3.8100000000000002E-2</v>
      </c>
      <c r="L8995" s="3">
        <v>6.2100000000000002E-2</v>
      </c>
      <c r="M8995" s="3">
        <v>0.25059999999999999</v>
      </c>
      <c r="N8995" s="3">
        <v>3.0999999999999999E-3</v>
      </c>
      <c r="O8995" s="3">
        <v>2.12E-2</v>
      </c>
      <c r="P8995" s="3">
        <v>2.58E-2</v>
      </c>
      <c r="Q8995" s="3">
        <v>4.8999999999999998E-3</v>
      </c>
      <c r="R8995" s="3">
        <v>1.41E-2</v>
      </c>
      <c r="S8995" s="3">
        <v>0.50470000000000004</v>
      </c>
      <c r="T8995" s="3">
        <v>2.3E-3</v>
      </c>
      <c r="U8995" s="3">
        <v>2.6599999999999999E-2</v>
      </c>
      <c r="V8995" s="3">
        <v>0.10009999999999999</v>
      </c>
    </row>
    <row r="8996" spans="1:22">
      <c r="A8996" t="s">
        <v>199</v>
      </c>
      <c r="B8996" t="s">
        <v>220</v>
      </c>
      <c r="C8996">
        <v>223</v>
      </c>
      <c r="D8996" t="s">
        <v>194</v>
      </c>
      <c r="E8996">
        <v>2668</v>
      </c>
      <c r="F8996" s="3">
        <v>4.6199999999999998E-2</v>
      </c>
      <c r="G8996" s="3">
        <v>8.1699999999999995E-2</v>
      </c>
      <c r="H8996" s="3">
        <v>5.3499999999999999E-2</v>
      </c>
      <c r="J8996" s="3">
        <v>0.14860000000000001</v>
      </c>
      <c r="K8996" s="3">
        <v>1.5299999999999999E-2</v>
      </c>
      <c r="L8996" s="3">
        <v>3.5400000000000001E-2</v>
      </c>
      <c r="M8996" s="3">
        <v>0.104</v>
      </c>
      <c r="N8996" s="3">
        <v>6.9999999999999999E-4</v>
      </c>
      <c r="P8996" s="3">
        <v>4.8399999999999999E-2</v>
      </c>
      <c r="Q8996" s="3">
        <v>6.9999999999999999E-4</v>
      </c>
      <c r="R8996" s="3">
        <v>7.7999999999999996E-3</v>
      </c>
      <c r="S8996" s="3">
        <v>0.61719999999999997</v>
      </c>
      <c r="T8996" s="3">
        <v>2.7099999999999999E-2</v>
      </c>
      <c r="U8996" s="3">
        <v>1.12E-2</v>
      </c>
      <c r="V8996" s="3">
        <v>8.8900000000000007E-2</v>
      </c>
    </row>
    <row r="8997" spans="1:22">
      <c r="A8997" t="s">
        <v>200</v>
      </c>
      <c r="B8997" t="s">
        <v>200</v>
      </c>
      <c r="C8997">
        <v>2668</v>
      </c>
      <c r="D8997" t="s">
        <v>200</v>
      </c>
      <c r="E8997">
        <v>2668</v>
      </c>
      <c r="F8997" s="3">
        <v>3.1899999999999998E-2</v>
      </c>
      <c r="G8997" s="3">
        <v>8.3199999999999996E-2</v>
      </c>
      <c r="H8997" s="3">
        <v>0.1075</v>
      </c>
      <c r="I8997" s="3">
        <v>7.1999999999999998E-3</v>
      </c>
      <c r="J8997" s="3">
        <v>0.21970000000000001</v>
      </c>
      <c r="K8997" s="3">
        <v>9.2600000000000002E-2</v>
      </c>
      <c r="L8997" s="3">
        <v>7.9799999999999996E-2</v>
      </c>
      <c r="M8997" s="3">
        <v>0.26079999999999998</v>
      </c>
      <c r="N8997" s="3">
        <v>6.6E-3</v>
      </c>
      <c r="O8997" s="3">
        <v>3.1800000000000002E-2</v>
      </c>
      <c r="P8997" s="3">
        <v>3.0800000000000001E-2</v>
      </c>
      <c r="Q8997" s="3">
        <v>8.5000000000000006E-3</v>
      </c>
      <c r="R8997" s="3">
        <v>2.9399999999999999E-2</v>
      </c>
      <c r="S8997" s="3">
        <v>0.4602</v>
      </c>
      <c r="T8997" s="3">
        <v>1.1599999999999999E-2</v>
      </c>
      <c r="U8997" s="3">
        <v>1.3599999999999999E-2</v>
      </c>
      <c r="V8997" s="3">
        <v>6.8599999999999994E-2</v>
      </c>
    </row>
    <row r="8999" spans="1:22" ht="45">
      <c r="A8999" s="22" t="s">
        <v>1787</v>
      </c>
    </row>
    <row r="9000" spans="1:22">
      <c r="A9000" t="s">
        <v>185</v>
      </c>
      <c r="B9000" t="s">
        <v>186</v>
      </c>
      <c r="C9000" t="s">
        <v>192</v>
      </c>
      <c r="D9000" t="s">
        <v>184</v>
      </c>
      <c r="E9000" t="s">
        <v>193</v>
      </c>
      <c r="F9000" t="s">
        <v>1788</v>
      </c>
      <c r="G9000" t="s">
        <v>257</v>
      </c>
      <c r="H9000" t="s">
        <v>1789</v>
      </c>
      <c r="I9000" t="s">
        <v>1790</v>
      </c>
      <c r="J9000" t="s">
        <v>1791</v>
      </c>
      <c r="K9000" t="s">
        <v>1792</v>
      </c>
      <c r="L9000" t="s">
        <v>329</v>
      </c>
      <c r="M9000" t="s">
        <v>1793</v>
      </c>
      <c r="N9000" t="s">
        <v>274</v>
      </c>
      <c r="O9000" t="s">
        <v>1794</v>
      </c>
      <c r="P9000" t="s">
        <v>1795</v>
      </c>
      <c r="Q9000" t="s">
        <v>247</v>
      </c>
      <c r="R9000" t="s">
        <v>1796</v>
      </c>
      <c r="S9000" t="s">
        <v>1797</v>
      </c>
      <c r="T9000" t="s">
        <v>1798</v>
      </c>
      <c r="U9000" t="s">
        <v>1799</v>
      </c>
    </row>
    <row r="9001" spans="1:22">
      <c r="A9001" t="s">
        <v>195</v>
      </c>
      <c r="B9001" t="s">
        <v>222</v>
      </c>
      <c r="C9001">
        <v>158</v>
      </c>
      <c r="D9001" t="s">
        <v>194</v>
      </c>
      <c r="E9001">
        <v>1517</v>
      </c>
      <c r="F9001" s="3">
        <v>4.4299999999999999E-2</v>
      </c>
      <c r="G9001" s="3">
        <v>6.6E-3</v>
      </c>
      <c r="H9001" s="3">
        <v>7.1400000000000005E-2</v>
      </c>
      <c r="I9001" s="3">
        <v>0.1013</v>
      </c>
      <c r="J9001" s="3">
        <v>2.8000000000000001E-2</v>
      </c>
      <c r="K9001" s="3">
        <v>0.51629999999999998</v>
      </c>
      <c r="L9001" s="3">
        <v>1.4800000000000001E-2</v>
      </c>
      <c r="M9001" s="3">
        <v>9.7100000000000006E-2</v>
      </c>
      <c r="O9001" s="3">
        <v>1.8100000000000002E-2</v>
      </c>
      <c r="P9001" s="3">
        <v>0.43130000000000002</v>
      </c>
      <c r="R9001" s="3">
        <v>1.47E-2</v>
      </c>
      <c r="S9001" s="3">
        <v>0.02</v>
      </c>
      <c r="T9001" s="3">
        <v>0.33200000000000002</v>
      </c>
      <c r="U9001" s="3">
        <v>8.0600000000000005E-2</v>
      </c>
    </row>
    <row r="9002" spans="1:22">
      <c r="A9002" t="s">
        <v>195</v>
      </c>
      <c r="B9002" t="s">
        <v>224</v>
      </c>
      <c r="C9002">
        <v>634</v>
      </c>
      <c r="D9002" t="s">
        <v>194</v>
      </c>
      <c r="E9002">
        <v>1517</v>
      </c>
      <c r="F9002" s="3">
        <v>2.1299999999999999E-2</v>
      </c>
      <c r="G9002" s="3">
        <v>7.7999999999999996E-3</v>
      </c>
      <c r="H9002" s="3">
        <v>3.5200000000000002E-2</v>
      </c>
      <c r="I9002" s="3">
        <v>0.15890000000000001</v>
      </c>
      <c r="J9002" s="3">
        <v>1.3899999999999999E-2</v>
      </c>
      <c r="K9002" s="3">
        <v>0.5927</v>
      </c>
      <c r="L9002" s="3">
        <v>9.2999999999999992E-3</v>
      </c>
      <c r="M9002" s="3">
        <v>3.04E-2</v>
      </c>
      <c r="O9002" s="3">
        <v>3.49E-2</v>
      </c>
      <c r="P9002" s="3">
        <v>0.44269999999999998</v>
      </c>
      <c r="R9002" s="3">
        <v>9.5999999999999992E-3</v>
      </c>
      <c r="S9002" s="3">
        <v>5.8999999999999999E-3</v>
      </c>
      <c r="T9002" s="3">
        <v>0.31909999999999999</v>
      </c>
      <c r="U9002" s="3">
        <v>5.0999999999999997E-2</v>
      </c>
    </row>
    <row r="9003" spans="1:22">
      <c r="A9003" t="s">
        <v>199</v>
      </c>
      <c r="B9003" t="s">
        <v>222</v>
      </c>
      <c r="C9003">
        <v>167</v>
      </c>
      <c r="D9003" t="s">
        <v>194</v>
      </c>
      <c r="E9003">
        <v>1517</v>
      </c>
      <c r="F9003" s="3">
        <v>2.0299999999999999E-2</v>
      </c>
      <c r="G9003" s="3">
        <v>1.78E-2</v>
      </c>
      <c r="H9003" s="3">
        <v>7.2400000000000006E-2</v>
      </c>
      <c r="I9003" s="3">
        <v>6.8500000000000005E-2</v>
      </c>
      <c r="J9003" s="3">
        <v>1.06E-2</v>
      </c>
      <c r="K9003" s="3">
        <v>0.52610000000000001</v>
      </c>
      <c r="L9003" s="3">
        <v>3.95E-2</v>
      </c>
      <c r="M9003" s="3">
        <v>6.8199999999999997E-2</v>
      </c>
      <c r="N9003" s="3">
        <v>2.3E-3</v>
      </c>
      <c r="O9003" s="3">
        <v>6.8900000000000003E-2</v>
      </c>
      <c r="P9003" s="3">
        <v>0.18110000000000001</v>
      </c>
      <c r="Q9003" s="3">
        <v>5.4000000000000003E-3</v>
      </c>
      <c r="R9003" s="3">
        <v>2.3300000000000001E-2</v>
      </c>
      <c r="S9003" s="3">
        <v>1.83E-2</v>
      </c>
      <c r="T9003" s="3">
        <v>0.34510000000000002</v>
      </c>
      <c r="U9003" s="3">
        <v>0.1028</v>
      </c>
    </row>
    <row r="9004" spans="1:22">
      <c r="A9004" t="s">
        <v>199</v>
      </c>
      <c r="B9004" t="s">
        <v>224</v>
      </c>
      <c r="C9004">
        <v>558</v>
      </c>
      <c r="D9004" t="s">
        <v>194</v>
      </c>
      <c r="E9004">
        <v>1517</v>
      </c>
      <c r="F9004" s="3">
        <v>1.9400000000000001E-2</v>
      </c>
      <c r="G9004" s="3">
        <v>5.1999999999999998E-3</v>
      </c>
      <c r="H9004" s="3">
        <v>8.0199999999999994E-2</v>
      </c>
      <c r="I9004" s="3">
        <v>0.151</v>
      </c>
      <c r="J9004" s="3">
        <v>2.5899999999999999E-2</v>
      </c>
      <c r="K9004" s="3">
        <v>0.56310000000000004</v>
      </c>
      <c r="L9004" s="3">
        <v>2.2700000000000001E-2</v>
      </c>
      <c r="M9004" s="3">
        <v>0.12470000000000001</v>
      </c>
      <c r="O9004" s="3">
        <v>5.1999999999999998E-2</v>
      </c>
      <c r="P9004" s="3">
        <v>0.35420000000000001</v>
      </c>
      <c r="Q9004" s="3">
        <v>5.0000000000000001E-4</v>
      </c>
      <c r="R9004" s="3">
        <v>1.4999999999999999E-2</v>
      </c>
      <c r="S9004" s="3">
        <v>4.1999999999999997E-3</v>
      </c>
      <c r="T9004" s="3">
        <v>0.39710000000000001</v>
      </c>
      <c r="U9004" s="3">
        <v>6.8000000000000005E-2</v>
      </c>
    </row>
    <row r="9005" spans="1:22">
      <c r="A9005" t="s">
        <v>200</v>
      </c>
      <c r="B9005" t="s">
        <v>200</v>
      </c>
      <c r="C9005">
        <v>1517</v>
      </c>
      <c r="D9005" t="s">
        <v>200</v>
      </c>
      <c r="E9005">
        <v>1517</v>
      </c>
      <c r="F9005" s="3">
        <v>2.3699999999999999E-2</v>
      </c>
      <c r="G9005" s="3">
        <v>7.9000000000000008E-3</v>
      </c>
      <c r="H9005" s="3">
        <v>5.7799999999999997E-2</v>
      </c>
      <c r="I9005" s="3">
        <v>0.13950000000000001</v>
      </c>
      <c r="J9005" s="3">
        <v>1.9199999999999998E-2</v>
      </c>
      <c r="K9005" s="3">
        <v>0.5665</v>
      </c>
      <c r="L9005" s="3">
        <v>1.7299999999999999E-2</v>
      </c>
      <c r="M9005" s="3">
        <v>7.2499999999999995E-2</v>
      </c>
      <c r="N9005" s="3">
        <v>2.0000000000000001E-4</v>
      </c>
      <c r="O9005" s="3">
        <v>4.1399999999999999E-2</v>
      </c>
      <c r="P9005" s="3">
        <v>0.38719999999999999</v>
      </c>
      <c r="Q9005" s="3">
        <v>6.9999999999999999E-4</v>
      </c>
      <c r="R9005" s="3">
        <v>1.34E-2</v>
      </c>
      <c r="S9005" s="3">
        <v>8.5000000000000006E-3</v>
      </c>
      <c r="T9005" s="3">
        <v>0.34770000000000001</v>
      </c>
      <c r="U9005" s="3">
        <v>6.5500000000000003E-2</v>
      </c>
    </row>
    <row r="9007" spans="1:22" ht="30">
      <c r="A9007" s="22" t="s">
        <v>1800</v>
      </c>
    </row>
    <row r="9008" spans="1:22">
      <c r="A9008" t="s">
        <v>185</v>
      </c>
      <c r="B9008" t="s">
        <v>186</v>
      </c>
      <c r="C9008" t="s">
        <v>192</v>
      </c>
      <c r="D9008" t="s">
        <v>184</v>
      </c>
      <c r="E9008" t="s">
        <v>193</v>
      </c>
      <c r="F9008" t="s">
        <v>1788</v>
      </c>
      <c r="G9008" t="s">
        <v>257</v>
      </c>
      <c r="H9008" t="s">
        <v>1789</v>
      </c>
      <c r="I9008" t="s">
        <v>1790</v>
      </c>
      <c r="J9008" t="s">
        <v>1791</v>
      </c>
      <c r="K9008" t="s">
        <v>1792</v>
      </c>
      <c r="L9008" t="s">
        <v>329</v>
      </c>
      <c r="M9008" t="s">
        <v>1793</v>
      </c>
      <c r="N9008" t="s">
        <v>274</v>
      </c>
      <c r="O9008" t="s">
        <v>1794</v>
      </c>
      <c r="P9008" t="s">
        <v>1795</v>
      </c>
      <c r="Q9008" t="s">
        <v>247</v>
      </c>
      <c r="R9008" t="s">
        <v>1796</v>
      </c>
      <c r="S9008" t="s">
        <v>1797</v>
      </c>
      <c r="T9008" t="s">
        <v>1798</v>
      </c>
      <c r="U9008" t="s">
        <v>1799</v>
      </c>
    </row>
    <row r="9009" spans="1:21">
      <c r="A9009" t="s">
        <v>195</v>
      </c>
      <c r="B9009" t="s">
        <v>229</v>
      </c>
      <c r="C9009">
        <v>78</v>
      </c>
      <c r="D9009" t="s">
        <v>194</v>
      </c>
      <c r="E9009">
        <v>1517</v>
      </c>
      <c r="F9009" s="3">
        <v>5.0799999999999998E-2</v>
      </c>
      <c r="H9009" s="3">
        <v>8.3099999999999993E-2</v>
      </c>
      <c r="I9009" s="3">
        <v>1.9699999999999999E-2</v>
      </c>
      <c r="K9009" s="3">
        <v>0.55800000000000005</v>
      </c>
      <c r="L9009" s="3">
        <v>1.23E-2</v>
      </c>
      <c r="M9009" s="3">
        <v>0.13189999999999999</v>
      </c>
      <c r="O9009" s="3">
        <v>6.7400000000000002E-2</v>
      </c>
      <c r="P9009" s="3">
        <v>0.3921</v>
      </c>
      <c r="T9009" s="3">
        <v>0.53480000000000005</v>
      </c>
      <c r="U9009" s="3">
        <v>6.0400000000000002E-2</v>
      </c>
    </row>
    <row r="9010" spans="1:21">
      <c r="A9010" t="s">
        <v>195</v>
      </c>
      <c r="B9010" t="s">
        <v>230</v>
      </c>
      <c r="C9010">
        <v>320</v>
      </c>
      <c r="D9010" t="s">
        <v>194</v>
      </c>
      <c r="E9010">
        <v>1517</v>
      </c>
      <c r="F9010" s="3">
        <v>7.7999999999999996E-3</v>
      </c>
      <c r="G9010" s="3">
        <v>8.5000000000000006E-3</v>
      </c>
      <c r="H9010" s="3">
        <v>4.8399999999999999E-2</v>
      </c>
      <c r="I9010" s="3">
        <v>0.15509999999999999</v>
      </c>
      <c r="J9010" s="3">
        <v>3.6700000000000003E-2</v>
      </c>
      <c r="K9010" s="3">
        <v>0.63970000000000005</v>
      </c>
      <c r="L9010" s="3">
        <v>2.8999999999999998E-3</v>
      </c>
      <c r="M9010" s="3">
        <v>2.9700000000000001E-2</v>
      </c>
      <c r="O9010" s="3">
        <v>1.12E-2</v>
      </c>
      <c r="P9010" s="3">
        <v>0.38009999999999999</v>
      </c>
      <c r="R9010" s="3">
        <v>2.8999999999999998E-3</v>
      </c>
      <c r="S9010" s="3">
        <v>2.3E-3</v>
      </c>
      <c r="T9010" s="3">
        <v>0.39950000000000002</v>
      </c>
      <c r="U9010" s="3">
        <v>3.0800000000000001E-2</v>
      </c>
    </row>
    <row r="9011" spans="1:21">
      <c r="A9011" t="s">
        <v>195</v>
      </c>
      <c r="B9011" t="s">
        <v>231</v>
      </c>
      <c r="C9011">
        <v>211</v>
      </c>
      <c r="D9011" t="s">
        <v>194</v>
      </c>
      <c r="E9011">
        <v>1517</v>
      </c>
      <c r="F9011" s="3">
        <v>5.04E-2</v>
      </c>
      <c r="G9011" s="3">
        <v>6.4000000000000003E-3</v>
      </c>
      <c r="H9011" s="3">
        <v>4.02E-2</v>
      </c>
      <c r="I9011" s="3">
        <v>0.12429999999999999</v>
      </c>
      <c r="J9011" s="3">
        <v>2.7000000000000001E-3</v>
      </c>
      <c r="K9011" s="3">
        <v>0.59060000000000001</v>
      </c>
      <c r="L9011" s="3">
        <v>2.2499999999999999E-2</v>
      </c>
      <c r="M9011" s="3">
        <v>6.4600000000000005E-2</v>
      </c>
      <c r="O9011" s="3">
        <v>3.4299999999999997E-2</v>
      </c>
      <c r="P9011" s="3">
        <v>0.40820000000000001</v>
      </c>
      <c r="R9011" s="3">
        <v>1.11E-2</v>
      </c>
      <c r="S9011" s="3">
        <v>2.1000000000000001E-2</v>
      </c>
      <c r="T9011" s="3">
        <v>0.25940000000000002</v>
      </c>
      <c r="U9011" s="3">
        <v>4.5600000000000002E-2</v>
      </c>
    </row>
    <row r="9012" spans="1:21">
      <c r="A9012" t="s">
        <v>195</v>
      </c>
      <c r="B9012" t="s">
        <v>232</v>
      </c>
      <c r="C9012">
        <v>183</v>
      </c>
      <c r="D9012" t="s">
        <v>194</v>
      </c>
      <c r="E9012">
        <v>1517</v>
      </c>
      <c r="F9012" s="3">
        <v>1.9E-2</v>
      </c>
      <c r="G9012" s="3">
        <v>1.12E-2</v>
      </c>
      <c r="H9012" s="3">
        <v>1.83E-2</v>
      </c>
      <c r="I9012" s="3">
        <v>0.21940000000000001</v>
      </c>
      <c r="J9012" s="3">
        <v>9.7999999999999997E-3</v>
      </c>
      <c r="K9012" s="3">
        <v>0.4627</v>
      </c>
      <c r="L9012" s="3">
        <v>9.4999999999999998E-3</v>
      </c>
      <c r="M9012" s="3">
        <v>6.6E-3</v>
      </c>
      <c r="O9012" s="3">
        <v>4.0800000000000003E-2</v>
      </c>
      <c r="P9012" s="3">
        <v>0.59699999999999998</v>
      </c>
      <c r="R9012" s="3">
        <v>2.9000000000000001E-2</v>
      </c>
      <c r="S9012" s="3">
        <v>1.2200000000000001E-2</v>
      </c>
      <c r="T9012" s="3">
        <v>0.1517</v>
      </c>
      <c r="U9012" s="3">
        <v>0.11360000000000001</v>
      </c>
    </row>
    <row r="9013" spans="1:21">
      <c r="A9013" t="s">
        <v>199</v>
      </c>
      <c r="B9013" t="s">
        <v>229</v>
      </c>
      <c r="C9013">
        <v>69</v>
      </c>
      <c r="D9013" t="s">
        <v>194</v>
      </c>
      <c r="E9013">
        <v>1517</v>
      </c>
      <c r="G9013" s="3">
        <v>1.83E-2</v>
      </c>
      <c r="H9013" s="3">
        <v>0.13880000000000001</v>
      </c>
      <c r="I9013" s="3">
        <v>7.0199999999999999E-2</v>
      </c>
      <c r="J9013" s="3">
        <v>1.5100000000000001E-2</v>
      </c>
      <c r="K9013" s="3">
        <v>0.61350000000000005</v>
      </c>
      <c r="L9013" s="3">
        <v>2.2800000000000001E-2</v>
      </c>
      <c r="M9013" s="3">
        <v>0.21709999999999999</v>
      </c>
      <c r="O9013" s="3">
        <v>0.1244</v>
      </c>
      <c r="P9013" s="3">
        <v>0.28949999999999998</v>
      </c>
      <c r="S9013" s="3">
        <v>7.3000000000000001E-3</v>
      </c>
      <c r="T9013" s="3">
        <v>0.3901</v>
      </c>
      <c r="U9013" s="3">
        <v>1.2800000000000001E-2</v>
      </c>
    </row>
    <row r="9014" spans="1:21">
      <c r="A9014" t="s">
        <v>199</v>
      </c>
      <c r="B9014" t="s">
        <v>230</v>
      </c>
      <c r="C9014">
        <v>335</v>
      </c>
      <c r="D9014" t="s">
        <v>194</v>
      </c>
      <c r="E9014">
        <v>1517</v>
      </c>
      <c r="F9014" s="3">
        <v>1.46E-2</v>
      </c>
      <c r="G9014" s="3">
        <v>2.5999999999999999E-3</v>
      </c>
      <c r="H9014" s="3">
        <v>6.8099999999999994E-2</v>
      </c>
      <c r="I9014" s="3">
        <v>9.5399999999999999E-2</v>
      </c>
      <c r="J9014" s="3">
        <v>1.7399999999999999E-2</v>
      </c>
      <c r="K9014" s="3">
        <v>0.53359999999999996</v>
      </c>
      <c r="L9014" s="3">
        <v>4.2500000000000003E-2</v>
      </c>
      <c r="M9014" s="3">
        <v>7.8200000000000006E-2</v>
      </c>
      <c r="N9014" s="3">
        <v>1.2999999999999999E-3</v>
      </c>
      <c r="O9014" s="3">
        <v>4.87E-2</v>
      </c>
      <c r="P9014" s="3">
        <v>0.20499999999999999</v>
      </c>
      <c r="Q9014" s="3">
        <v>3.0999999999999999E-3</v>
      </c>
      <c r="R9014" s="3">
        <v>1.6E-2</v>
      </c>
      <c r="S9014" s="3">
        <v>5.5999999999999999E-3</v>
      </c>
      <c r="T9014" s="3">
        <v>0.4531</v>
      </c>
      <c r="U9014" s="3">
        <v>4.6300000000000001E-2</v>
      </c>
    </row>
    <row r="9015" spans="1:21">
      <c r="A9015" t="s">
        <v>199</v>
      </c>
      <c r="B9015" t="s">
        <v>231</v>
      </c>
      <c r="C9015">
        <v>192</v>
      </c>
      <c r="D9015" t="s">
        <v>194</v>
      </c>
      <c r="E9015">
        <v>1517</v>
      </c>
      <c r="F9015" s="3">
        <v>4.58E-2</v>
      </c>
      <c r="G9015" s="3">
        <v>3.0999999999999999E-3</v>
      </c>
      <c r="H9015" s="3">
        <v>0.1404</v>
      </c>
      <c r="I9015" s="3">
        <v>0.1439</v>
      </c>
      <c r="J9015" s="3">
        <v>2.2599999999999999E-2</v>
      </c>
      <c r="K9015" s="3">
        <v>0.65659999999999996</v>
      </c>
      <c r="L9015" s="3">
        <v>8.5000000000000006E-3</v>
      </c>
      <c r="M9015" s="3">
        <v>0.13270000000000001</v>
      </c>
      <c r="O9015" s="3">
        <v>5.1900000000000002E-2</v>
      </c>
      <c r="P9015" s="3">
        <v>0.38090000000000002</v>
      </c>
      <c r="Q9015" s="3">
        <v>1.8E-3</v>
      </c>
      <c r="R9015" s="3">
        <v>5.5999999999999999E-3</v>
      </c>
      <c r="T9015" s="3">
        <v>0.44950000000000001</v>
      </c>
      <c r="U9015" s="3">
        <v>3.5499999999999997E-2</v>
      </c>
    </row>
    <row r="9016" spans="1:21">
      <c r="A9016" t="s">
        <v>199</v>
      </c>
      <c r="B9016" t="s">
        <v>232</v>
      </c>
      <c r="C9016">
        <v>129</v>
      </c>
      <c r="D9016" t="s">
        <v>194</v>
      </c>
      <c r="E9016">
        <v>1517</v>
      </c>
      <c r="F9016" s="3">
        <v>1.9699999999999999E-2</v>
      </c>
      <c r="G9016" s="3">
        <v>1.7500000000000002E-2</v>
      </c>
      <c r="I9016" s="3">
        <v>0.23139999999999999</v>
      </c>
      <c r="J9016" s="3">
        <v>3.6200000000000003E-2</v>
      </c>
      <c r="K9016" s="3">
        <v>0.45989999999999998</v>
      </c>
      <c r="L9016" s="3">
        <v>1.5100000000000001E-2</v>
      </c>
      <c r="M9016" s="3">
        <v>8.1600000000000006E-2</v>
      </c>
      <c r="O9016" s="3">
        <v>2.7E-2</v>
      </c>
      <c r="P9016" s="3">
        <v>0.47689999999999999</v>
      </c>
      <c r="R9016" s="3">
        <v>4.1300000000000003E-2</v>
      </c>
      <c r="S9016" s="3">
        <v>1.8800000000000001E-2</v>
      </c>
      <c r="T9016" s="3">
        <v>0.1845</v>
      </c>
      <c r="U9016" s="3">
        <v>0.21859999999999999</v>
      </c>
    </row>
    <row r="9017" spans="1:21">
      <c r="A9017" t="s">
        <v>200</v>
      </c>
      <c r="B9017" t="s">
        <v>200</v>
      </c>
      <c r="C9017">
        <v>1517</v>
      </c>
      <c r="D9017" t="s">
        <v>200</v>
      </c>
      <c r="E9017">
        <v>1517</v>
      </c>
      <c r="F9017" s="3">
        <v>2.3699999999999999E-2</v>
      </c>
      <c r="G9017" s="3">
        <v>7.9000000000000008E-3</v>
      </c>
      <c r="H9017" s="3">
        <v>5.7799999999999997E-2</v>
      </c>
      <c r="I9017" s="3">
        <v>0.13950000000000001</v>
      </c>
      <c r="J9017" s="3">
        <v>1.9199999999999998E-2</v>
      </c>
      <c r="K9017" s="3">
        <v>0.5665</v>
      </c>
      <c r="L9017" s="3">
        <v>1.7299999999999999E-2</v>
      </c>
      <c r="M9017" s="3">
        <v>7.2499999999999995E-2</v>
      </c>
      <c r="N9017" s="3">
        <v>2.0000000000000001E-4</v>
      </c>
      <c r="O9017" s="3">
        <v>4.1399999999999999E-2</v>
      </c>
      <c r="P9017" s="3">
        <v>0.38719999999999999</v>
      </c>
      <c r="Q9017" s="3">
        <v>6.9999999999999999E-4</v>
      </c>
      <c r="R9017" s="3">
        <v>1.34E-2</v>
      </c>
      <c r="S9017" s="3">
        <v>8.5000000000000006E-3</v>
      </c>
      <c r="T9017" s="3">
        <v>0.34770000000000001</v>
      </c>
      <c r="U9017" s="3">
        <v>6.5500000000000003E-2</v>
      </c>
    </row>
    <row r="9019" spans="1:21" ht="30">
      <c r="A9019" s="22" t="s">
        <v>1801</v>
      </c>
    </row>
    <row r="9020" spans="1:21">
      <c r="A9020" t="s">
        <v>185</v>
      </c>
      <c r="B9020" t="s">
        <v>186</v>
      </c>
      <c r="C9020" t="s">
        <v>192</v>
      </c>
      <c r="D9020" t="s">
        <v>184</v>
      </c>
      <c r="E9020" t="s">
        <v>193</v>
      </c>
      <c r="F9020" t="s">
        <v>1788</v>
      </c>
      <c r="G9020" t="s">
        <v>257</v>
      </c>
      <c r="H9020" t="s">
        <v>1789</v>
      </c>
      <c r="I9020" t="s">
        <v>1790</v>
      </c>
      <c r="J9020" t="s">
        <v>1791</v>
      </c>
      <c r="K9020" t="s">
        <v>1792</v>
      </c>
      <c r="L9020" t="s">
        <v>329</v>
      </c>
      <c r="M9020" t="s">
        <v>1793</v>
      </c>
      <c r="N9020" t="s">
        <v>274</v>
      </c>
      <c r="O9020" t="s">
        <v>1794</v>
      </c>
      <c r="P9020" t="s">
        <v>1795</v>
      </c>
      <c r="Q9020" t="s">
        <v>247</v>
      </c>
      <c r="R9020" t="s">
        <v>1796</v>
      </c>
      <c r="S9020" t="s">
        <v>1797</v>
      </c>
      <c r="T9020" t="s">
        <v>1798</v>
      </c>
      <c r="U9020" t="s">
        <v>1799</v>
      </c>
    </row>
    <row r="9021" spans="1:21">
      <c r="A9021" t="s">
        <v>195</v>
      </c>
      <c r="B9021" t="s">
        <v>196</v>
      </c>
      <c r="C9021">
        <v>275</v>
      </c>
      <c r="D9021" t="s">
        <v>194</v>
      </c>
      <c r="E9021">
        <v>1517</v>
      </c>
      <c r="F9021" s="3">
        <v>2.1499999999999998E-2</v>
      </c>
      <c r="G9021" s="3">
        <v>1.2699999999999999E-2</v>
      </c>
      <c r="H9021" s="3">
        <v>2.1899999999999999E-2</v>
      </c>
      <c r="I9021" s="3">
        <v>0.1424</v>
      </c>
      <c r="J9021" s="3">
        <v>5.7000000000000002E-3</v>
      </c>
      <c r="K9021" s="3">
        <v>0.49180000000000001</v>
      </c>
      <c r="L9021" s="3">
        <v>8.6999999999999994E-3</v>
      </c>
      <c r="M9021" s="3">
        <v>6.6100000000000006E-2</v>
      </c>
      <c r="O9021" s="3">
        <v>5.8700000000000002E-2</v>
      </c>
      <c r="P9021" s="3">
        <v>0.48509999999999998</v>
      </c>
      <c r="R9021" s="3">
        <v>2.4400000000000002E-2</v>
      </c>
      <c r="S9021" s="3">
        <v>1.14E-2</v>
      </c>
      <c r="T9021" s="3">
        <v>0.2445</v>
      </c>
      <c r="U9021" s="3">
        <v>5.28E-2</v>
      </c>
    </row>
    <row r="9022" spans="1:21">
      <c r="A9022" t="s">
        <v>195</v>
      </c>
      <c r="B9022" t="s">
        <v>198</v>
      </c>
      <c r="C9022">
        <v>503</v>
      </c>
      <c r="D9022" t="s">
        <v>194</v>
      </c>
      <c r="E9022">
        <v>1517</v>
      </c>
      <c r="F9022" s="3">
        <v>2.86E-2</v>
      </c>
      <c r="G9022" s="3">
        <v>5.7999999999999996E-3</v>
      </c>
      <c r="H9022" s="3">
        <v>5.11E-2</v>
      </c>
      <c r="I9022" s="3">
        <v>0.14749999999999999</v>
      </c>
      <c r="J9022" s="3">
        <v>2.1299999999999999E-2</v>
      </c>
      <c r="K9022" s="3">
        <v>0.60499999999999998</v>
      </c>
      <c r="L9022" s="3">
        <v>1.1299999999999999E-2</v>
      </c>
      <c r="M9022" s="3">
        <v>3.9E-2</v>
      </c>
      <c r="O9022" s="3">
        <v>2.1499999999999998E-2</v>
      </c>
      <c r="P9022" s="3">
        <v>0.4259</v>
      </c>
      <c r="R9022" s="3">
        <v>6.1000000000000004E-3</v>
      </c>
      <c r="S9022" s="3">
        <v>8.3999999999999995E-3</v>
      </c>
      <c r="T9022" s="3">
        <v>0.34670000000000001</v>
      </c>
      <c r="U9022" s="3">
        <v>5.9799999999999999E-2</v>
      </c>
    </row>
    <row r="9023" spans="1:21">
      <c r="A9023" t="s">
        <v>199</v>
      </c>
      <c r="B9023" t="s">
        <v>196</v>
      </c>
      <c r="C9023">
        <v>272</v>
      </c>
      <c r="D9023" t="s">
        <v>194</v>
      </c>
      <c r="E9023">
        <v>1517</v>
      </c>
      <c r="F9023" s="3">
        <v>2.2599999999999999E-2</v>
      </c>
      <c r="G9023" s="3">
        <v>7.0000000000000001E-3</v>
      </c>
      <c r="H9023" s="3">
        <v>2.7400000000000001E-2</v>
      </c>
      <c r="I9023" s="3">
        <v>0.1661</v>
      </c>
      <c r="J9023" s="3">
        <v>2.7099999999999999E-2</v>
      </c>
      <c r="K9023" s="3">
        <v>0.49309999999999998</v>
      </c>
      <c r="M9023" s="3">
        <v>7.5800000000000006E-2</v>
      </c>
      <c r="O9023" s="3">
        <v>3.6799999999999999E-2</v>
      </c>
      <c r="P9023" s="3">
        <v>0.38229999999999997</v>
      </c>
      <c r="Q9023" s="3">
        <v>8.3999999999999995E-3</v>
      </c>
      <c r="R9023" s="3">
        <v>2.1999999999999999E-2</v>
      </c>
      <c r="S9023" s="3">
        <v>1.1900000000000001E-2</v>
      </c>
      <c r="T9023" s="3">
        <v>0.33510000000000001</v>
      </c>
      <c r="U9023" s="3">
        <v>0.1016</v>
      </c>
    </row>
    <row r="9024" spans="1:21">
      <c r="A9024" t="s">
        <v>199</v>
      </c>
      <c r="B9024" t="s">
        <v>198</v>
      </c>
      <c r="C9024">
        <v>446</v>
      </c>
      <c r="D9024" t="s">
        <v>194</v>
      </c>
      <c r="E9024">
        <v>1517</v>
      </c>
      <c r="F9024" s="3">
        <v>1.89E-2</v>
      </c>
      <c r="G9024" s="3">
        <v>8.6999999999999994E-3</v>
      </c>
      <c r="H9024" s="3">
        <v>9.1399999999999995E-2</v>
      </c>
      <c r="I9024" s="3">
        <v>0.122</v>
      </c>
      <c r="J9024" s="3">
        <v>2.0899999999999998E-2</v>
      </c>
      <c r="K9024" s="3">
        <v>0.56989999999999996</v>
      </c>
      <c r="L9024" s="3">
        <v>3.3700000000000001E-2</v>
      </c>
      <c r="M9024" s="3">
        <v>0.11990000000000001</v>
      </c>
      <c r="N9024" s="3">
        <v>6.9999999999999999E-4</v>
      </c>
      <c r="O9024" s="3">
        <v>6.1100000000000002E-2</v>
      </c>
      <c r="P9024" s="3">
        <v>0.29270000000000002</v>
      </c>
      <c r="R9024" s="3">
        <v>1.5800000000000002E-2</v>
      </c>
      <c r="S9024" s="3">
        <v>6.6E-3</v>
      </c>
      <c r="T9024" s="3">
        <v>0.39750000000000002</v>
      </c>
      <c r="U9024" s="3">
        <v>7.0300000000000001E-2</v>
      </c>
    </row>
    <row r="9025" spans="1:21">
      <c r="A9025" t="s">
        <v>200</v>
      </c>
      <c r="B9025" t="s">
        <v>200</v>
      </c>
      <c r="C9025">
        <v>1517</v>
      </c>
      <c r="D9025" t="s">
        <v>200</v>
      </c>
      <c r="E9025">
        <v>1517</v>
      </c>
      <c r="F9025" s="3">
        <v>2.3699999999999999E-2</v>
      </c>
      <c r="G9025" s="3">
        <v>7.9000000000000008E-3</v>
      </c>
      <c r="H9025" s="3">
        <v>5.7799999999999997E-2</v>
      </c>
      <c r="I9025" s="3">
        <v>0.13950000000000001</v>
      </c>
      <c r="J9025" s="3">
        <v>1.9199999999999998E-2</v>
      </c>
      <c r="K9025" s="3">
        <v>0.5665</v>
      </c>
      <c r="L9025" s="3">
        <v>1.7299999999999999E-2</v>
      </c>
      <c r="M9025" s="3">
        <v>7.2499999999999995E-2</v>
      </c>
      <c r="N9025" s="3">
        <v>2.0000000000000001E-4</v>
      </c>
      <c r="O9025" s="3">
        <v>4.1399999999999999E-2</v>
      </c>
      <c r="P9025" s="3">
        <v>0.38719999999999999</v>
      </c>
      <c r="Q9025" s="3">
        <v>6.9999999999999999E-4</v>
      </c>
      <c r="R9025" s="3">
        <v>1.34E-2</v>
      </c>
      <c r="S9025" s="3">
        <v>8.5000000000000006E-3</v>
      </c>
      <c r="T9025" s="3">
        <v>0.34770000000000001</v>
      </c>
      <c r="U9025" s="3">
        <v>6.5500000000000003E-2</v>
      </c>
    </row>
    <row r="9027" spans="1:21" ht="45">
      <c r="A9027" s="22" t="s">
        <v>1802</v>
      </c>
    </row>
    <row r="9028" spans="1:21">
      <c r="A9028" t="s">
        <v>185</v>
      </c>
      <c r="B9028" t="s">
        <v>186</v>
      </c>
      <c r="C9028" t="s">
        <v>192</v>
      </c>
      <c r="D9028" t="s">
        <v>184</v>
      </c>
      <c r="E9028" t="s">
        <v>193</v>
      </c>
      <c r="F9028" t="s">
        <v>1788</v>
      </c>
      <c r="G9028" t="s">
        <v>257</v>
      </c>
      <c r="H9028" t="s">
        <v>1789</v>
      </c>
      <c r="I9028" t="s">
        <v>1790</v>
      </c>
      <c r="J9028" t="s">
        <v>1791</v>
      </c>
      <c r="K9028" t="s">
        <v>1792</v>
      </c>
      <c r="L9028" t="s">
        <v>329</v>
      </c>
      <c r="M9028" t="s">
        <v>1793</v>
      </c>
      <c r="N9028" t="s">
        <v>274</v>
      </c>
      <c r="O9028" t="s">
        <v>1794</v>
      </c>
      <c r="P9028" t="s">
        <v>1795</v>
      </c>
      <c r="Q9028" t="s">
        <v>247</v>
      </c>
      <c r="R9028" t="s">
        <v>1796</v>
      </c>
      <c r="S9028" t="s">
        <v>1797</v>
      </c>
      <c r="T9028" t="s">
        <v>1798</v>
      </c>
      <c r="U9028" t="s">
        <v>1799</v>
      </c>
    </row>
    <row r="9029" spans="1:21">
      <c r="A9029" t="s">
        <v>195</v>
      </c>
      <c r="B9029" t="s">
        <v>202</v>
      </c>
      <c r="C9029">
        <v>356</v>
      </c>
      <c r="D9029" t="s">
        <v>194</v>
      </c>
      <c r="E9029">
        <v>1517</v>
      </c>
      <c r="F9029" s="3">
        <v>1.7299999999999999E-2</v>
      </c>
      <c r="G9029" s="3">
        <v>1.12E-2</v>
      </c>
      <c r="H9029" s="3">
        <v>3.9199999999999999E-2</v>
      </c>
      <c r="I9029" s="3">
        <v>0.13120000000000001</v>
      </c>
      <c r="J9029" s="3">
        <v>1.6799999999999999E-2</v>
      </c>
      <c r="K9029" s="3">
        <v>0.5847</v>
      </c>
      <c r="L9029" s="3">
        <v>1.38E-2</v>
      </c>
      <c r="M9029" s="3">
        <v>5.5E-2</v>
      </c>
      <c r="O9029" s="3">
        <v>3.3500000000000002E-2</v>
      </c>
      <c r="P9029" s="3">
        <v>0.41820000000000002</v>
      </c>
      <c r="R9029" s="3">
        <v>8.9999999999999998E-4</v>
      </c>
      <c r="T9029" s="3">
        <v>0.30399999999999999</v>
      </c>
      <c r="U9029" s="3">
        <v>3.9800000000000002E-2</v>
      </c>
    </row>
    <row r="9030" spans="1:21">
      <c r="A9030" t="s">
        <v>195</v>
      </c>
      <c r="B9030" t="s">
        <v>204</v>
      </c>
      <c r="C9030">
        <v>208</v>
      </c>
      <c r="D9030" t="s">
        <v>194</v>
      </c>
      <c r="E9030">
        <v>1517</v>
      </c>
      <c r="F9030" s="3">
        <v>2.8E-3</v>
      </c>
      <c r="G9030" s="3">
        <v>2E-3</v>
      </c>
      <c r="H9030" s="3">
        <v>3.3300000000000003E-2</v>
      </c>
      <c r="I9030" s="3">
        <v>0.17299999999999999</v>
      </c>
      <c r="J9030" s="3">
        <v>2.1999999999999999E-2</v>
      </c>
      <c r="K9030" s="3">
        <v>0.53029999999999999</v>
      </c>
      <c r="L9030" s="3">
        <v>8.0000000000000002E-3</v>
      </c>
      <c r="M9030" s="3">
        <v>3.8399999999999997E-2</v>
      </c>
      <c r="O9030" s="3">
        <v>3.5499999999999997E-2</v>
      </c>
      <c r="P9030" s="3">
        <v>0.41039999999999999</v>
      </c>
      <c r="R9030" s="3">
        <v>0.04</v>
      </c>
      <c r="S9030" s="3">
        <v>3.1199999999999999E-2</v>
      </c>
      <c r="T9030" s="3">
        <v>0.39589999999999997</v>
      </c>
      <c r="U9030" s="3">
        <v>9.3799999999999994E-2</v>
      </c>
    </row>
    <row r="9031" spans="1:21">
      <c r="A9031" t="s">
        <v>195</v>
      </c>
      <c r="B9031" t="s">
        <v>205</v>
      </c>
      <c r="C9031">
        <v>214</v>
      </c>
      <c r="D9031" t="s">
        <v>194</v>
      </c>
      <c r="E9031">
        <v>1517</v>
      </c>
      <c r="F9031" s="3">
        <v>0.1152</v>
      </c>
      <c r="H9031" s="3">
        <v>8.2699999999999996E-2</v>
      </c>
      <c r="I9031" s="3">
        <v>0.17019999999999999</v>
      </c>
      <c r="J9031" s="3">
        <v>1.0699999999999999E-2</v>
      </c>
      <c r="K9031" s="3">
        <v>0.61329999999999996</v>
      </c>
      <c r="M9031" s="3">
        <v>1.61E-2</v>
      </c>
      <c r="O9031" s="3">
        <v>1.2500000000000001E-2</v>
      </c>
      <c r="P9031" s="3">
        <v>0.60780000000000001</v>
      </c>
      <c r="R9031" s="3">
        <v>6.7999999999999996E-3</v>
      </c>
      <c r="S9031" s="3">
        <v>1.38E-2</v>
      </c>
      <c r="T9031" s="3">
        <v>0.26250000000000001</v>
      </c>
      <c r="U9031" s="3">
        <v>8.1600000000000006E-2</v>
      </c>
    </row>
    <row r="9032" spans="1:21">
      <c r="A9032" t="s">
        <v>199</v>
      </c>
      <c r="B9032" t="s">
        <v>202</v>
      </c>
      <c r="C9032">
        <v>226</v>
      </c>
      <c r="D9032" t="s">
        <v>194</v>
      </c>
      <c r="E9032">
        <v>1517</v>
      </c>
      <c r="F9032" s="3">
        <v>2.2599999999999999E-2</v>
      </c>
      <c r="G9032" s="3">
        <v>1.09E-2</v>
      </c>
      <c r="H9032" s="3">
        <v>9.2200000000000004E-2</v>
      </c>
      <c r="I9032" s="3">
        <v>9.3299999999999994E-2</v>
      </c>
      <c r="J9032" s="3">
        <v>2.0500000000000001E-2</v>
      </c>
      <c r="K9032" s="3">
        <v>0.49320000000000003</v>
      </c>
      <c r="L9032" s="3">
        <v>3.7199999999999997E-2</v>
      </c>
      <c r="M9032" s="3">
        <v>0.1202</v>
      </c>
      <c r="N9032" s="3">
        <v>1E-3</v>
      </c>
      <c r="O9032" s="3">
        <v>4.3900000000000002E-2</v>
      </c>
      <c r="P9032" s="3">
        <v>0.28660000000000002</v>
      </c>
      <c r="Q9032" s="3">
        <v>2.3999999999999998E-3</v>
      </c>
      <c r="R9032" s="3">
        <v>1.6899999999999998E-2</v>
      </c>
      <c r="S9032" s="3">
        <v>7.6E-3</v>
      </c>
      <c r="T9032" s="3">
        <v>0.3382</v>
      </c>
      <c r="U9032" s="3">
        <v>8.3599999999999994E-2</v>
      </c>
    </row>
    <row r="9033" spans="1:21">
      <c r="A9033" t="s">
        <v>199</v>
      </c>
      <c r="B9033" t="s">
        <v>204</v>
      </c>
      <c r="C9033">
        <v>237</v>
      </c>
      <c r="D9033" t="s">
        <v>194</v>
      </c>
      <c r="E9033">
        <v>1517</v>
      </c>
      <c r="F9033" s="3">
        <v>2.5399999999999999E-2</v>
      </c>
      <c r="G9033" s="3">
        <v>1.04E-2</v>
      </c>
      <c r="H9033" s="3">
        <v>7.7399999999999997E-2</v>
      </c>
      <c r="I9033" s="3">
        <v>0.15049999999999999</v>
      </c>
      <c r="J9033" s="3">
        <v>1.41E-2</v>
      </c>
      <c r="K9033" s="3">
        <v>0.61990000000000001</v>
      </c>
      <c r="L9033" s="3">
        <v>2.8199999999999999E-2</v>
      </c>
      <c r="M9033" s="3">
        <v>0.1028</v>
      </c>
      <c r="O9033" s="3">
        <v>0.121</v>
      </c>
      <c r="P9033" s="3">
        <v>0.3533</v>
      </c>
      <c r="R9033" s="3">
        <v>1.18E-2</v>
      </c>
      <c r="S9033" s="3">
        <v>1.4200000000000001E-2</v>
      </c>
      <c r="T9033" s="3">
        <v>0.44640000000000002</v>
      </c>
      <c r="U9033" s="3">
        <v>6.7500000000000004E-2</v>
      </c>
    </row>
    <row r="9034" spans="1:21">
      <c r="A9034" t="s">
        <v>199</v>
      </c>
      <c r="B9034" t="s">
        <v>205</v>
      </c>
      <c r="C9034">
        <v>255</v>
      </c>
      <c r="D9034" t="s">
        <v>194</v>
      </c>
      <c r="E9034">
        <v>1517</v>
      </c>
      <c r="F9034" s="3">
        <v>6.7000000000000002E-3</v>
      </c>
      <c r="H9034" s="3">
        <v>4.5199999999999997E-2</v>
      </c>
      <c r="I9034" s="3">
        <v>0.20469999999999999</v>
      </c>
      <c r="J9034" s="3">
        <v>3.4299999999999997E-2</v>
      </c>
      <c r="K9034" s="3">
        <v>0.64080000000000004</v>
      </c>
      <c r="M9034" s="3">
        <v>9.64E-2</v>
      </c>
      <c r="O9034" s="3">
        <v>2.2700000000000001E-2</v>
      </c>
      <c r="P9034" s="3">
        <v>0.32900000000000001</v>
      </c>
      <c r="Q9034" s="3">
        <v>1.6000000000000001E-3</v>
      </c>
      <c r="R9034" s="3">
        <v>2.2800000000000001E-2</v>
      </c>
      <c r="S9034" s="3">
        <v>1.2999999999999999E-3</v>
      </c>
      <c r="T9034" s="3">
        <v>0.43969999999999998</v>
      </c>
      <c r="U9034" s="3">
        <v>6.8599999999999994E-2</v>
      </c>
    </row>
    <row r="9035" spans="1:21">
      <c r="A9035" t="s">
        <v>200</v>
      </c>
      <c r="B9035" t="s">
        <v>200</v>
      </c>
      <c r="C9035">
        <v>1517</v>
      </c>
      <c r="D9035" t="s">
        <v>200</v>
      </c>
      <c r="E9035">
        <v>1517</v>
      </c>
      <c r="F9035" s="3">
        <v>2.3699999999999999E-2</v>
      </c>
      <c r="G9035" s="3">
        <v>7.9000000000000008E-3</v>
      </c>
      <c r="H9035" s="3">
        <v>5.7799999999999997E-2</v>
      </c>
      <c r="I9035" s="3">
        <v>0.13950000000000001</v>
      </c>
      <c r="J9035" s="3">
        <v>1.9199999999999998E-2</v>
      </c>
      <c r="K9035" s="3">
        <v>0.5665</v>
      </c>
      <c r="L9035" s="3">
        <v>1.7299999999999999E-2</v>
      </c>
      <c r="M9035" s="3">
        <v>7.2499999999999995E-2</v>
      </c>
      <c r="N9035" s="3">
        <v>2.0000000000000001E-4</v>
      </c>
      <c r="O9035" s="3">
        <v>4.1399999999999999E-2</v>
      </c>
      <c r="P9035" s="3">
        <v>0.38719999999999999</v>
      </c>
      <c r="Q9035" s="3">
        <v>6.9999999999999999E-4</v>
      </c>
      <c r="R9035" s="3">
        <v>1.34E-2</v>
      </c>
      <c r="S9035" s="3">
        <v>8.5000000000000006E-3</v>
      </c>
      <c r="T9035" s="3">
        <v>0.34770000000000001</v>
      </c>
      <c r="U9035" s="3">
        <v>6.5500000000000003E-2</v>
      </c>
    </row>
    <row r="9037" spans="1:21" ht="45">
      <c r="A9037" s="22" t="s">
        <v>1803</v>
      </c>
    </row>
    <row r="9038" spans="1:21">
      <c r="A9038" t="s">
        <v>185</v>
      </c>
      <c r="B9038" t="s">
        <v>186</v>
      </c>
      <c r="C9038" t="s">
        <v>192</v>
      </c>
      <c r="D9038" t="s">
        <v>184</v>
      </c>
      <c r="E9038" t="s">
        <v>193</v>
      </c>
      <c r="F9038" t="s">
        <v>1788</v>
      </c>
      <c r="G9038" t="s">
        <v>257</v>
      </c>
      <c r="H9038" t="s">
        <v>1789</v>
      </c>
      <c r="I9038" t="s">
        <v>1790</v>
      </c>
      <c r="J9038" t="s">
        <v>1791</v>
      </c>
      <c r="K9038" t="s">
        <v>1792</v>
      </c>
      <c r="L9038" t="s">
        <v>329</v>
      </c>
      <c r="M9038" t="s">
        <v>1793</v>
      </c>
      <c r="N9038" t="s">
        <v>274</v>
      </c>
      <c r="O9038" t="s">
        <v>1794</v>
      </c>
      <c r="P9038" t="s">
        <v>1795</v>
      </c>
      <c r="Q9038" t="s">
        <v>247</v>
      </c>
      <c r="R9038" t="s">
        <v>1796</v>
      </c>
      <c r="S9038" t="s">
        <v>1797</v>
      </c>
      <c r="T9038" t="s">
        <v>1798</v>
      </c>
      <c r="U9038" t="s">
        <v>1799</v>
      </c>
    </row>
    <row r="9039" spans="1:21">
      <c r="A9039" t="s">
        <v>195</v>
      </c>
      <c r="B9039" t="s">
        <v>207</v>
      </c>
      <c r="C9039">
        <v>230</v>
      </c>
      <c r="D9039" t="s">
        <v>194</v>
      </c>
      <c r="E9039">
        <v>1517</v>
      </c>
      <c r="F9039" s="3">
        <v>4.4699999999999997E-2</v>
      </c>
      <c r="G9039" s="3">
        <v>4.4000000000000003E-3</v>
      </c>
      <c r="H9039" s="3">
        <v>4.07E-2</v>
      </c>
      <c r="I9039" s="3">
        <v>0.1547</v>
      </c>
      <c r="J9039" s="3">
        <v>8.8999999999999999E-3</v>
      </c>
      <c r="K9039" s="3">
        <v>0.50319999999999998</v>
      </c>
      <c r="L9039" s="3">
        <v>0.02</v>
      </c>
      <c r="M9039" s="3">
        <v>2.9100000000000001E-2</v>
      </c>
      <c r="O9039" s="3">
        <v>4.7300000000000002E-2</v>
      </c>
      <c r="P9039" s="3">
        <v>0.53039999999999998</v>
      </c>
      <c r="R9039" s="3">
        <v>3.39E-2</v>
      </c>
      <c r="S9039" s="3">
        <v>2.1499999999999998E-2</v>
      </c>
      <c r="T9039" s="3">
        <v>0.21690000000000001</v>
      </c>
      <c r="U9039" s="3">
        <v>8.3000000000000004E-2</v>
      </c>
    </row>
    <row r="9040" spans="1:21">
      <c r="A9040" t="s">
        <v>195</v>
      </c>
      <c r="B9040" t="s">
        <v>209</v>
      </c>
      <c r="C9040">
        <v>562</v>
      </c>
      <c r="D9040" t="s">
        <v>194</v>
      </c>
      <c r="E9040">
        <v>1517</v>
      </c>
      <c r="F9040" s="3">
        <v>1.9400000000000001E-2</v>
      </c>
      <c r="G9040" s="3">
        <v>8.8000000000000005E-3</v>
      </c>
      <c r="H9040" s="3">
        <v>4.4600000000000001E-2</v>
      </c>
      <c r="I9040" s="3">
        <v>0.1421</v>
      </c>
      <c r="J9040" s="3">
        <v>2.0500000000000001E-2</v>
      </c>
      <c r="K9040" s="3">
        <v>0.60399999999999998</v>
      </c>
      <c r="L9040" s="3">
        <v>6.7999999999999996E-3</v>
      </c>
      <c r="M9040" s="3">
        <v>5.2400000000000002E-2</v>
      </c>
      <c r="O9040" s="3">
        <v>2.4500000000000001E-2</v>
      </c>
      <c r="P9040" s="3">
        <v>0.40400000000000003</v>
      </c>
      <c r="R9040" s="3">
        <v>1.6000000000000001E-3</v>
      </c>
      <c r="S9040" s="3">
        <v>4.1000000000000003E-3</v>
      </c>
      <c r="T9040" s="3">
        <v>0.36409999999999998</v>
      </c>
      <c r="U9040" s="3">
        <v>4.7699999999999999E-2</v>
      </c>
    </row>
    <row r="9041" spans="1:21">
      <c r="A9041" t="s">
        <v>199</v>
      </c>
      <c r="B9041" t="s">
        <v>207</v>
      </c>
      <c r="C9041">
        <v>177</v>
      </c>
      <c r="D9041" t="s">
        <v>194</v>
      </c>
      <c r="E9041">
        <v>1517</v>
      </c>
      <c r="F9041" s="3">
        <v>1.06E-2</v>
      </c>
      <c r="H9041" s="3">
        <v>3.5200000000000002E-2</v>
      </c>
      <c r="I9041" s="3">
        <v>5.2299999999999999E-2</v>
      </c>
      <c r="J9041" s="3">
        <v>9.7999999999999997E-3</v>
      </c>
      <c r="K9041" s="3">
        <v>0.57079999999999997</v>
      </c>
      <c r="L9041" s="3">
        <v>1.11E-2</v>
      </c>
      <c r="M9041" s="3">
        <v>2.07E-2</v>
      </c>
      <c r="N9041" s="3">
        <v>3.2000000000000002E-3</v>
      </c>
      <c r="O9041" s="3">
        <v>4.0000000000000001E-3</v>
      </c>
      <c r="P9041" s="3">
        <v>0.35970000000000002</v>
      </c>
      <c r="R9041" s="3">
        <v>2.2200000000000001E-2</v>
      </c>
      <c r="S9041" s="3">
        <v>2.2499999999999999E-2</v>
      </c>
      <c r="T9041" s="3">
        <v>0.247</v>
      </c>
      <c r="U9041" s="3">
        <v>6.7799999999999999E-2</v>
      </c>
    </row>
    <row r="9042" spans="1:21">
      <c r="A9042" t="s">
        <v>199</v>
      </c>
      <c r="B9042" t="s">
        <v>209</v>
      </c>
      <c r="C9042">
        <v>548</v>
      </c>
      <c r="D9042" t="s">
        <v>194</v>
      </c>
      <c r="E9042">
        <v>1517</v>
      </c>
      <c r="F9042" s="3">
        <v>2.1600000000000001E-2</v>
      </c>
      <c r="G9042" s="3">
        <v>1.01E-2</v>
      </c>
      <c r="H9042" s="3">
        <v>8.77E-2</v>
      </c>
      <c r="I9042" s="3">
        <v>0.14779999999999999</v>
      </c>
      <c r="J9042" s="3">
        <v>2.4799999999999999E-2</v>
      </c>
      <c r="K9042" s="3">
        <v>0.55030000000000001</v>
      </c>
      <c r="L9042" s="3">
        <v>3.0300000000000001E-2</v>
      </c>
      <c r="M9042" s="3">
        <v>0.13039999999999999</v>
      </c>
      <c r="O9042" s="3">
        <v>6.7500000000000004E-2</v>
      </c>
      <c r="P9042" s="3">
        <v>0.30130000000000001</v>
      </c>
      <c r="Q9042" s="3">
        <v>2.0999999999999999E-3</v>
      </c>
      <c r="R9042" s="3">
        <v>1.5900000000000001E-2</v>
      </c>
      <c r="S9042" s="3">
        <v>4.4000000000000003E-3</v>
      </c>
      <c r="T9042" s="3">
        <v>0.41420000000000001</v>
      </c>
      <c r="U9042" s="3">
        <v>7.85E-2</v>
      </c>
    </row>
    <row r="9043" spans="1:21">
      <c r="A9043" t="s">
        <v>200</v>
      </c>
      <c r="B9043" t="s">
        <v>200</v>
      </c>
      <c r="C9043">
        <v>1517</v>
      </c>
      <c r="D9043" t="s">
        <v>200</v>
      </c>
      <c r="E9043">
        <v>1517</v>
      </c>
      <c r="F9043" s="3">
        <v>2.3699999999999999E-2</v>
      </c>
      <c r="G9043" s="3">
        <v>7.9000000000000008E-3</v>
      </c>
      <c r="H9043" s="3">
        <v>5.7799999999999997E-2</v>
      </c>
      <c r="I9043" s="3">
        <v>0.13950000000000001</v>
      </c>
      <c r="J9043" s="3">
        <v>1.9199999999999998E-2</v>
      </c>
      <c r="K9043" s="3">
        <v>0.5665</v>
      </c>
      <c r="L9043" s="3">
        <v>1.7299999999999999E-2</v>
      </c>
      <c r="M9043" s="3">
        <v>7.2499999999999995E-2</v>
      </c>
      <c r="N9043" s="3">
        <v>2.0000000000000001E-4</v>
      </c>
      <c r="O9043" s="3">
        <v>4.1399999999999999E-2</v>
      </c>
      <c r="P9043" s="3">
        <v>0.38719999999999999</v>
      </c>
      <c r="Q9043" s="3">
        <v>6.9999999999999999E-4</v>
      </c>
      <c r="R9043" s="3">
        <v>1.34E-2</v>
      </c>
      <c r="S9043" s="3">
        <v>8.5000000000000006E-3</v>
      </c>
      <c r="T9043" s="3">
        <v>0.34770000000000001</v>
      </c>
      <c r="U9043" s="3">
        <v>6.5500000000000003E-2</v>
      </c>
    </row>
    <row r="9045" spans="1:21" ht="45">
      <c r="A9045" s="22" t="s">
        <v>1804</v>
      </c>
    </row>
    <row r="9046" spans="1:21">
      <c r="A9046" t="s">
        <v>185</v>
      </c>
      <c r="B9046" t="s">
        <v>192</v>
      </c>
      <c r="C9046" t="s">
        <v>184</v>
      </c>
      <c r="D9046" t="s">
        <v>193</v>
      </c>
      <c r="E9046" t="s">
        <v>1788</v>
      </c>
      <c r="F9046" t="s">
        <v>257</v>
      </c>
      <c r="G9046" t="s">
        <v>1789</v>
      </c>
      <c r="H9046" t="s">
        <v>1790</v>
      </c>
      <c r="I9046" t="s">
        <v>1791</v>
      </c>
      <c r="J9046" t="s">
        <v>1792</v>
      </c>
      <c r="K9046" t="s">
        <v>329</v>
      </c>
      <c r="L9046" t="s">
        <v>1793</v>
      </c>
      <c r="M9046" t="s">
        <v>274</v>
      </c>
      <c r="N9046" t="s">
        <v>1794</v>
      </c>
      <c r="O9046" t="s">
        <v>1795</v>
      </c>
      <c r="P9046" t="s">
        <v>247</v>
      </c>
      <c r="Q9046" t="s">
        <v>1796</v>
      </c>
      <c r="R9046" t="s">
        <v>1797</v>
      </c>
      <c r="S9046" t="s">
        <v>1798</v>
      </c>
      <c r="T9046" t="s">
        <v>1799</v>
      </c>
    </row>
    <row r="9047" spans="1:21">
      <c r="A9047" t="s">
        <v>195</v>
      </c>
      <c r="B9047">
        <v>792</v>
      </c>
      <c r="C9047" t="s">
        <v>194</v>
      </c>
      <c r="D9047">
        <v>1517</v>
      </c>
      <c r="E9047" s="3">
        <v>2.6599999999999999E-2</v>
      </c>
      <c r="F9047" s="3">
        <v>7.6E-3</v>
      </c>
      <c r="G9047" s="3">
        <v>4.3499999999999997E-2</v>
      </c>
      <c r="H9047" s="3">
        <v>0.1457</v>
      </c>
      <c r="I9047" s="3">
        <v>1.7100000000000001E-2</v>
      </c>
      <c r="J9047" s="3">
        <v>0.57520000000000004</v>
      </c>
      <c r="K9047" s="3">
        <v>1.06E-2</v>
      </c>
      <c r="L9047" s="3">
        <v>4.58E-2</v>
      </c>
      <c r="N9047" s="3">
        <v>3.1E-2</v>
      </c>
      <c r="O9047" s="3">
        <v>0.44009999999999999</v>
      </c>
      <c r="Q9047" s="3">
        <v>1.0800000000000001E-2</v>
      </c>
      <c r="R9047" s="3">
        <v>9.1000000000000004E-3</v>
      </c>
      <c r="S9047" s="3">
        <v>0.3221</v>
      </c>
      <c r="T9047" s="3">
        <v>5.7799999999999997E-2</v>
      </c>
    </row>
    <row r="9048" spans="1:21">
      <c r="A9048" t="s">
        <v>199</v>
      </c>
      <c r="B9048">
        <v>725</v>
      </c>
      <c r="C9048" t="s">
        <v>194</v>
      </c>
      <c r="D9048">
        <v>1517</v>
      </c>
      <c r="E9048" s="3">
        <v>1.9599999999999999E-2</v>
      </c>
      <c r="F9048" s="3">
        <v>8.3000000000000001E-3</v>
      </c>
      <c r="G9048" s="3">
        <v>7.8299999999999995E-2</v>
      </c>
      <c r="H9048" s="3">
        <v>0.13070000000000001</v>
      </c>
      <c r="I9048" s="3">
        <v>2.2200000000000001E-2</v>
      </c>
      <c r="J9048" s="3">
        <v>0.55400000000000005</v>
      </c>
      <c r="K9048" s="3">
        <v>2.6800000000000001E-2</v>
      </c>
      <c r="L9048" s="3">
        <v>0.1108</v>
      </c>
      <c r="M9048" s="3">
        <v>5.9999999999999995E-4</v>
      </c>
      <c r="N9048" s="3">
        <v>5.6099999999999997E-2</v>
      </c>
      <c r="O9048" s="3">
        <v>0.31180000000000002</v>
      </c>
      <c r="P9048" s="3">
        <v>1.6999999999999999E-3</v>
      </c>
      <c r="Q9048" s="3">
        <v>1.7000000000000001E-2</v>
      </c>
      <c r="R9048" s="3">
        <v>7.6E-3</v>
      </c>
      <c r="S9048" s="3">
        <v>0.38429999999999997</v>
      </c>
      <c r="T9048" s="3">
        <v>7.6600000000000001E-2</v>
      </c>
    </row>
    <row r="9049" spans="1:21">
      <c r="A9049" t="s">
        <v>200</v>
      </c>
      <c r="B9049">
        <v>1517</v>
      </c>
      <c r="C9049" t="s">
        <v>200</v>
      </c>
      <c r="D9049">
        <v>1517</v>
      </c>
      <c r="E9049" s="3">
        <v>2.3699999999999999E-2</v>
      </c>
      <c r="F9049" s="3">
        <v>7.9000000000000008E-3</v>
      </c>
      <c r="G9049" s="3">
        <v>5.7799999999999997E-2</v>
      </c>
      <c r="H9049" s="3">
        <v>0.13950000000000001</v>
      </c>
      <c r="I9049" s="3">
        <v>1.9199999999999998E-2</v>
      </c>
      <c r="J9049" s="3">
        <v>0.5665</v>
      </c>
      <c r="K9049" s="3">
        <v>1.7299999999999999E-2</v>
      </c>
      <c r="L9049" s="3">
        <v>7.2499999999999995E-2</v>
      </c>
      <c r="M9049" s="3">
        <v>2.0000000000000001E-4</v>
      </c>
      <c r="N9049" s="3">
        <v>4.1399999999999999E-2</v>
      </c>
      <c r="O9049" s="3">
        <v>0.38719999999999999</v>
      </c>
      <c r="P9049" s="3">
        <v>6.9999999999999999E-4</v>
      </c>
      <c r="Q9049" s="3">
        <v>1.34E-2</v>
      </c>
      <c r="R9049" s="3">
        <v>8.5000000000000006E-3</v>
      </c>
      <c r="S9049" s="3">
        <v>0.34770000000000001</v>
      </c>
      <c r="T9049" s="3">
        <v>6.5500000000000003E-2</v>
      </c>
    </row>
    <row r="9051" spans="1:21" ht="30">
      <c r="A9051" s="22" t="s">
        <v>1805</v>
      </c>
    </row>
    <row r="9052" spans="1:21">
      <c r="A9052" t="s">
        <v>185</v>
      </c>
      <c r="B9052" t="s">
        <v>186</v>
      </c>
      <c r="C9052" t="s">
        <v>192</v>
      </c>
      <c r="D9052" t="s">
        <v>184</v>
      </c>
      <c r="E9052" t="s">
        <v>193</v>
      </c>
      <c r="F9052" t="s">
        <v>1788</v>
      </c>
      <c r="G9052" t="s">
        <v>257</v>
      </c>
      <c r="H9052" t="s">
        <v>1789</v>
      </c>
      <c r="I9052" t="s">
        <v>1790</v>
      </c>
      <c r="J9052" t="s">
        <v>1791</v>
      </c>
      <c r="K9052" t="s">
        <v>1792</v>
      </c>
      <c r="L9052" t="s">
        <v>329</v>
      </c>
      <c r="M9052" t="s">
        <v>1793</v>
      </c>
      <c r="N9052" t="s">
        <v>274</v>
      </c>
      <c r="O9052" t="s">
        <v>1794</v>
      </c>
      <c r="P9052" t="s">
        <v>1795</v>
      </c>
      <c r="Q9052" t="s">
        <v>247</v>
      </c>
      <c r="R9052" t="s">
        <v>1796</v>
      </c>
      <c r="S9052" t="s">
        <v>1797</v>
      </c>
      <c r="T9052" t="s">
        <v>1798</v>
      </c>
      <c r="U9052" t="s">
        <v>1799</v>
      </c>
    </row>
    <row r="9053" spans="1:21">
      <c r="A9053" t="s">
        <v>195</v>
      </c>
      <c r="B9053" t="s">
        <v>212</v>
      </c>
      <c r="C9053">
        <v>591</v>
      </c>
      <c r="D9053" t="s">
        <v>194</v>
      </c>
      <c r="E9053">
        <v>1517</v>
      </c>
      <c r="F9053" s="3">
        <v>2.1700000000000001E-2</v>
      </c>
      <c r="G9053" s="3">
        <v>7.7999999999999996E-3</v>
      </c>
      <c r="H9053" s="3">
        <v>4.4400000000000002E-2</v>
      </c>
      <c r="I9053" s="3">
        <v>0.15260000000000001</v>
      </c>
      <c r="J9053" s="3">
        <v>1.6199999999999999E-2</v>
      </c>
      <c r="K9053" s="3">
        <v>0.59640000000000004</v>
      </c>
      <c r="L9053" s="3">
        <v>8.0000000000000002E-3</v>
      </c>
      <c r="M9053" s="3">
        <v>5.5500000000000001E-2</v>
      </c>
      <c r="O9053" s="3">
        <v>2.81E-2</v>
      </c>
      <c r="P9053" s="3">
        <v>0.4335</v>
      </c>
      <c r="R9053" s="3">
        <v>5.1000000000000004E-3</v>
      </c>
      <c r="S9053" s="3">
        <v>9.4000000000000004E-3</v>
      </c>
      <c r="T9053" s="3">
        <v>0.33310000000000001</v>
      </c>
      <c r="U9053" s="3">
        <v>5.1999999999999998E-2</v>
      </c>
    </row>
    <row r="9054" spans="1:21">
      <c r="A9054" t="s">
        <v>195</v>
      </c>
      <c r="B9054" t="s">
        <v>214</v>
      </c>
      <c r="C9054">
        <v>113</v>
      </c>
      <c r="D9054" t="s">
        <v>194</v>
      </c>
      <c r="E9054">
        <v>1517</v>
      </c>
      <c r="F9054" s="3">
        <v>5.1499999999999997E-2</v>
      </c>
      <c r="G9054" s="3">
        <v>0.01</v>
      </c>
      <c r="H9054" s="3">
        <v>5.0200000000000002E-2</v>
      </c>
      <c r="I9054" s="3">
        <v>0.15590000000000001</v>
      </c>
      <c r="J9054" s="3">
        <v>1.4200000000000001E-2</v>
      </c>
      <c r="K9054" s="3">
        <v>0.38080000000000003</v>
      </c>
      <c r="L9054" s="3">
        <v>2.9000000000000001E-2</v>
      </c>
      <c r="M9054" s="3">
        <v>2.0799999999999999E-2</v>
      </c>
      <c r="O9054" s="3">
        <v>5.8999999999999997E-2</v>
      </c>
      <c r="P9054" s="3">
        <v>0.52080000000000004</v>
      </c>
      <c r="R9054" s="3">
        <v>4.5199999999999997E-2</v>
      </c>
      <c r="S9054" s="3">
        <v>8.8999999999999999E-3</v>
      </c>
      <c r="T9054" s="3">
        <v>0.31780000000000003</v>
      </c>
      <c r="U9054" s="3">
        <v>0.1061</v>
      </c>
    </row>
    <row r="9055" spans="1:21">
      <c r="A9055" t="s">
        <v>195</v>
      </c>
      <c r="B9055" t="s">
        <v>215</v>
      </c>
      <c r="C9055">
        <v>88</v>
      </c>
      <c r="D9055" t="s">
        <v>194</v>
      </c>
      <c r="E9055">
        <v>1517</v>
      </c>
      <c r="F9055" s="3">
        <v>2.6499999999999999E-2</v>
      </c>
      <c r="H9055" s="3">
        <v>2.24E-2</v>
      </c>
      <c r="I9055" s="3">
        <v>6.0699999999999997E-2</v>
      </c>
      <c r="J9055" s="3">
        <v>3.1899999999999998E-2</v>
      </c>
      <c r="K9055" s="3">
        <v>0.74060000000000004</v>
      </c>
      <c r="O9055" s="3">
        <v>6.1999999999999998E-3</v>
      </c>
      <c r="P9055" s="3">
        <v>0.35039999999999999</v>
      </c>
      <c r="S9055" s="3">
        <v>6.4000000000000003E-3</v>
      </c>
      <c r="T9055" s="3">
        <v>0.22459999999999999</v>
      </c>
      <c r="U9055" s="3">
        <v>2.1999999999999999E-2</v>
      </c>
    </row>
    <row r="9056" spans="1:21">
      <c r="A9056" t="s">
        <v>199</v>
      </c>
      <c r="B9056" t="s">
        <v>212</v>
      </c>
      <c r="C9056">
        <v>537</v>
      </c>
      <c r="D9056" t="s">
        <v>194</v>
      </c>
      <c r="E9056">
        <v>1517</v>
      </c>
      <c r="F9056" s="3">
        <v>1.89E-2</v>
      </c>
      <c r="G9056" s="3">
        <v>1.01E-2</v>
      </c>
      <c r="H9056" s="3">
        <v>4.9299999999999997E-2</v>
      </c>
      <c r="I9056" s="3">
        <v>0.12709999999999999</v>
      </c>
      <c r="J9056" s="3">
        <v>2.5000000000000001E-2</v>
      </c>
      <c r="K9056" s="3">
        <v>0.55710000000000004</v>
      </c>
      <c r="L9056" s="3">
        <v>3.09E-2</v>
      </c>
      <c r="M9056" s="3">
        <v>0.1057</v>
      </c>
      <c r="N9056" s="3">
        <v>8.0000000000000004E-4</v>
      </c>
      <c r="O9056" s="3">
        <v>5.0599999999999999E-2</v>
      </c>
      <c r="P9056" s="3">
        <v>0.25940000000000002</v>
      </c>
      <c r="Q9056" s="3">
        <v>1.9E-3</v>
      </c>
      <c r="R9056" s="3">
        <v>1.78E-2</v>
      </c>
      <c r="S9056" s="3">
        <v>0.01</v>
      </c>
      <c r="T9056" s="3">
        <v>0.41099999999999998</v>
      </c>
      <c r="U9056" s="3">
        <v>6.9900000000000004E-2</v>
      </c>
    </row>
    <row r="9057" spans="1:21">
      <c r="A9057" t="s">
        <v>199</v>
      </c>
      <c r="B9057" t="s">
        <v>214</v>
      </c>
      <c r="C9057">
        <v>99</v>
      </c>
      <c r="D9057" t="s">
        <v>194</v>
      </c>
      <c r="E9057">
        <v>1517</v>
      </c>
      <c r="F9057" s="3">
        <v>3.1099999999999999E-2</v>
      </c>
      <c r="H9057" s="3">
        <v>0.2034</v>
      </c>
      <c r="I9057" s="3">
        <v>0.1522</v>
      </c>
      <c r="J9057" s="3">
        <v>1.66E-2</v>
      </c>
      <c r="K9057" s="3">
        <v>0.51900000000000002</v>
      </c>
      <c r="L9057" s="3">
        <v>2.4199999999999999E-2</v>
      </c>
      <c r="M9057" s="3">
        <v>0.14480000000000001</v>
      </c>
      <c r="O9057" s="3">
        <v>8.4599999999999995E-2</v>
      </c>
      <c r="P9057" s="3">
        <v>0.43769999999999998</v>
      </c>
      <c r="Q9057" s="3">
        <v>1.8E-3</v>
      </c>
      <c r="R9057" s="3">
        <v>2.1999999999999999E-2</v>
      </c>
      <c r="S9057" s="3">
        <v>2.5999999999999999E-3</v>
      </c>
      <c r="T9057" s="3">
        <v>0.32950000000000002</v>
      </c>
      <c r="U9057" s="3">
        <v>9.0499999999999997E-2</v>
      </c>
    </row>
    <row r="9058" spans="1:21">
      <c r="A9058" t="s">
        <v>199</v>
      </c>
      <c r="B9058" t="s">
        <v>215</v>
      </c>
      <c r="C9058">
        <v>89</v>
      </c>
      <c r="D9058" t="s">
        <v>194</v>
      </c>
      <c r="E9058">
        <v>1517</v>
      </c>
      <c r="G9058" s="3">
        <v>1.24E-2</v>
      </c>
      <c r="H9058" s="3">
        <v>3.32E-2</v>
      </c>
      <c r="I9058" s="3">
        <v>0.11219999999999999</v>
      </c>
      <c r="J9058" s="3">
        <v>1.21E-2</v>
      </c>
      <c r="K9058" s="3">
        <v>0.60650000000000004</v>
      </c>
      <c r="M9058" s="3">
        <v>7.6899999999999996E-2</v>
      </c>
      <c r="O9058" s="3">
        <v>3.7699999999999997E-2</v>
      </c>
      <c r="P9058" s="3">
        <v>0.45019999999999999</v>
      </c>
      <c r="T9058" s="3">
        <v>0.29289999999999999</v>
      </c>
      <c r="U9058" s="3">
        <v>9.8799999999999999E-2</v>
      </c>
    </row>
    <row r="9059" spans="1:21">
      <c r="A9059" t="s">
        <v>200</v>
      </c>
      <c r="B9059" t="s">
        <v>200</v>
      </c>
      <c r="C9059">
        <v>1517</v>
      </c>
      <c r="D9059" t="s">
        <v>200</v>
      </c>
      <c r="E9059">
        <v>1517</v>
      </c>
      <c r="F9059" s="3">
        <v>2.3699999999999999E-2</v>
      </c>
      <c r="G9059" s="3">
        <v>7.9000000000000008E-3</v>
      </c>
      <c r="H9059" s="3">
        <v>5.7799999999999997E-2</v>
      </c>
      <c r="I9059" s="3">
        <v>0.13950000000000001</v>
      </c>
      <c r="J9059" s="3">
        <v>1.9199999999999998E-2</v>
      </c>
      <c r="K9059" s="3">
        <v>0.5665</v>
      </c>
      <c r="L9059" s="3">
        <v>1.7299999999999999E-2</v>
      </c>
      <c r="M9059" s="3">
        <v>7.2499999999999995E-2</v>
      </c>
      <c r="N9059" s="3">
        <v>2.0000000000000001E-4</v>
      </c>
      <c r="O9059" s="3">
        <v>4.1399999999999999E-2</v>
      </c>
      <c r="P9059" s="3">
        <v>0.38719999999999999</v>
      </c>
      <c r="Q9059" s="3">
        <v>6.9999999999999999E-4</v>
      </c>
      <c r="R9059" s="3">
        <v>1.34E-2</v>
      </c>
      <c r="S9059" s="3">
        <v>8.5000000000000006E-3</v>
      </c>
      <c r="T9059" s="3">
        <v>0.34770000000000001</v>
      </c>
      <c r="U9059" s="3">
        <v>6.5500000000000003E-2</v>
      </c>
    </row>
    <row r="9061" spans="1:21" ht="45">
      <c r="A9061" s="22" t="s">
        <v>1806</v>
      </c>
    </row>
    <row r="9062" spans="1:21">
      <c r="A9062" t="s">
        <v>185</v>
      </c>
      <c r="B9062" t="s">
        <v>186</v>
      </c>
      <c r="C9062" t="s">
        <v>192</v>
      </c>
      <c r="D9062" t="s">
        <v>184</v>
      </c>
      <c r="E9062" t="s">
        <v>193</v>
      </c>
      <c r="F9062" t="s">
        <v>1788</v>
      </c>
      <c r="G9062" t="s">
        <v>257</v>
      </c>
      <c r="H9062" t="s">
        <v>1789</v>
      </c>
      <c r="I9062" t="s">
        <v>1790</v>
      </c>
      <c r="J9062" t="s">
        <v>1791</v>
      </c>
      <c r="K9062" t="s">
        <v>1792</v>
      </c>
      <c r="L9062" t="s">
        <v>329</v>
      </c>
      <c r="M9062" t="s">
        <v>1793</v>
      </c>
      <c r="N9062" t="s">
        <v>274</v>
      </c>
      <c r="O9062" t="s">
        <v>1794</v>
      </c>
      <c r="P9062" t="s">
        <v>1795</v>
      </c>
      <c r="Q9062" t="s">
        <v>247</v>
      </c>
      <c r="R9062" t="s">
        <v>1796</v>
      </c>
      <c r="S9062" t="s">
        <v>1797</v>
      </c>
      <c r="T9062" t="s">
        <v>1798</v>
      </c>
      <c r="U9062" t="s">
        <v>1799</v>
      </c>
    </row>
    <row r="9063" spans="1:21">
      <c r="A9063" t="s">
        <v>195</v>
      </c>
      <c r="B9063" t="s">
        <v>217</v>
      </c>
      <c r="C9063">
        <v>338</v>
      </c>
      <c r="D9063" t="s">
        <v>194</v>
      </c>
      <c r="E9063">
        <v>1517</v>
      </c>
      <c r="F9063" s="3">
        <v>3.3599999999999998E-2</v>
      </c>
      <c r="G9063" s="3">
        <v>8.8999999999999999E-3</v>
      </c>
      <c r="H9063" s="3">
        <v>4.3200000000000002E-2</v>
      </c>
      <c r="I9063" s="3">
        <v>0.1275</v>
      </c>
      <c r="J9063" s="3">
        <v>2.8299999999999999E-2</v>
      </c>
      <c r="K9063" s="3">
        <v>0.63029999999999997</v>
      </c>
      <c r="L9063" s="3">
        <v>6.3E-3</v>
      </c>
      <c r="M9063" s="3">
        <v>4.2500000000000003E-2</v>
      </c>
      <c r="O9063" s="3">
        <v>3.3000000000000002E-2</v>
      </c>
      <c r="P9063" s="3">
        <v>0.4178</v>
      </c>
      <c r="R9063" s="3">
        <v>2.7000000000000001E-3</v>
      </c>
      <c r="S9063" s="3">
        <v>3.7000000000000002E-3</v>
      </c>
      <c r="T9063" s="3">
        <v>0.34510000000000002</v>
      </c>
      <c r="U9063" s="3">
        <v>6.3700000000000007E-2</v>
      </c>
    </row>
    <row r="9064" spans="1:21">
      <c r="A9064" t="s">
        <v>195</v>
      </c>
      <c r="B9064" t="s">
        <v>219</v>
      </c>
      <c r="C9064">
        <v>347</v>
      </c>
      <c r="D9064" t="s">
        <v>194</v>
      </c>
      <c r="E9064">
        <v>1517</v>
      </c>
      <c r="F9064" s="3">
        <v>7.9000000000000008E-3</v>
      </c>
      <c r="G9064" s="3">
        <v>5.3E-3</v>
      </c>
      <c r="H9064" s="3">
        <v>2.9600000000000001E-2</v>
      </c>
      <c r="I9064" s="3">
        <v>0.15440000000000001</v>
      </c>
      <c r="J9064" s="3">
        <v>6.6E-3</v>
      </c>
      <c r="K9064" s="3">
        <v>0.57289999999999996</v>
      </c>
      <c r="L9064" s="3">
        <v>1.2500000000000001E-2</v>
      </c>
      <c r="M9064" s="3">
        <v>2.5000000000000001E-2</v>
      </c>
      <c r="O9064" s="3">
        <v>3.3500000000000002E-2</v>
      </c>
      <c r="P9064" s="3">
        <v>0.45950000000000002</v>
      </c>
      <c r="R9064" s="3">
        <v>1.7999999999999999E-2</v>
      </c>
      <c r="S9064" s="3">
        <v>1.14E-2</v>
      </c>
      <c r="T9064" s="3">
        <v>0.27700000000000002</v>
      </c>
      <c r="U9064" s="3">
        <v>6.6799999999999998E-2</v>
      </c>
    </row>
    <row r="9065" spans="1:21">
      <c r="A9065" t="s">
        <v>195</v>
      </c>
      <c r="B9065" t="s">
        <v>220</v>
      </c>
      <c r="C9065">
        <v>107</v>
      </c>
      <c r="D9065" t="s">
        <v>194</v>
      </c>
      <c r="E9065">
        <v>1517</v>
      </c>
      <c r="F9065" s="3">
        <v>5.2299999999999999E-2</v>
      </c>
      <c r="G9065" s="3">
        <v>9.1999999999999998E-3</v>
      </c>
      <c r="H9065" s="3">
        <v>7.7200000000000005E-2</v>
      </c>
      <c r="I9065" s="3">
        <v>0.17349999999999999</v>
      </c>
      <c r="J9065" s="3">
        <v>1.26E-2</v>
      </c>
      <c r="K9065" s="3">
        <v>0.43509999999999999</v>
      </c>
      <c r="L9065" s="3">
        <v>1.7299999999999999E-2</v>
      </c>
      <c r="M9065" s="3">
        <v>0.10349999999999999</v>
      </c>
      <c r="O9065" s="3">
        <v>0.02</v>
      </c>
      <c r="P9065" s="3">
        <v>0.4531</v>
      </c>
      <c r="R9065" s="3">
        <v>1.4999999999999999E-2</v>
      </c>
      <c r="S9065" s="3">
        <v>1.8100000000000002E-2</v>
      </c>
      <c r="T9065" s="3">
        <v>0.36759999999999998</v>
      </c>
      <c r="U9065" s="3">
        <v>2.1000000000000001E-2</v>
      </c>
    </row>
    <row r="9066" spans="1:21">
      <c r="A9066" t="s">
        <v>199</v>
      </c>
      <c r="B9066" t="s">
        <v>217</v>
      </c>
      <c r="C9066">
        <v>389</v>
      </c>
      <c r="D9066" t="s">
        <v>194</v>
      </c>
      <c r="E9066">
        <v>1517</v>
      </c>
      <c r="F9066" s="3">
        <v>1.49E-2</v>
      </c>
      <c r="G9066" s="3">
        <v>1.2500000000000001E-2</v>
      </c>
      <c r="H9066" s="3">
        <v>5.0799999999999998E-2</v>
      </c>
      <c r="I9066" s="3">
        <v>0.15390000000000001</v>
      </c>
      <c r="J9066" s="3">
        <v>2.6100000000000002E-2</v>
      </c>
      <c r="K9066" s="3">
        <v>0.51380000000000003</v>
      </c>
      <c r="L9066" s="3">
        <v>3.9899999999999998E-2</v>
      </c>
      <c r="M9066" s="3">
        <v>0.1195</v>
      </c>
      <c r="O9066" s="3">
        <v>5.3999999999999999E-2</v>
      </c>
      <c r="P9066" s="3">
        <v>0.2545</v>
      </c>
      <c r="Q9066" s="3">
        <v>2.3999999999999998E-3</v>
      </c>
      <c r="R9066" s="3">
        <v>1.9199999999999998E-2</v>
      </c>
      <c r="S9066" s="3">
        <v>8.6E-3</v>
      </c>
      <c r="T9066" s="3">
        <v>0.42180000000000001</v>
      </c>
      <c r="U9066" s="3">
        <v>7.9899999999999999E-2</v>
      </c>
    </row>
    <row r="9067" spans="1:21">
      <c r="A9067" t="s">
        <v>199</v>
      </c>
      <c r="B9067" t="s">
        <v>219</v>
      </c>
      <c r="C9067">
        <v>237</v>
      </c>
      <c r="D9067" t="s">
        <v>194</v>
      </c>
      <c r="E9067">
        <v>1517</v>
      </c>
      <c r="F9067" s="3">
        <v>2.6100000000000002E-2</v>
      </c>
      <c r="G9067" s="3">
        <v>4.7999999999999996E-3</v>
      </c>
      <c r="H9067" s="3">
        <v>0.1137</v>
      </c>
      <c r="I9067" s="3">
        <v>0.1464</v>
      </c>
      <c r="J9067" s="3">
        <v>1.95E-2</v>
      </c>
      <c r="K9067" s="3">
        <v>0.62350000000000005</v>
      </c>
      <c r="L9067" s="3">
        <v>7.0000000000000001E-3</v>
      </c>
      <c r="M9067" s="3">
        <v>0.1132</v>
      </c>
      <c r="O9067" s="3">
        <v>6.8099999999999994E-2</v>
      </c>
      <c r="P9067" s="3">
        <v>0.50070000000000003</v>
      </c>
      <c r="Q9067" s="3">
        <v>1.1999999999999999E-3</v>
      </c>
      <c r="R9067" s="3">
        <v>6.1000000000000004E-3</v>
      </c>
      <c r="S9067" s="3">
        <v>1.8E-3</v>
      </c>
      <c r="T9067" s="3">
        <v>0.312</v>
      </c>
      <c r="U9067" s="3">
        <v>6.3399999999999998E-2</v>
      </c>
    </row>
    <row r="9068" spans="1:21">
      <c r="A9068" t="s">
        <v>199</v>
      </c>
      <c r="B9068" t="s">
        <v>220</v>
      </c>
      <c r="C9068">
        <v>99</v>
      </c>
      <c r="D9068" t="s">
        <v>194</v>
      </c>
      <c r="E9068">
        <v>1517</v>
      </c>
      <c r="F9068" s="3">
        <v>2.4E-2</v>
      </c>
      <c r="H9068" s="3">
        <v>0.10929999999999999</v>
      </c>
      <c r="I9068" s="3">
        <v>1.5299999999999999E-2</v>
      </c>
      <c r="J9068" s="3">
        <v>1.29E-2</v>
      </c>
      <c r="K9068" s="3">
        <v>0.56499999999999995</v>
      </c>
      <c r="L9068" s="3">
        <v>1.78E-2</v>
      </c>
      <c r="M9068" s="3">
        <v>7.4399999999999994E-2</v>
      </c>
      <c r="N9068" s="3">
        <v>3.8E-3</v>
      </c>
      <c r="O9068" s="3">
        <v>4.0599999999999997E-2</v>
      </c>
      <c r="P9068" s="3">
        <v>0.1517</v>
      </c>
      <c r="R9068" s="3">
        <v>3.0499999999999999E-2</v>
      </c>
      <c r="S9068" s="3">
        <v>1.5599999999999999E-2</v>
      </c>
      <c r="T9068" s="3">
        <v>0.38879999999999998</v>
      </c>
      <c r="U9068" s="3">
        <v>9.01E-2</v>
      </c>
    </row>
    <row r="9069" spans="1:21">
      <c r="A9069" t="s">
        <v>200</v>
      </c>
      <c r="B9069" t="s">
        <v>200</v>
      </c>
      <c r="C9069">
        <v>1517</v>
      </c>
      <c r="D9069" t="s">
        <v>200</v>
      </c>
      <c r="E9069">
        <v>1517</v>
      </c>
      <c r="F9069" s="3">
        <v>2.3699999999999999E-2</v>
      </c>
      <c r="G9069" s="3">
        <v>7.9000000000000008E-3</v>
      </c>
      <c r="H9069" s="3">
        <v>5.7799999999999997E-2</v>
      </c>
      <c r="I9069" s="3">
        <v>0.13950000000000001</v>
      </c>
      <c r="J9069" s="3">
        <v>1.9199999999999998E-2</v>
      </c>
      <c r="K9069" s="3">
        <v>0.5665</v>
      </c>
      <c r="L9069" s="3">
        <v>1.7299999999999999E-2</v>
      </c>
      <c r="M9069" s="3">
        <v>7.2499999999999995E-2</v>
      </c>
      <c r="N9069" s="3">
        <v>2.0000000000000001E-4</v>
      </c>
      <c r="O9069" s="3">
        <v>4.1399999999999999E-2</v>
      </c>
      <c r="P9069" s="3">
        <v>0.38719999999999999</v>
      </c>
      <c r="Q9069" s="3">
        <v>6.9999999999999999E-4</v>
      </c>
      <c r="R9069" s="3">
        <v>1.34E-2</v>
      </c>
      <c r="S9069" s="3">
        <v>8.5000000000000006E-3</v>
      </c>
      <c r="T9069" s="3">
        <v>0.34770000000000001</v>
      </c>
      <c r="U9069" s="3">
        <v>6.5500000000000003E-2</v>
      </c>
    </row>
    <row r="9071" spans="1:21" ht="45">
      <c r="A9071" s="22" t="s">
        <v>1807</v>
      </c>
    </row>
    <row r="9072" spans="1:21">
      <c r="A9072" t="s">
        <v>185</v>
      </c>
      <c r="B9072" t="s">
        <v>186</v>
      </c>
      <c r="C9072" t="s">
        <v>192</v>
      </c>
      <c r="D9072" t="s">
        <v>184</v>
      </c>
      <c r="E9072" t="s">
        <v>193</v>
      </c>
      <c r="F9072" t="s">
        <v>257</v>
      </c>
      <c r="G9072" t="s">
        <v>226</v>
      </c>
      <c r="H9072" t="s">
        <v>247</v>
      </c>
      <c r="I9072" t="s">
        <v>227</v>
      </c>
    </row>
    <row r="9073" spans="1:9">
      <c r="A9073" t="s">
        <v>195</v>
      </c>
      <c r="B9073" t="s">
        <v>222</v>
      </c>
      <c r="C9073">
        <v>164</v>
      </c>
      <c r="D9073" t="s">
        <v>194</v>
      </c>
      <c r="E9073">
        <v>1560</v>
      </c>
      <c r="F9073" s="3">
        <v>0.13669999999999999</v>
      </c>
      <c r="G9073" s="3">
        <v>0.65180000000000005</v>
      </c>
      <c r="I9073" s="3">
        <v>0.21149999999999999</v>
      </c>
    </row>
    <row r="9074" spans="1:9">
      <c r="A9074" t="s">
        <v>195</v>
      </c>
      <c r="B9074" t="s">
        <v>224</v>
      </c>
      <c r="C9074">
        <v>716</v>
      </c>
      <c r="D9074" t="s">
        <v>194</v>
      </c>
      <c r="E9074">
        <v>1560</v>
      </c>
      <c r="F9074" s="3">
        <v>0.1103</v>
      </c>
      <c r="G9074" s="3">
        <v>0.66720000000000002</v>
      </c>
      <c r="H9074" s="3">
        <v>2.3999999999999998E-3</v>
      </c>
      <c r="I9074" s="3">
        <v>0.22020000000000001</v>
      </c>
    </row>
    <row r="9075" spans="1:9">
      <c r="A9075" t="s">
        <v>199</v>
      </c>
      <c r="B9075" t="s">
        <v>222</v>
      </c>
      <c r="C9075">
        <v>143</v>
      </c>
      <c r="D9075" t="s">
        <v>194</v>
      </c>
      <c r="E9075">
        <v>1560</v>
      </c>
      <c r="F9075" s="3">
        <v>8.2600000000000007E-2</v>
      </c>
      <c r="G9075" s="3">
        <v>0.75249999999999995</v>
      </c>
      <c r="H9075" s="3">
        <v>4.6300000000000001E-2</v>
      </c>
      <c r="I9075" s="3">
        <v>0.1187</v>
      </c>
    </row>
    <row r="9076" spans="1:9">
      <c r="A9076" t="s">
        <v>199</v>
      </c>
      <c r="B9076" t="s">
        <v>224</v>
      </c>
      <c r="C9076">
        <v>537</v>
      </c>
      <c r="D9076" t="s">
        <v>194</v>
      </c>
      <c r="E9076">
        <v>1560</v>
      </c>
      <c r="F9076" s="3">
        <v>8.2600000000000007E-2</v>
      </c>
      <c r="G9076" s="3">
        <v>0.68930000000000002</v>
      </c>
      <c r="H9076" s="3">
        <v>8.9999999999999998E-4</v>
      </c>
      <c r="I9076" s="3">
        <v>0.22720000000000001</v>
      </c>
    </row>
    <row r="9077" spans="1:9">
      <c r="A9077" t="s">
        <v>200</v>
      </c>
      <c r="B9077" t="s">
        <v>200</v>
      </c>
      <c r="C9077">
        <v>1560</v>
      </c>
      <c r="D9077" t="s">
        <v>200</v>
      </c>
      <c r="E9077">
        <v>1560</v>
      </c>
      <c r="F9077" s="3">
        <v>0.1086</v>
      </c>
      <c r="G9077" s="3">
        <v>0.67249999999999999</v>
      </c>
      <c r="H9077" s="3">
        <v>3.7000000000000002E-3</v>
      </c>
      <c r="I9077" s="3">
        <v>0.21510000000000001</v>
      </c>
    </row>
    <row r="9079" spans="1:9" ht="30">
      <c r="A9079" s="22" t="s">
        <v>1808</v>
      </c>
    </row>
    <row r="9080" spans="1:9">
      <c r="A9080" t="s">
        <v>185</v>
      </c>
      <c r="B9080" t="s">
        <v>186</v>
      </c>
      <c r="C9080" t="s">
        <v>192</v>
      </c>
      <c r="D9080" t="s">
        <v>184</v>
      </c>
      <c r="E9080" t="s">
        <v>193</v>
      </c>
      <c r="F9080" t="s">
        <v>257</v>
      </c>
      <c r="G9080" t="s">
        <v>226</v>
      </c>
      <c r="H9080" t="s">
        <v>247</v>
      </c>
      <c r="I9080" t="s">
        <v>227</v>
      </c>
    </row>
    <row r="9081" spans="1:9">
      <c r="A9081" t="s">
        <v>195</v>
      </c>
      <c r="B9081" t="s">
        <v>229</v>
      </c>
      <c r="C9081">
        <v>83</v>
      </c>
      <c r="D9081" t="s">
        <v>194</v>
      </c>
      <c r="E9081">
        <v>1560</v>
      </c>
      <c r="F9081" s="3">
        <v>0.13350000000000001</v>
      </c>
      <c r="G9081" s="3">
        <v>0.66500000000000004</v>
      </c>
      <c r="H9081" s="3">
        <v>4.8999999999999998E-3</v>
      </c>
      <c r="I9081" s="3">
        <v>0.19650000000000001</v>
      </c>
    </row>
    <row r="9082" spans="1:9">
      <c r="A9082" t="s">
        <v>195</v>
      </c>
      <c r="B9082" t="s">
        <v>230</v>
      </c>
      <c r="C9082">
        <v>366</v>
      </c>
      <c r="D9082" t="s">
        <v>194</v>
      </c>
      <c r="E9082">
        <v>1560</v>
      </c>
      <c r="F9082" s="3">
        <v>0.1285</v>
      </c>
      <c r="G9082" s="3">
        <v>0.64119999999999999</v>
      </c>
      <c r="H9082" s="3">
        <v>2.8E-3</v>
      </c>
      <c r="I9082" s="3">
        <v>0.22739999999999999</v>
      </c>
    </row>
    <row r="9083" spans="1:9">
      <c r="A9083" t="s">
        <v>195</v>
      </c>
      <c r="B9083" t="s">
        <v>231</v>
      </c>
      <c r="C9083">
        <v>222</v>
      </c>
      <c r="D9083" t="s">
        <v>194</v>
      </c>
      <c r="E9083">
        <v>1560</v>
      </c>
      <c r="F9083" s="3">
        <v>0.1134</v>
      </c>
      <c r="G9083" s="3">
        <v>0.65659999999999996</v>
      </c>
      <c r="I9083" s="3">
        <v>0.2301</v>
      </c>
    </row>
    <row r="9084" spans="1:9">
      <c r="A9084" t="s">
        <v>195</v>
      </c>
      <c r="B9084" t="s">
        <v>232</v>
      </c>
      <c r="C9084">
        <v>209</v>
      </c>
      <c r="D9084" t="s">
        <v>194</v>
      </c>
      <c r="E9084">
        <v>1560</v>
      </c>
      <c r="F9084" s="3">
        <v>8.8099999999999998E-2</v>
      </c>
      <c r="G9084" s="3">
        <v>0.70950000000000002</v>
      </c>
      <c r="I9084" s="3">
        <v>0.2024</v>
      </c>
    </row>
    <row r="9085" spans="1:9">
      <c r="A9085" t="s">
        <v>199</v>
      </c>
      <c r="B9085" t="s">
        <v>229</v>
      </c>
      <c r="C9085">
        <v>33</v>
      </c>
      <c r="D9085" t="s">
        <v>194</v>
      </c>
      <c r="E9085">
        <v>1560</v>
      </c>
      <c r="F9085" s="3">
        <v>0.19350000000000001</v>
      </c>
      <c r="G9085" s="3">
        <v>0.65380000000000005</v>
      </c>
      <c r="I9085" s="3">
        <v>0.15260000000000001</v>
      </c>
    </row>
    <row r="9086" spans="1:9">
      <c r="A9086" t="s">
        <v>199</v>
      </c>
      <c r="B9086" t="s">
        <v>230</v>
      </c>
      <c r="C9086">
        <v>313</v>
      </c>
      <c r="D9086" t="s">
        <v>194</v>
      </c>
      <c r="E9086">
        <v>1560</v>
      </c>
      <c r="F9086" s="3">
        <v>5.5E-2</v>
      </c>
      <c r="G9086" s="3">
        <v>0.76319999999999999</v>
      </c>
      <c r="H9086" s="3">
        <v>8.5000000000000006E-3</v>
      </c>
      <c r="I9086" s="3">
        <v>0.17330000000000001</v>
      </c>
    </row>
    <row r="9087" spans="1:9">
      <c r="A9087" t="s">
        <v>199</v>
      </c>
      <c r="B9087" t="s">
        <v>231</v>
      </c>
      <c r="C9087">
        <v>222</v>
      </c>
      <c r="D9087" t="s">
        <v>194</v>
      </c>
      <c r="E9087">
        <v>1560</v>
      </c>
      <c r="F9087" s="3">
        <v>0.14149999999999999</v>
      </c>
      <c r="G9087" s="3">
        <v>0.57540000000000002</v>
      </c>
      <c r="H9087" s="3">
        <v>3.7000000000000002E-3</v>
      </c>
      <c r="I9087" s="3">
        <v>0.27939999999999998</v>
      </c>
    </row>
    <row r="9088" spans="1:9">
      <c r="A9088" t="s">
        <v>199</v>
      </c>
      <c r="B9088" t="s">
        <v>232</v>
      </c>
      <c r="C9088">
        <v>112</v>
      </c>
      <c r="D9088" t="s">
        <v>194</v>
      </c>
      <c r="E9088">
        <v>1560</v>
      </c>
      <c r="F9088" s="3">
        <v>4.8500000000000001E-2</v>
      </c>
      <c r="G9088" s="3">
        <v>0.7137</v>
      </c>
      <c r="H9088" s="3">
        <v>2.0899999999999998E-2</v>
      </c>
      <c r="I9088" s="3">
        <v>0.21690000000000001</v>
      </c>
    </row>
    <row r="9089" spans="1:9">
      <c r="A9089" t="s">
        <v>200</v>
      </c>
      <c r="B9089" t="s">
        <v>200</v>
      </c>
      <c r="C9089">
        <v>1560</v>
      </c>
      <c r="D9089" t="s">
        <v>200</v>
      </c>
      <c r="E9089">
        <v>1560</v>
      </c>
      <c r="F9089" s="3">
        <v>0.1086</v>
      </c>
      <c r="G9089" s="3">
        <v>0.67249999999999999</v>
      </c>
      <c r="H9089" s="3">
        <v>3.7000000000000002E-3</v>
      </c>
      <c r="I9089" s="3">
        <v>0.21510000000000001</v>
      </c>
    </row>
    <row r="9091" spans="1:9" ht="30">
      <c r="A9091" s="22" t="s">
        <v>1809</v>
      </c>
    </row>
    <row r="9092" spans="1:9">
      <c r="A9092" t="s">
        <v>185</v>
      </c>
      <c r="B9092" t="s">
        <v>186</v>
      </c>
      <c r="C9092" t="s">
        <v>192</v>
      </c>
      <c r="D9092" t="s">
        <v>184</v>
      </c>
      <c r="E9092" t="s">
        <v>193</v>
      </c>
      <c r="F9092" t="s">
        <v>257</v>
      </c>
      <c r="G9092" t="s">
        <v>226</v>
      </c>
      <c r="H9092" t="s">
        <v>247</v>
      </c>
      <c r="I9092" t="s">
        <v>227</v>
      </c>
    </row>
    <row r="9093" spans="1:9">
      <c r="A9093" t="s">
        <v>195</v>
      </c>
      <c r="B9093" t="s">
        <v>196</v>
      </c>
      <c r="C9093">
        <v>298</v>
      </c>
      <c r="D9093" t="s">
        <v>194</v>
      </c>
      <c r="E9093">
        <v>1560</v>
      </c>
      <c r="F9093" s="3">
        <v>0.1221</v>
      </c>
      <c r="G9093" s="3">
        <v>0.67720000000000002</v>
      </c>
      <c r="I9093" s="3">
        <v>0.20069999999999999</v>
      </c>
    </row>
    <row r="9094" spans="1:9">
      <c r="A9094" t="s">
        <v>195</v>
      </c>
      <c r="B9094" t="s">
        <v>198</v>
      </c>
      <c r="C9094">
        <v>565</v>
      </c>
      <c r="D9094" t="s">
        <v>194</v>
      </c>
      <c r="E9094">
        <v>1560</v>
      </c>
      <c r="F9094" s="3">
        <v>0.1142</v>
      </c>
      <c r="G9094" s="3">
        <v>0.66039999999999999</v>
      </c>
      <c r="H9094" s="3">
        <v>2.3999999999999998E-3</v>
      </c>
      <c r="I9094" s="3">
        <v>0.223</v>
      </c>
    </row>
    <row r="9095" spans="1:9">
      <c r="A9095" t="s">
        <v>199</v>
      </c>
      <c r="B9095" t="s">
        <v>196</v>
      </c>
      <c r="C9095">
        <v>307</v>
      </c>
      <c r="D9095" t="s">
        <v>194</v>
      </c>
      <c r="E9095">
        <v>1560</v>
      </c>
      <c r="F9095" s="3">
        <v>0.12620000000000001</v>
      </c>
      <c r="G9095" s="3">
        <v>0.58640000000000003</v>
      </c>
      <c r="H9095" s="3">
        <v>3.5000000000000003E-2</v>
      </c>
      <c r="I9095" s="3">
        <v>0.25240000000000001</v>
      </c>
    </row>
    <row r="9096" spans="1:9">
      <c r="A9096" t="s">
        <v>199</v>
      </c>
      <c r="B9096" t="s">
        <v>198</v>
      </c>
      <c r="C9096">
        <v>360</v>
      </c>
      <c r="D9096" t="s">
        <v>194</v>
      </c>
      <c r="E9096">
        <v>1560</v>
      </c>
      <c r="F9096" s="3">
        <v>6.7500000000000004E-2</v>
      </c>
      <c r="G9096" s="3">
        <v>0.74309999999999998</v>
      </c>
      <c r="H9096" s="3">
        <v>2E-3</v>
      </c>
      <c r="I9096" s="3">
        <v>0.18740000000000001</v>
      </c>
    </row>
    <row r="9097" spans="1:9">
      <c r="A9097" t="s">
        <v>200</v>
      </c>
      <c r="B9097" t="s">
        <v>200</v>
      </c>
      <c r="C9097">
        <v>1560</v>
      </c>
      <c r="D9097" t="s">
        <v>200</v>
      </c>
      <c r="E9097">
        <v>1560</v>
      </c>
      <c r="F9097" s="3">
        <v>0.1086</v>
      </c>
      <c r="G9097" s="3">
        <v>0.67249999999999999</v>
      </c>
      <c r="H9097" s="3">
        <v>3.7000000000000002E-3</v>
      </c>
      <c r="I9097" s="3">
        <v>0.21510000000000001</v>
      </c>
    </row>
    <row r="9099" spans="1:9" ht="45">
      <c r="A9099" s="22" t="s">
        <v>1810</v>
      </c>
    </row>
    <row r="9100" spans="1:9">
      <c r="A9100" t="s">
        <v>185</v>
      </c>
      <c r="B9100" t="s">
        <v>186</v>
      </c>
      <c r="C9100" t="s">
        <v>192</v>
      </c>
      <c r="D9100" t="s">
        <v>184</v>
      </c>
      <c r="E9100" t="s">
        <v>193</v>
      </c>
      <c r="F9100" t="s">
        <v>257</v>
      </c>
      <c r="G9100" t="s">
        <v>226</v>
      </c>
      <c r="H9100" t="s">
        <v>247</v>
      </c>
      <c r="I9100" t="s">
        <v>227</v>
      </c>
    </row>
    <row r="9101" spans="1:9">
      <c r="A9101" t="s">
        <v>195</v>
      </c>
      <c r="B9101" t="s">
        <v>202</v>
      </c>
      <c r="C9101">
        <v>337</v>
      </c>
      <c r="D9101" t="s">
        <v>194</v>
      </c>
      <c r="E9101">
        <v>1560</v>
      </c>
      <c r="F9101" s="3">
        <v>0.1237</v>
      </c>
      <c r="G9101" s="3">
        <v>0.68869999999999998</v>
      </c>
      <c r="H9101" s="3">
        <v>3.0999999999999999E-3</v>
      </c>
      <c r="I9101" s="3">
        <v>0.1845</v>
      </c>
    </row>
    <row r="9102" spans="1:9">
      <c r="A9102" t="s">
        <v>195</v>
      </c>
      <c r="B9102" t="s">
        <v>204</v>
      </c>
      <c r="C9102">
        <v>240</v>
      </c>
      <c r="D9102" t="s">
        <v>194</v>
      </c>
      <c r="E9102">
        <v>1560</v>
      </c>
      <c r="F9102" s="3">
        <v>0.10100000000000001</v>
      </c>
      <c r="G9102" s="3">
        <v>0.69120000000000004</v>
      </c>
      <c r="I9102" s="3">
        <v>0.20780000000000001</v>
      </c>
    </row>
    <row r="9103" spans="1:9">
      <c r="A9103" t="s">
        <v>195</v>
      </c>
      <c r="B9103" t="s">
        <v>205</v>
      </c>
      <c r="C9103">
        <v>286</v>
      </c>
      <c r="D9103" t="s">
        <v>194</v>
      </c>
      <c r="E9103">
        <v>1560</v>
      </c>
      <c r="F9103" s="3">
        <v>0.1105</v>
      </c>
      <c r="G9103" s="3">
        <v>0.53580000000000005</v>
      </c>
      <c r="I9103" s="3">
        <v>0.35370000000000001</v>
      </c>
    </row>
    <row r="9104" spans="1:9">
      <c r="A9104" t="s">
        <v>199</v>
      </c>
      <c r="B9104" t="s">
        <v>202</v>
      </c>
      <c r="C9104">
        <v>62</v>
      </c>
      <c r="D9104" t="s">
        <v>194</v>
      </c>
      <c r="E9104">
        <v>1560</v>
      </c>
      <c r="F9104" s="3">
        <v>7.9000000000000008E-3</v>
      </c>
      <c r="G9104" s="3">
        <v>0.8024</v>
      </c>
      <c r="H9104" s="3">
        <v>3.0599999999999999E-2</v>
      </c>
      <c r="I9104" s="3">
        <v>0.15909999999999999</v>
      </c>
    </row>
    <row r="9105" spans="1:9">
      <c r="A9105" t="s">
        <v>199</v>
      </c>
      <c r="B9105" t="s">
        <v>204</v>
      </c>
      <c r="C9105">
        <v>243</v>
      </c>
      <c r="D9105" t="s">
        <v>194</v>
      </c>
      <c r="E9105">
        <v>1560</v>
      </c>
      <c r="F9105" s="3">
        <v>0.14030000000000001</v>
      </c>
      <c r="G9105" s="3">
        <v>0.70660000000000001</v>
      </c>
      <c r="I9105" s="3">
        <v>0.153</v>
      </c>
    </row>
    <row r="9106" spans="1:9">
      <c r="A9106" t="s">
        <v>199</v>
      </c>
      <c r="B9106" t="s">
        <v>205</v>
      </c>
      <c r="C9106">
        <v>362</v>
      </c>
      <c r="D9106" t="s">
        <v>194</v>
      </c>
      <c r="E9106">
        <v>1560</v>
      </c>
      <c r="F9106" s="3">
        <v>8.5800000000000001E-2</v>
      </c>
      <c r="G9106" s="3">
        <v>0.62770000000000004</v>
      </c>
      <c r="H9106" s="3">
        <v>3.8999999999999998E-3</v>
      </c>
      <c r="I9106" s="3">
        <v>0.28260000000000002</v>
      </c>
    </row>
    <row r="9107" spans="1:9">
      <c r="A9107" t="s">
        <v>200</v>
      </c>
      <c r="B9107" t="s">
        <v>200</v>
      </c>
      <c r="C9107">
        <v>1560</v>
      </c>
      <c r="D9107" t="s">
        <v>200</v>
      </c>
      <c r="E9107">
        <v>1560</v>
      </c>
      <c r="F9107" s="3">
        <v>0.1086</v>
      </c>
      <c r="G9107" s="3">
        <v>0.67249999999999999</v>
      </c>
      <c r="H9107" s="3">
        <v>3.7000000000000002E-3</v>
      </c>
      <c r="I9107" s="3">
        <v>0.21510000000000001</v>
      </c>
    </row>
    <row r="9109" spans="1:9" ht="45">
      <c r="A9109" s="22" t="s">
        <v>1811</v>
      </c>
    </row>
    <row r="9110" spans="1:9">
      <c r="A9110" t="s">
        <v>185</v>
      </c>
      <c r="B9110" t="s">
        <v>186</v>
      </c>
      <c r="C9110" t="s">
        <v>192</v>
      </c>
      <c r="D9110" t="s">
        <v>184</v>
      </c>
      <c r="E9110" t="s">
        <v>193</v>
      </c>
      <c r="F9110" t="s">
        <v>257</v>
      </c>
      <c r="G9110" t="s">
        <v>226</v>
      </c>
      <c r="H9110" t="s">
        <v>247</v>
      </c>
      <c r="I9110" t="s">
        <v>227</v>
      </c>
    </row>
    <row r="9111" spans="1:9">
      <c r="A9111" t="s">
        <v>195</v>
      </c>
      <c r="B9111" t="s">
        <v>207</v>
      </c>
      <c r="C9111">
        <v>253</v>
      </c>
      <c r="D9111" t="s">
        <v>194</v>
      </c>
      <c r="E9111">
        <v>1560</v>
      </c>
      <c r="F9111" s="3">
        <v>0.13669999999999999</v>
      </c>
      <c r="G9111" s="3">
        <v>0.68</v>
      </c>
      <c r="I9111" s="3">
        <v>0.18329999999999999</v>
      </c>
    </row>
    <row r="9112" spans="1:9">
      <c r="A9112" t="s">
        <v>195</v>
      </c>
      <c r="B9112" t="s">
        <v>209</v>
      </c>
      <c r="C9112">
        <v>627</v>
      </c>
      <c r="D9112" t="s">
        <v>194</v>
      </c>
      <c r="E9112">
        <v>1560</v>
      </c>
      <c r="F9112" s="3">
        <v>0.109</v>
      </c>
      <c r="G9112" s="3">
        <v>0.65749999999999997</v>
      </c>
      <c r="H9112" s="3">
        <v>2.5000000000000001E-3</v>
      </c>
      <c r="I9112" s="3">
        <v>0.23100000000000001</v>
      </c>
    </row>
    <row r="9113" spans="1:9">
      <c r="A9113" t="s">
        <v>199</v>
      </c>
      <c r="B9113" t="s">
        <v>207</v>
      </c>
      <c r="C9113">
        <v>184</v>
      </c>
      <c r="D9113" t="s">
        <v>194</v>
      </c>
      <c r="E9113">
        <v>1560</v>
      </c>
      <c r="F9113" s="3">
        <v>7.3200000000000001E-2</v>
      </c>
      <c r="G9113" s="3">
        <v>0.75309999999999999</v>
      </c>
      <c r="H9113" s="3">
        <v>3.7000000000000002E-3</v>
      </c>
      <c r="I9113" s="3">
        <v>0.1699</v>
      </c>
    </row>
    <row r="9114" spans="1:9">
      <c r="A9114" t="s">
        <v>199</v>
      </c>
      <c r="B9114" t="s">
        <v>209</v>
      </c>
      <c r="C9114">
        <v>496</v>
      </c>
      <c r="D9114" t="s">
        <v>194</v>
      </c>
      <c r="E9114">
        <v>1560</v>
      </c>
      <c r="F9114" s="3">
        <v>8.5099999999999995E-2</v>
      </c>
      <c r="G9114" s="3">
        <v>0.68879999999999997</v>
      </c>
      <c r="H9114" s="3">
        <v>1.18E-2</v>
      </c>
      <c r="I9114" s="3">
        <v>0.21429999999999999</v>
      </c>
    </row>
    <row r="9115" spans="1:9">
      <c r="A9115" t="s">
        <v>200</v>
      </c>
      <c r="B9115" t="s">
        <v>200</v>
      </c>
      <c r="C9115">
        <v>1560</v>
      </c>
      <c r="D9115" t="s">
        <v>200</v>
      </c>
      <c r="E9115">
        <v>1560</v>
      </c>
      <c r="F9115" s="3">
        <v>0.1086</v>
      </c>
      <c r="G9115" s="3">
        <v>0.67249999999999999</v>
      </c>
      <c r="H9115" s="3">
        <v>3.7000000000000002E-3</v>
      </c>
      <c r="I9115" s="3">
        <v>0.21510000000000001</v>
      </c>
    </row>
    <row r="9117" spans="1:9" ht="45">
      <c r="A9117" s="22" t="s">
        <v>1812</v>
      </c>
    </row>
    <row r="9118" spans="1:9">
      <c r="A9118" t="s">
        <v>185</v>
      </c>
      <c r="B9118" t="s">
        <v>192</v>
      </c>
      <c r="C9118" t="s">
        <v>184</v>
      </c>
      <c r="D9118" t="s">
        <v>193</v>
      </c>
      <c r="E9118" t="s">
        <v>257</v>
      </c>
      <c r="F9118" t="s">
        <v>226</v>
      </c>
      <c r="G9118" t="s">
        <v>247</v>
      </c>
      <c r="H9118" t="s">
        <v>227</v>
      </c>
    </row>
    <row r="9119" spans="1:9">
      <c r="A9119" t="s">
        <v>195</v>
      </c>
      <c r="B9119">
        <v>880</v>
      </c>
      <c r="C9119" t="s">
        <v>194</v>
      </c>
      <c r="D9119">
        <v>1560</v>
      </c>
      <c r="E9119" s="3">
        <v>0.11650000000000001</v>
      </c>
      <c r="F9119" s="3">
        <v>0.66349999999999998</v>
      </c>
      <c r="G9119" s="3">
        <v>1.8E-3</v>
      </c>
      <c r="H9119" s="3">
        <v>0.21820000000000001</v>
      </c>
    </row>
    <row r="9120" spans="1:9">
      <c r="A9120" t="s">
        <v>199</v>
      </c>
      <c r="B9120">
        <v>680</v>
      </c>
      <c r="C9120" t="s">
        <v>194</v>
      </c>
      <c r="D9120">
        <v>1560</v>
      </c>
      <c r="E9120" s="3">
        <v>8.2600000000000007E-2</v>
      </c>
      <c r="F9120" s="3">
        <v>0.70220000000000005</v>
      </c>
      <c r="G9120" s="3">
        <v>1.01E-2</v>
      </c>
      <c r="H9120" s="3">
        <v>0.2051</v>
      </c>
    </row>
    <row r="9121" spans="1:9">
      <c r="A9121" t="s">
        <v>200</v>
      </c>
      <c r="B9121">
        <v>1560</v>
      </c>
      <c r="C9121" t="s">
        <v>200</v>
      </c>
      <c r="D9121">
        <v>1560</v>
      </c>
      <c r="E9121" s="3">
        <v>0.1086</v>
      </c>
      <c r="F9121" s="3">
        <v>0.67249999999999999</v>
      </c>
      <c r="G9121" s="3">
        <v>3.7000000000000002E-3</v>
      </c>
      <c r="H9121" s="3">
        <v>0.21510000000000001</v>
      </c>
    </row>
    <row r="9123" spans="1:9" ht="30">
      <c r="A9123" s="22" t="s">
        <v>1813</v>
      </c>
    </row>
    <row r="9124" spans="1:9">
      <c r="A9124" t="s">
        <v>185</v>
      </c>
      <c r="B9124" t="s">
        <v>186</v>
      </c>
      <c r="C9124" t="s">
        <v>192</v>
      </c>
      <c r="D9124" t="s">
        <v>184</v>
      </c>
      <c r="E9124" t="s">
        <v>193</v>
      </c>
      <c r="F9124" t="s">
        <v>257</v>
      </c>
      <c r="G9124" t="s">
        <v>226</v>
      </c>
      <c r="H9124" t="s">
        <v>247</v>
      </c>
      <c r="I9124" t="s">
        <v>227</v>
      </c>
    </row>
    <row r="9125" spans="1:9">
      <c r="A9125" t="s">
        <v>195</v>
      </c>
      <c r="B9125" t="s">
        <v>212</v>
      </c>
      <c r="C9125">
        <v>634</v>
      </c>
      <c r="D9125" t="s">
        <v>194</v>
      </c>
      <c r="E9125">
        <v>1560</v>
      </c>
      <c r="F9125" s="3">
        <v>0.12130000000000001</v>
      </c>
      <c r="G9125" s="3">
        <v>0.6694</v>
      </c>
      <c r="I9125" s="3">
        <v>0.20930000000000001</v>
      </c>
    </row>
    <row r="9126" spans="1:9">
      <c r="A9126" t="s">
        <v>195</v>
      </c>
      <c r="B9126" t="s">
        <v>214</v>
      </c>
      <c r="C9126">
        <v>129</v>
      </c>
      <c r="D9126" t="s">
        <v>194</v>
      </c>
      <c r="E9126">
        <v>1560</v>
      </c>
      <c r="F9126" s="3">
        <v>5.3199999999999997E-2</v>
      </c>
      <c r="G9126" s="3">
        <v>0.6895</v>
      </c>
      <c r="I9126" s="3">
        <v>0.25729999999999997</v>
      </c>
    </row>
    <row r="9127" spans="1:9">
      <c r="A9127" t="s">
        <v>195</v>
      </c>
      <c r="B9127" t="s">
        <v>215</v>
      </c>
      <c r="C9127">
        <v>117</v>
      </c>
      <c r="D9127" t="s">
        <v>194</v>
      </c>
      <c r="E9127">
        <v>1560</v>
      </c>
      <c r="F9127" s="3">
        <v>0.17419999999999999</v>
      </c>
      <c r="G9127" s="3">
        <v>0.58279999999999998</v>
      </c>
      <c r="H9127" s="3">
        <v>1.77E-2</v>
      </c>
      <c r="I9127" s="3">
        <v>0.2253</v>
      </c>
    </row>
    <row r="9128" spans="1:9">
      <c r="A9128" t="s">
        <v>199</v>
      </c>
      <c r="B9128" t="s">
        <v>212</v>
      </c>
      <c r="C9128">
        <v>490</v>
      </c>
      <c r="D9128" t="s">
        <v>194</v>
      </c>
      <c r="E9128">
        <v>1560</v>
      </c>
      <c r="F9128" s="3">
        <v>8.6800000000000002E-2</v>
      </c>
      <c r="G9128" s="3">
        <v>0.68189999999999995</v>
      </c>
      <c r="H9128" s="3">
        <v>1.38E-2</v>
      </c>
      <c r="I9128" s="3">
        <v>0.2175</v>
      </c>
    </row>
    <row r="9129" spans="1:9">
      <c r="A9129" t="s">
        <v>199</v>
      </c>
      <c r="B9129" t="s">
        <v>214</v>
      </c>
      <c r="C9129">
        <v>92</v>
      </c>
      <c r="D9129" t="s">
        <v>194</v>
      </c>
      <c r="E9129">
        <v>1560</v>
      </c>
      <c r="F9129" s="3">
        <v>8.6400000000000005E-2</v>
      </c>
      <c r="G9129" s="3">
        <v>0.75190000000000001</v>
      </c>
      <c r="I9129" s="3">
        <v>0.16170000000000001</v>
      </c>
    </row>
    <row r="9130" spans="1:9">
      <c r="A9130" t="s">
        <v>199</v>
      </c>
      <c r="B9130" t="s">
        <v>215</v>
      </c>
      <c r="C9130">
        <v>98</v>
      </c>
      <c r="D9130" t="s">
        <v>194</v>
      </c>
      <c r="E9130">
        <v>1560</v>
      </c>
      <c r="F9130" s="3">
        <v>5.2699999999999997E-2</v>
      </c>
      <c r="G9130" s="3">
        <v>0.76459999999999995</v>
      </c>
      <c r="I9130" s="3">
        <v>0.1827</v>
      </c>
    </row>
    <row r="9131" spans="1:9">
      <c r="A9131" t="s">
        <v>200</v>
      </c>
      <c r="B9131" t="s">
        <v>200</v>
      </c>
      <c r="C9131">
        <v>1560</v>
      </c>
      <c r="D9131" t="s">
        <v>200</v>
      </c>
      <c r="E9131">
        <v>1560</v>
      </c>
      <c r="F9131" s="3">
        <v>0.1086</v>
      </c>
      <c r="G9131" s="3">
        <v>0.67249999999999999</v>
      </c>
      <c r="H9131" s="3">
        <v>3.7000000000000002E-3</v>
      </c>
      <c r="I9131" s="3">
        <v>0.21510000000000001</v>
      </c>
    </row>
    <row r="9133" spans="1:9" ht="45">
      <c r="A9133" s="22" t="s">
        <v>1814</v>
      </c>
    </row>
    <row r="9134" spans="1:9">
      <c r="A9134" t="s">
        <v>185</v>
      </c>
      <c r="B9134" t="s">
        <v>186</v>
      </c>
      <c r="C9134" t="s">
        <v>192</v>
      </c>
      <c r="D9134" t="s">
        <v>184</v>
      </c>
      <c r="E9134" t="s">
        <v>193</v>
      </c>
      <c r="F9134" t="s">
        <v>257</v>
      </c>
      <c r="G9134" t="s">
        <v>226</v>
      </c>
      <c r="H9134" t="s">
        <v>247</v>
      </c>
      <c r="I9134" t="s">
        <v>227</v>
      </c>
    </row>
    <row r="9135" spans="1:9">
      <c r="A9135" t="s">
        <v>195</v>
      </c>
      <c r="B9135" t="s">
        <v>217</v>
      </c>
      <c r="C9135">
        <v>370</v>
      </c>
      <c r="D9135" t="s">
        <v>194</v>
      </c>
      <c r="E9135">
        <v>1560</v>
      </c>
      <c r="F9135" s="3">
        <v>0.12139999999999999</v>
      </c>
      <c r="G9135" s="3">
        <v>0.63980000000000004</v>
      </c>
      <c r="H9135" s="3">
        <v>2.5999999999999999E-3</v>
      </c>
      <c r="I9135" s="3">
        <v>0.2361</v>
      </c>
    </row>
    <row r="9136" spans="1:9">
      <c r="A9136" t="s">
        <v>195</v>
      </c>
      <c r="B9136" t="s">
        <v>219</v>
      </c>
      <c r="C9136">
        <v>385</v>
      </c>
      <c r="D9136" t="s">
        <v>194</v>
      </c>
      <c r="E9136">
        <v>1560</v>
      </c>
      <c r="F9136" s="3">
        <v>0.105</v>
      </c>
      <c r="G9136" s="3">
        <v>0.69489999999999996</v>
      </c>
      <c r="H9136" s="3">
        <v>1.8E-3</v>
      </c>
      <c r="I9136" s="3">
        <v>0.1983</v>
      </c>
    </row>
    <row r="9137" spans="1:11">
      <c r="A9137" t="s">
        <v>195</v>
      </c>
      <c r="B9137" t="s">
        <v>220</v>
      </c>
      <c r="C9137">
        <v>124</v>
      </c>
      <c r="D9137" t="s">
        <v>194</v>
      </c>
      <c r="E9137">
        <v>1560</v>
      </c>
      <c r="F9137" s="3">
        <v>0.12920000000000001</v>
      </c>
      <c r="G9137" s="3">
        <v>0.65290000000000004</v>
      </c>
      <c r="I9137" s="3">
        <v>0.218</v>
      </c>
    </row>
    <row r="9138" spans="1:11">
      <c r="A9138" t="s">
        <v>199</v>
      </c>
      <c r="B9138" t="s">
        <v>217</v>
      </c>
      <c r="C9138">
        <v>330</v>
      </c>
      <c r="D9138" t="s">
        <v>194</v>
      </c>
      <c r="E9138">
        <v>1560</v>
      </c>
      <c r="F9138" s="3">
        <v>8.7300000000000003E-2</v>
      </c>
      <c r="G9138" s="3">
        <v>0.69379999999999997</v>
      </c>
      <c r="H9138" s="3">
        <v>1.54E-2</v>
      </c>
      <c r="I9138" s="3">
        <v>0.20349999999999999</v>
      </c>
    </row>
    <row r="9139" spans="1:11">
      <c r="A9139" t="s">
        <v>199</v>
      </c>
      <c r="B9139" t="s">
        <v>219</v>
      </c>
      <c r="C9139">
        <v>253</v>
      </c>
      <c r="D9139" t="s">
        <v>194</v>
      </c>
      <c r="E9139">
        <v>1560</v>
      </c>
      <c r="F9139" s="3">
        <v>9.0300000000000005E-2</v>
      </c>
      <c r="G9139" s="3">
        <v>0.62380000000000002</v>
      </c>
      <c r="H9139" s="3">
        <v>2.3999999999999998E-3</v>
      </c>
      <c r="I9139" s="3">
        <v>0.28349999999999997</v>
      </c>
    </row>
    <row r="9140" spans="1:11">
      <c r="A9140" t="s">
        <v>199</v>
      </c>
      <c r="B9140" t="s">
        <v>220</v>
      </c>
      <c r="C9140">
        <v>97</v>
      </c>
      <c r="D9140" t="s">
        <v>194</v>
      </c>
      <c r="E9140">
        <v>1560</v>
      </c>
      <c r="F9140" s="3">
        <v>4.8099999999999997E-2</v>
      </c>
      <c r="G9140" s="3">
        <v>0.89649999999999996</v>
      </c>
      <c r="H9140" s="3">
        <v>5.4000000000000003E-3</v>
      </c>
      <c r="I9140" s="3">
        <v>0.05</v>
      </c>
    </row>
    <row r="9141" spans="1:11">
      <c r="A9141" t="s">
        <v>200</v>
      </c>
      <c r="B9141" t="s">
        <v>200</v>
      </c>
      <c r="C9141">
        <v>1560</v>
      </c>
      <c r="D9141" t="s">
        <v>200</v>
      </c>
      <c r="E9141">
        <v>1560</v>
      </c>
      <c r="F9141" s="3">
        <v>0.1086</v>
      </c>
      <c r="G9141" s="3">
        <v>0.67249999999999999</v>
      </c>
      <c r="H9141" s="3">
        <v>3.7000000000000002E-3</v>
      </c>
      <c r="I9141" s="3">
        <v>0.21510000000000001</v>
      </c>
    </row>
    <row r="9143" spans="1:11" ht="45">
      <c r="A9143" s="22" t="s">
        <v>1815</v>
      </c>
    </row>
    <row r="9144" spans="1:11">
      <c r="A9144" t="s">
        <v>185</v>
      </c>
      <c r="B9144" t="s">
        <v>186</v>
      </c>
      <c r="C9144" t="s">
        <v>192</v>
      </c>
      <c r="D9144" t="s">
        <v>184</v>
      </c>
      <c r="E9144" t="s">
        <v>193</v>
      </c>
      <c r="F9144" t="s">
        <v>257</v>
      </c>
      <c r="G9144" t="s">
        <v>1816</v>
      </c>
      <c r="H9144" t="s">
        <v>274</v>
      </c>
      <c r="I9144" t="s">
        <v>247</v>
      </c>
      <c r="J9144" t="s">
        <v>1817</v>
      </c>
      <c r="K9144" t="s">
        <v>1818</v>
      </c>
    </row>
    <row r="9145" spans="1:11">
      <c r="A9145" t="s">
        <v>195</v>
      </c>
      <c r="B9145" t="s">
        <v>222</v>
      </c>
      <c r="C9145">
        <v>154</v>
      </c>
      <c r="D9145" t="s">
        <v>194</v>
      </c>
      <c r="E9145">
        <v>1487</v>
      </c>
      <c r="J9145" s="3">
        <v>0.1139</v>
      </c>
      <c r="K9145" s="3">
        <v>0.8861</v>
      </c>
    </row>
    <row r="9146" spans="1:11">
      <c r="A9146" t="s">
        <v>195</v>
      </c>
      <c r="B9146" t="s">
        <v>224</v>
      </c>
      <c r="C9146">
        <v>625</v>
      </c>
      <c r="D9146" t="s">
        <v>194</v>
      </c>
      <c r="E9146">
        <v>1487</v>
      </c>
      <c r="F9146" s="3">
        <v>5.1999999999999998E-3</v>
      </c>
      <c r="J9146" s="3">
        <v>7.9399999999999998E-2</v>
      </c>
      <c r="K9146" s="3">
        <v>0.9153</v>
      </c>
    </row>
    <row r="9147" spans="1:11">
      <c r="A9147" t="s">
        <v>199</v>
      </c>
      <c r="B9147" t="s">
        <v>222</v>
      </c>
      <c r="C9147">
        <v>158</v>
      </c>
      <c r="D9147" t="s">
        <v>194</v>
      </c>
      <c r="E9147">
        <v>1487</v>
      </c>
      <c r="F9147" s="3">
        <v>2.5000000000000001E-3</v>
      </c>
      <c r="I9147" s="3">
        <v>1.2999999999999999E-3</v>
      </c>
      <c r="J9147" s="3">
        <v>0.215</v>
      </c>
      <c r="K9147" s="3">
        <v>0.78120000000000001</v>
      </c>
    </row>
    <row r="9148" spans="1:11">
      <c r="A9148" t="s">
        <v>199</v>
      </c>
      <c r="B9148" t="s">
        <v>224</v>
      </c>
      <c r="C9148">
        <v>550</v>
      </c>
      <c r="D9148" t="s">
        <v>194</v>
      </c>
      <c r="E9148">
        <v>1487</v>
      </c>
      <c r="F9148" s="3">
        <v>2.9999999999999997E-4</v>
      </c>
      <c r="G9148" s="3">
        <v>1.5E-3</v>
      </c>
      <c r="H9148" s="3">
        <v>2.0000000000000001E-4</v>
      </c>
      <c r="J9148" s="3">
        <v>8.5999999999999993E-2</v>
      </c>
      <c r="K9148" s="3">
        <v>0.91190000000000004</v>
      </c>
    </row>
    <row r="9149" spans="1:11">
      <c r="A9149" t="s">
        <v>200</v>
      </c>
      <c r="B9149" t="s">
        <v>200</v>
      </c>
      <c r="C9149">
        <v>1487</v>
      </c>
      <c r="D9149" t="s">
        <v>200</v>
      </c>
      <c r="E9149">
        <v>1487</v>
      </c>
      <c r="F9149" s="3">
        <v>2.7000000000000001E-3</v>
      </c>
      <c r="G9149" s="3">
        <v>5.0000000000000001E-4</v>
      </c>
      <c r="H9149" s="3">
        <v>1E-4</v>
      </c>
      <c r="I9149" s="3">
        <v>1E-4</v>
      </c>
      <c r="J9149" s="3">
        <v>9.9299999999999999E-2</v>
      </c>
      <c r="K9149" s="3">
        <v>0.89729999999999999</v>
      </c>
    </row>
    <row r="9151" spans="1:11" ht="30">
      <c r="A9151" s="22" t="s">
        <v>1819</v>
      </c>
    </row>
    <row r="9152" spans="1:11">
      <c r="A9152" t="s">
        <v>185</v>
      </c>
      <c r="B9152" t="s">
        <v>186</v>
      </c>
      <c r="C9152" t="s">
        <v>192</v>
      </c>
      <c r="D9152" t="s">
        <v>184</v>
      </c>
      <c r="E9152" t="s">
        <v>193</v>
      </c>
      <c r="F9152" t="s">
        <v>257</v>
      </c>
      <c r="G9152" t="s">
        <v>1816</v>
      </c>
      <c r="H9152" t="s">
        <v>274</v>
      </c>
      <c r="I9152" t="s">
        <v>247</v>
      </c>
      <c r="J9152" t="s">
        <v>1817</v>
      </c>
      <c r="K9152" t="s">
        <v>1818</v>
      </c>
    </row>
    <row r="9153" spans="1:11">
      <c r="A9153" t="s">
        <v>195</v>
      </c>
      <c r="B9153" t="s">
        <v>229</v>
      </c>
      <c r="C9153">
        <v>77</v>
      </c>
      <c r="D9153" t="s">
        <v>194</v>
      </c>
      <c r="E9153">
        <v>1487</v>
      </c>
      <c r="J9153" s="3">
        <v>0.1434</v>
      </c>
      <c r="K9153" s="3">
        <v>0.85660000000000003</v>
      </c>
    </row>
    <row r="9154" spans="1:11">
      <c r="A9154" t="s">
        <v>195</v>
      </c>
      <c r="B9154" t="s">
        <v>230</v>
      </c>
      <c r="C9154">
        <v>315</v>
      </c>
      <c r="D9154" t="s">
        <v>194</v>
      </c>
      <c r="E9154">
        <v>1487</v>
      </c>
      <c r="F9154" s="3">
        <v>9.4000000000000004E-3</v>
      </c>
      <c r="J9154" s="3">
        <v>7.1300000000000002E-2</v>
      </c>
      <c r="K9154" s="3">
        <v>0.91920000000000002</v>
      </c>
    </row>
    <row r="9155" spans="1:11">
      <c r="A9155" t="s">
        <v>195</v>
      </c>
      <c r="B9155" t="s">
        <v>231</v>
      </c>
      <c r="C9155">
        <v>207</v>
      </c>
      <c r="D9155" t="s">
        <v>194</v>
      </c>
      <c r="E9155">
        <v>1487</v>
      </c>
      <c r="F9155" s="3">
        <v>1.2999999999999999E-3</v>
      </c>
      <c r="J9155" s="3">
        <v>5.2400000000000002E-2</v>
      </c>
      <c r="K9155" s="3">
        <v>0.94630000000000003</v>
      </c>
    </row>
    <row r="9156" spans="1:11">
      <c r="A9156" t="s">
        <v>195</v>
      </c>
      <c r="B9156" t="s">
        <v>232</v>
      </c>
      <c r="C9156">
        <v>180</v>
      </c>
      <c r="D9156" t="s">
        <v>194</v>
      </c>
      <c r="E9156">
        <v>1487</v>
      </c>
      <c r="F9156" s="3">
        <v>2.0000000000000001E-4</v>
      </c>
      <c r="J9156" s="3">
        <v>0.1211</v>
      </c>
      <c r="K9156" s="3">
        <v>0.87870000000000004</v>
      </c>
    </row>
    <row r="9157" spans="1:11">
      <c r="A9157" t="s">
        <v>199</v>
      </c>
      <c r="B9157" t="s">
        <v>229</v>
      </c>
      <c r="C9157">
        <v>65</v>
      </c>
      <c r="D9157" t="s">
        <v>194</v>
      </c>
      <c r="E9157">
        <v>1487</v>
      </c>
      <c r="H9157" s="3">
        <v>1.1000000000000001E-3</v>
      </c>
      <c r="J9157" s="3">
        <v>3.4799999999999998E-2</v>
      </c>
      <c r="K9157" s="3">
        <v>0.96419999999999995</v>
      </c>
    </row>
    <row r="9158" spans="1:11">
      <c r="A9158" t="s">
        <v>199</v>
      </c>
      <c r="B9158" t="s">
        <v>230</v>
      </c>
      <c r="C9158">
        <v>329</v>
      </c>
      <c r="D9158" t="s">
        <v>194</v>
      </c>
      <c r="E9158">
        <v>1487</v>
      </c>
      <c r="F9158" s="3">
        <v>1.2999999999999999E-3</v>
      </c>
      <c r="I9158" s="3">
        <v>6.9999999999999999E-4</v>
      </c>
      <c r="J9158" s="3">
        <v>0.1111</v>
      </c>
      <c r="K9158" s="3">
        <v>0.88690000000000002</v>
      </c>
    </row>
    <row r="9159" spans="1:11">
      <c r="A9159" t="s">
        <v>199</v>
      </c>
      <c r="B9159" t="s">
        <v>231</v>
      </c>
      <c r="C9159">
        <v>188</v>
      </c>
      <c r="D9159" t="s">
        <v>194</v>
      </c>
      <c r="E9159">
        <v>1487</v>
      </c>
      <c r="F9159" s="3">
        <v>1.4E-3</v>
      </c>
      <c r="G9159" s="3">
        <v>5.7000000000000002E-3</v>
      </c>
      <c r="J9159" s="3">
        <v>0.1177</v>
      </c>
      <c r="K9159" s="3">
        <v>0.87509999999999999</v>
      </c>
    </row>
    <row r="9160" spans="1:11">
      <c r="A9160" t="s">
        <v>199</v>
      </c>
      <c r="B9160" t="s">
        <v>232</v>
      </c>
      <c r="C9160">
        <v>126</v>
      </c>
      <c r="D9160" t="s">
        <v>194</v>
      </c>
      <c r="E9160">
        <v>1487</v>
      </c>
      <c r="J9160" s="3">
        <v>0.18379999999999999</v>
      </c>
      <c r="K9160" s="3">
        <v>0.81620000000000004</v>
      </c>
    </row>
    <row r="9161" spans="1:11">
      <c r="A9161" t="s">
        <v>200</v>
      </c>
      <c r="B9161" t="s">
        <v>200</v>
      </c>
      <c r="C9161">
        <v>1487</v>
      </c>
      <c r="D9161" t="s">
        <v>200</v>
      </c>
      <c r="E9161">
        <v>1487</v>
      </c>
      <c r="F9161" s="3">
        <v>2.7000000000000001E-3</v>
      </c>
      <c r="G9161" s="3">
        <v>5.0000000000000001E-4</v>
      </c>
      <c r="H9161" s="3">
        <v>1E-4</v>
      </c>
      <c r="I9161" s="3">
        <v>1E-4</v>
      </c>
      <c r="J9161" s="3">
        <v>9.9299999999999999E-2</v>
      </c>
      <c r="K9161" s="3">
        <v>0.89729999999999999</v>
      </c>
    </row>
    <row r="9163" spans="1:11" ht="30">
      <c r="A9163" s="22" t="s">
        <v>1820</v>
      </c>
    </row>
    <row r="9164" spans="1:11">
      <c r="A9164" t="s">
        <v>185</v>
      </c>
      <c r="B9164" t="s">
        <v>186</v>
      </c>
      <c r="C9164" t="s">
        <v>192</v>
      </c>
      <c r="D9164" t="s">
        <v>184</v>
      </c>
      <c r="E9164" t="s">
        <v>193</v>
      </c>
      <c r="F9164" t="s">
        <v>257</v>
      </c>
      <c r="G9164" t="s">
        <v>1816</v>
      </c>
      <c r="H9164" t="s">
        <v>274</v>
      </c>
      <c r="I9164" t="s">
        <v>247</v>
      </c>
      <c r="J9164" t="s">
        <v>1817</v>
      </c>
      <c r="K9164" t="s">
        <v>1818</v>
      </c>
    </row>
    <row r="9165" spans="1:11">
      <c r="A9165" t="s">
        <v>195</v>
      </c>
      <c r="B9165" t="s">
        <v>196</v>
      </c>
      <c r="C9165">
        <v>271</v>
      </c>
      <c r="D9165" t="s">
        <v>194</v>
      </c>
      <c r="E9165">
        <v>1487</v>
      </c>
      <c r="J9165" s="3">
        <v>3.61E-2</v>
      </c>
      <c r="K9165" s="3">
        <v>0.96389999999999998</v>
      </c>
    </row>
    <row r="9166" spans="1:11">
      <c r="A9166" t="s">
        <v>195</v>
      </c>
      <c r="B9166" t="s">
        <v>198</v>
      </c>
      <c r="C9166">
        <v>494</v>
      </c>
      <c r="D9166" t="s">
        <v>194</v>
      </c>
      <c r="E9166">
        <v>1487</v>
      </c>
      <c r="F9166" s="3">
        <v>5.4000000000000003E-3</v>
      </c>
      <c r="J9166" s="3">
        <v>0.1057</v>
      </c>
      <c r="K9166" s="3">
        <v>0.88890000000000002</v>
      </c>
    </row>
    <row r="9167" spans="1:11">
      <c r="A9167" t="s">
        <v>199</v>
      </c>
      <c r="B9167" t="s">
        <v>196</v>
      </c>
      <c r="C9167">
        <v>268</v>
      </c>
      <c r="D9167" t="s">
        <v>194</v>
      </c>
      <c r="E9167">
        <v>1487</v>
      </c>
      <c r="J9167" s="3">
        <v>5.9299999999999999E-2</v>
      </c>
      <c r="K9167" s="3">
        <v>0.94069999999999998</v>
      </c>
    </row>
    <row r="9168" spans="1:11">
      <c r="A9168" t="s">
        <v>199</v>
      </c>
      <c r="B9168" t="s">
        <v>198</v>
      </c>
      <c r="C9168">
        <v>433</v>
      </c>
      <c r="D9168" t="s">
        <v>194</v>
      </c>
      <c r="E9168">
        <v>1487</v>
      </c>
      <c r="F9168" s="3">
        <v>1.1000000000000001E-3</v>
      </c>
      <c r="G9168" s="3">
        <v>1.5E-3</v>
      </c>
      <c r="H9168" s="3">
        <v>2.0000000000000001E-4</v>
      </c>
      <c r="I9168" s="3">
        <v>4.0000000000000002E-4</v>
      </c>
      <c r="J9168" s="3">
        <v>0.13200000000000001</v>
      </c>
      <c r="K9168" s="3">
        <v>0.86480000000000001</v>
      </c>
    </row>
    <row r="9169" spans="1:11">
      <c r="A9169" t="s">
        <v>200</v>
      </c>
      <c r="B9169" t="s">
        <v>200</v>
      </c>
      <c r="C9169">
        <v>1487</v>
      </c>
      <c r="D9169" t="s">
        <v>200</v>
      </c>
      <c r="E9169">
        <v>1487</v>
      </c>
      <c r="F9169" s="3">
        <v>2.7000000000000001E-3</v>
      </c>
      <c r="G9169" s="3">
        <v>5.0000000000000001E-4</v>
      </c>
      <c r="H9169" s="3">
        <v>1E-4</v>
      </c>
      <c r="I9169" s="3">
        <v>1E-4</v>
      </c>
      <c r="J9169" s="3">
        <v>9.9299999999999999E-2</v>
      </c>
      <c r="K9169" s="3">
        <v>0.89729999999999999</v>
      </c>
    </row>
    <row r="9171" spans="1:11" ht="45">
      <c r="A9171" s="22" t="s">
        <v>1821</v>
      </c>
    </row>
    <row r="9172" spans="1:11">
      <c r="A9172" t="s">
        <v>185</v>
      </c>
      <c r="B9172" t="s">
        <v>186</v>
      </c>
      <c r="C9172" t="s">
        <v>192</v>
      </c>
      <c r="D9172" t="s">
        <v>184</v>
      </c>
      <c r="E9172" t="s">
        <v>193</v>
      </c>
      <c r="F9172" t="s">
        <v>257</v>
      </c>
      <c r="G9172" t="s">
        <v>1816</v>
      </c>
      <c r="H9172" t="s">
        <v>274</v>
      </c>
      <c r="I9172" t="s">
        <v>247</v>
      </c>
      <c r="J9172" t="s">
        <v>1817</v>
      </c>
      <c r="K9172" t="s">
        <v>1818</v>
      </c>
    </row>
    <row r="9173" spans="1:11">
      <c r="A9173" t="s">
        <v>195</v>
      </c>
      <c r="B9173" t="s">
        <v>202</v>
      </c>
      <c r="C9173">
        <v>347</v>
      </c>
      <c r="D9173" t="s">
        <v>194</v>
      </c>
      <c r="E9173">
        <v>1487</v>
      </c>
      <c r="F9173" s="3">
        <v>5.7999999999999996E-3</v>
      </c>
      <c r="J9173" s="3">
        <v>5.91E-2</v>
      </c>
      <c r="K9173" s="3">
        <v>0.93510000000000004</v>
      </c>
    </row>
    <row r="9174" spans="1:11">
      <c r="A9174" t="s">
        <v>195</v>
      </c>
      <c r="B9174" t="s">
        <v>204</v>
      </c>
      <c r="C9174">
        <v>204</v>
      </c>
      <c r="D9174" t="s">
        <v>194</v>
      </c>
      <c r="E9174">
        <v>1487</v>
      </c>
      <c r="F9174" s="3">
        <v>1.4E-3</v>
      </c>
      <c r="J9174" s="3">
        <v>0.14369999999999999</v>
      </c>
      <c r="K9174" s="3">
        <v>0.85499999999999998</v>
      </c>
    </row>
    <row r="9175" spans="1:11">
      <c r="A9175" t="s">
        <v>195</v>
      </c>
      <c r="B9175" t="s">
        <v>205</v>
      </c>
      <c r="C9175">
        <v>214</v>
      </c>
      <c r="D9175" t="s">
        <v>194</v>
      </c>
      <c r="E9175">
        <v>1487</v>
      </c>
      <c r="F9175" s="3">
        <v>2.9999999999999997E-4</v>
      </c>
      <c r="J9175" s="3">
        <v>0.123</v>
      </c>
      <c r="K9175" s="3">
        <v>0.87670000000000003</v>
      </c>
    </row>
    <row r="9176" spans="1:11">
      <c r="A9176" t="s">
        <v>199</v>
      </c>
      <c r="B9176" t="s">
        <v>202</v>
      </c>
      <c r="C9176">
        <v>217</v>
      </c>
      <c r="D9176" t="s">
        <v>194</v>
      </c>
      <c r="E9176">
        <v>1487</v>
      </c>
      <c r="G9176" s="3">
        <v>2.0999999999999999E-3</v>
      </c>
      <c r="J9176" s="3">
        <v>9.4200000000000006E-2</v>
      </c>
      <c r="K9176" s="3">
        <v>0.90369999999999995</v>
      </c>
    </row>
    <row r="9177" spans="1:11">
      <c r="A9177" t="s">
        <v>199</v>
      </c>
      <c r="B9177" t="s">
        <v>204</v>
      </c>
      <c r="C9177">
        <v>230</v>
      </c>
      <c r="D9177" t="s">
        <v>194</v>
      </c>
      <c r="E9177">
        <v>1487</v>
      </c>
      <c r="F9177" s="3">
        <v>2.5000000000000001E-3</v>
      </c>
      <c r="J9177" s="3">
        <v>0.10970000000000001</v>
      </c>
      <c r="K9177" s="3">
        <v>0.88780000000000003</v>
      </c>
    </row>
    <row r="9178" spans="1:11">
      <c r="A9178" t="s">
        <v>199</v>
      </c>
      <c r="B9178" t="s">
        <v>205</v>
      </c>
      <c r="C9178">
        <v>254</v>
      </c>
      <c r="D9178" t="s">
        <v>194</v>
      </c>
      <c r="E9178">
        <v>1487</v>
      </c>
      <c r="F9178" s="3">
        <v>1.2999999999999999E-3</v>
      </c>
      <c r="H9178" s="3">
        <v>6.9999999999999999E-4</v>
      </c>
      <c r="I9178" s="3">
        <v>1.2999999999999999E-3</v>
      </c>
      <c r="J9178" s="3">
        <v>0.17760000000000001</v>
      </c>
      <c r="K9178" s="3">
        <v>0.81910000000000005</v>
      </c>
    </row>
    <row r="9179" spans="1:11">
      <c r="A9179" t="s">
        <v>200</v>
      </c>
      <c r="B9179" t="s">
        <v>200</v>
      </c>
      <c r="C9179">
        <v>1487</v>
      </c>
      <c r="D9179" t="s">
        <v>200</v>
      </c>
      <c r="E9179">
        <v>1487</v>
      </c>
      <c r="F9179" s="3">
        <v>2.7000000000000001E-3</v>
      </c>
      <c r="G9179" s="3">
        <v>5.0000000000000001E-4</v>
      </c>
      <c r="H9179" s="3">
        <v>1E-4</v>
      </c>
      <c r="I9179" s="3">
        <v>1E-4</v>
      </c>
      <c r="J9179" s="3">
        <v>9.9299999999999999E-2</v>
      </c>
      <c r="K9179" s="3">
        <v>0.89729999999999999</v>
      </c>
    </row>
    <row r="9181" spans="1:11" ht="45">
      <c r="A9181" s="22" t="s">
        <v>1822</v>
      </c>
    </row>
    <row r="9182" spans="1:11">
      <c r="A9182" t="s">
        <v>185</v>
      </c>
      <c r="B9182" t="s">
        <v>186</v>
      </c>
      <c r="C9182" t="s">
        <v>192</v>
      </c>
      <c r="D9182" t="s">
        <v>184</v>
      </c>
      <c r="E9182" t="s">
        <v>193</v>
      </c>
      <c r="F9182" t="s">
        <v>257</v>
      </c>
      <c r="G9182" t="s">
        <v>1816</v>
      </c>
      <c r="H9182" t="s">
        <v>274</v>
      </c>
      <c r="I9182" t="s">
        <v>247</v>
      </c>
      <c r="J9182" t="s">
        <v>1817</v>
      </c>
      <c r="K9182" t="s">
        <v>1818</v>
      </c>
    </row>
    <row r="9183" spans="1:11">
      <c r="A9183" t="s">
        <v>195</v>
      </c>
      <c r="B9183" t="s">
        <v>207</v>
      </c>
      <c r="C9183">
        <v>225</v>
      </c>
      <c r="D9183" t="s">
        <v>194</v>
      </c>
      <c r="E9183">
        <v>1487</v>
      </c>
      <c r="F9183" s="3">
        <v>7.6E-3</v>
      </c>
      <c r="J9183" s="3">
        <v>7.22E-2</v>
      </c>
      <c r="K9183" s="3">
        <v>0.92020000000000002</v>
      </c>
    </row>
    <row r="9184" spans="1:11">
      <c r="A9184" t="s">
        <v>195</v>
      </c>
      <c r="B9184" t="s">
        <v>209</v>
      </c>
      <c r="C9184">
        <v>554</v>
      </c>
      <c r="D9184" t="s">
        <v>194</v>
      </c>
      <c r="E9184">
        <v>1487</v>
      </c>
      <c r="F9184" s="3">
        <v>2.5999999999999999E-3</v>
      </c>
      <c r="J9184" s="3">
        <v>9.3299999999999994E-2</v>
      </c>
      <c r="K9184" s="3">
        <v>0.90410000000000001</v>
      </c>
    </row>
    <row r="9185" spans="1:11">
      <c r="A9185" t="s">
        <v>199</v>
      </c>
      <c r="B9185" t="s">
        <v>207</v>
      </c>
      <c r="C9185">
        <v>175</v>
      </c>
      <c r="D9185" t="s">
        <v>194</v>
      </c>
      <c r="E9185">
        <v>1487</v>
      </c>
      <c r="I9185" s="3">
        <v>1.6999999999999999E-3</v>
      </c>
      <c r="J9185" s="3">
        <v>0.13039999999999999</v>
      </c>
      <c r="K9185" s="3">
        <v>0.8679</v>
      </c>
    </row>
    <row r="9186" spans="1:11">
      <c r="A9186" t="s">
        <v>199</v>
      </c>
      <c r="B9186" t="s">
        <v>209</v>
      </c>
      <c r="C9186">
        <v>533</v>
      </c>
      <c r="D9186" t="s">
        <v>194</v>
      </c>
      <c r="E9186">
        <v>1487</v>
      </c>
      <c r="F9186" s="3">
        <v>1E-3</v>
      </c>
      <c r="G9186" s="3">
        <v>1.4E-3</v>
      </c>
      <c r="H9186" s="3">
        <v>2.0000000000000001E-4</v>
      </c>
      <c r="J9186" s="3">
        <v>0.1138</v>
      </c>
      <c r="K9186" s="3">
        <v>0.88360000000000005</v>
      </c>
    </row>
    <row r="9187" spans="1:11">
      <c r="A9187" t="s">
        <v>200</v>
      </c>
      <c r="B9187" t="s">
        <v>200</v>
      </c>
      <c r="C9187">
        <v>1487</v>
      </c>
      <c r="D9187" t="s">
        <v>200</v>
      </c>
      <c r="E9187">
        <v>1487</v>
      </c>
      <c r="F9187" s="3">
        <v>2.7000000000000001E-3</v>
      </c>
      <c r="G9187" s="3">
        <v>5.0000000000000001E-4</v>
      </c>
      <c r="H9187" s="3">
        <v>1E-4</v>
      </c>
      <c r="I9187" s="3">
        <v>1E-4</v>
      </c>
      <c r="J9187" s="3">
        <v>9.9299999999999999E-2</v>
      </c>
      <c r="K9187" s="3">
        <v>0.89729999999999999</v>
      </c>
    </row>
    <row r="9189" spans="1:11">
      <c r="A9189" t="s">
        <v>1823</v>
      </c>
    </row>
    <row r="9190" spans="1:11">
      <c r="A9190" t="s">
        <v>185</v>
      </c>
      <c r="B9190" t="s">
        <v>192</v>
      </c>
      <c r="C9190" t="s">
        <v>184</v>
      </c>
      <c r="D9190" t="s">
        <v>193</v>
      </c>
      <c r="E9190" t="s">
        <v>257</v>
      </c>
      <c r="F9190" t="s">
        <v>1816</v>
      </c>
      <c r="G9190" t="s">
        <v>274</v>
      </c>
      <c r="H9190" t="s">
        <v>247</v>
      </c>
      <c r="I9190" t="s">
        <v>1817</v>
      </c>
      <c r="J9190" t="s">
        <v>1818</v>
      </c>
    </row>
    <row r="9191" spans="1:11">
      <c r="A9191" t="s">
        <v>195</v>
      </c>
      <c r="B9191">
        <v>779</v>
      </c>
      <c r="C9191" t="s">
        <v>194</v>
      </c>
      <c r="D9191">
        <v>1487</v>
      </c>
      <c r="E9191" s="3">
        <v>4.0000000000000001E-3</v>
      </c>
      <c r="I9191" s="3">
        <v>8.7300000000000003E-2</v>
      </c>
      <c r="J9191" s="3">
        <v>0.90869999999999995</v>
      </c>
    </row>
    <row r="9192" spans="1:11">
      <c r="A9192" t="s">
        <v>199</v>
      </c>
      <c r="B9192">
        <v>708</v>
      </c>
      <c r="C9192" t="s">
        <v>194</v>
      </c>
      <c r="D9192">
        <v>1487</v>
      </c>
      <c r="E9192" s="3">
        <v>8.9999999999999998E-4</v>
      </c>
      <c r="F9192" s="3">
        <v>1.1999999999999999E-3</v>
      </c>
      <c r="G9192" s="3">
        <v>2.0000000000000001E-4</v>
      </c>
      <c r="H9192" s="3">
        <v>2.9999999999999997E-4</v>
      </c>
      <c r="I9192" s="3">
        <v>0.1168</v>
      </c>
      <c r="J9192" s="3">
        <v>0.88070000000000004</v>
      </c>
    </row>
    <row r="9193" spans="1:11">
      <c r="A9193" t="s">
        <v>200</v>
      </c>
      <c r="B9193">
        <v>1487</v>
      </c>
      <c r="C9193" t="s">
        <v>200</v>
      </c>
      <c r="D9193">
        <v>1487</v>
      </c>
      <c r="E9193" s="3">
        <v>2.7000000000000001E-3</v>
      </c>
      <c r="F9193" s="3">
        <v>5.0000000000000001E-4</v>
      </c>
      <c r="G9193" s="3">
        <v>1E-4</v>
      </c>
      <c r="H9193" s="3">
        <v>1E-4</v>
      </c>
      <c r="I9193" s="3">
        <v>9.9299999999999999E-2</v>
      </c>
      <c r="J9193" s="3">
        <v>0.89729999999999999</v>
      </c>
    </row>
    <row r="9195" spans="1:11" ht="30">
      <c r="A9195" s="22" t="s">
        <v>1824</v>
      </c>
    </row>
    <row r="9196" spans="1:11">
      <c r="A9196" t="s">
        <v>185</v>
      </c>
      <c r="B9196" t="s">
        <v>186</v>
      </c>
      <c r="C9196" t="s">
        <v>192</v>
      </c>
      <c r="D9196" t="s">
        <v>184</v>
      </c>
      <c r="E9196" t="s">
        <v>193</v>
      </c>
      <c r="F9196" t="s">
        <v>257</v>
      </c>
      <c r="G9196" t="s">
        <v>1816</v>
      </c>
      <c r="H9196" t="s">
        <v>274</v>
      </c>
      <c r="I9196" t="s">
        <v>247</v>
      </c>
      <c r="J9196" t="s">
        <v>1817</v>
      </c>
      <c r="K9196" t="s">
        <v>1818</v>
      </c>
    </row>
    <row r="9197" spans="1:11">
      <c r="A9197" t="s">
        <v>195</v>
      </c>
      <c r="B9197" t="s">
        <v>212</v>
      </c>
      <c r="C9197">
        <v>582</v>
      </c>
      <c r="D9197" t="s">
        <v>194</v>
      </c>
      <c r="E9197">
        <v>1487</v>
      </c>
      <c r="F9197" s="3">
        <v>5.1999999999999998E-3</v>
      </c>
      <c r="J9197" s="3">
        <v>9.6600000000000005E-2</v>
      </c>
      <c r="K9197" s="3">
        <v>0.89810000000000001</v>
      </c>
    </row>
    <row r="9198" spans="1:11">
      <c r="A9198" t="s">
        <v>195</v>
      </c>
      <c r="B9198" t="s">
        <v>214</v>
      </c>
      <c r="C9198">
        <v>109</v>
      </c>
      <c r="D9198" t="s">
        <v>194</v>
      </c>
      <c r="E9198">
        <v>1487</v>
      </c>
      <c r="J9198" s="3">
        <v>6.3E-2</v>
      </c>
      <c r="K9198" s="3">
        <v>0.93700000000000006</v>
      </c>
    </row>
    <row r="9199" spans="1:11">
      <c r="A9199" t="s">
        <v>195</v>
      </c>
      <c r="B9199" t="s">
        <v>215</v>
      </c>
      <c r="C9199">
        <v>88</v>
      </c>
      <c r="D9199" t="s">
        <v>194</v>
      </c>
      <c r="E9199">
        <v>1487</v>
      </c>
      <c r="J9199" s="3">
        <v>4.3900000000000002E-2</v>
      </c>
      <c r="K9199" s="3">
        <v>0.95609999999999995</v>
      </c>
    </row>
    <row r="9200" spans="1:11">
      <c r="A9200" t="s">
        <v>199</v>
      </c>
      <c r="B9200" t="s">
        <v>212</v>
      </c>
      <c r="C9200">
        <v>524</v>
      </c>
      <c r="D9200" t="s">
        <v>194</v>
      </c>
      <c r="E9200">
        <v>1487</v>
      </c>
      <c r="F9200" s="3">
        <v>1.1999999999999999E-3</v>
      </c>
      <c r="G9200" s="3">
        <v>1.6000000000000001E-3</v>
      </c>
      <c r="H9200" s="3">
        <v>2.0000000000000001E-4</v>
      </c>
      <c r="I9200" s="3">
        <v>4.0000000000000002E-4</v>
      </c>
      <c r="J9200" s="3">
        <v>0.1336</v>
      </c>
      <c r="K9200" s="3">
        <v>0.8629</v>
      </c>
    </row>
    <row r="9201" spans="1:14">
      <c r="A9201" t="s">
        <v>199</v>
      </c>
      <c r="B9201" t="s">
        <v>214</v>
      </c>
      <c r="C9201">
        <v>96</v>
      </c>
      <c r="D9201" t="s">
        <v>194</v>
      </c>
      <c r="E9201">
        <v>1487</v>
      </c>
      <c r="J9201" s="3">
        <v>0.11020000000000001</v>
      </c>
      <c r="K9201" s="3">
        <v>0.88980000000000004</v>
      </c>
    </row>
    <row r="9202" spans="1:14">
      <c r="A9202" t="s">
        <v>199</v>
      </c>
      <c r="B9202" t="s">
        <v>215</v>
      </c>
      <c r="C9202">
        <v>88</v>
      </c>
      <c r="D9202" t="s">
        <v>194</v>
      </c>
      <c r="E9202">
        <v>1487</v>
      </c>
      <c r="J9202" s="3">
        <v>1.4E-3</v>
      </c>
      <c r="K9202" s="3">
        <v>0.99860000000000004</v>
      </c>
    </row>
    <row r="9203" spans="1:14">
      <c r="A9203" t="s">
        <v>200</v>
      </c>
      <c r="B9203" t="s">
        <v>200</v>
      </c>
      <c r="C9203">
        <v>1487</v>
      </c>
      <c r="D9203" t="s">
        <v>200</v>
      </c>
      <c r="E9203">
        <v>1487</v>
      </c>
      <c r="F9203" s="3">
        <v>2.7000000000000001E-3</v>
      </c>
      <c r="G9203" s="3">
        <v>5.0000000000000001E-4</v>
      </c>
      <c r="H9203" s="3">
        <v>1E-4</v>
      </c>
      <c r="I9203" s="3">
        <v>1E-4</v>
      </c>
      <c r="J9203" s="3">
        <v>9.9299999999999999E-2</v>
      </c>
      <c r="K9203" s="3">
        <v>0.89729999999999999</v>
      </c>
    </row>
    <row r="9205" spans="1:14" ht="45">
      <c r="A9205" s="22" t="s">
        <v>1825</v>
      </c>
    </row>
    <row r="9206" spans="1:14">
      <c r="A9206" t="s">
        <v>185</v>
      </c>
      <c r="B9206" t="s">
        <v>186</v>
      </c>
      <c r="C9206" t="s">
        <v>192</v>
      </c>
      <c r="D9206" t="s">
        <v>184</v>
      </c>
      <c r="E9206" t="s">
        <v>193</v>
      </c>
      <c r="F9206" t="s">
        <v>257</v>
      </c>
      <c r="G9206" t="s">
        <v>1816</v>
      </c>
      <c r="H9206" t="s">
        <v>274</v>
      </c>
      <c r="I9206" t="s">
        <v>247</v>
      </c>
      <c r="J9206" t="s">
        <v>1817</v>
      </c>
      <c r="K9206" t="s">
        <v>1818</v>
      </c>
    </row>
    <row r="9207" spans="1:14">
      <c r="A9207" t="s">
        <v>195</v>
      </c>
      <c r="B9207" t="s">
        <v>217</v>
      </c>
      <c r="C9207">
        <v>334</v>
      </c>
      <c r="D9207" t="s">
        <v>194</v>
      </c>
      <c r="E9207">
        <v>1487</v>
      </c>
      <c r="F9207" s="3">
        <v>9.1000000000000004E-3</v>
      </c>
      <c r="J9207" s="3">
        <v>4.4699999999999997E-2</v>
      </c>
      <c r="K9207" s="3">
        <v>0.94620000000000004</v>
      </c>
    </row>
    <row r="9208" spans="1:14">
      <c r="A9208" t="s">
        <v>195</v>
      </c>
      <c r="B9208" t="s">
        <v>219</v>
      </c>
      <c r="C9208">
        <v>341</v>
      </c>
      <c r="D9208" t="s">
        <v>194</v>
      </c>
      <c r="E9208">
        <v>1487</v>
      </c>
      <c r="J9208" s="3">
        <v>0.1031</v>
      </c>
      <c r="K9208" s="3">
        <v>0.89690000000000003</v>
      </c>
    </row>
    <row r="9209" spans="1:14">
      <c r="A9209" t="s">
        <v>195</v>
      </c>
      <c r="B9209" t="s">
        <v>220</v>
      </c>
      <c r="C9209">
        <v>104</v>
      </c>
      <c r="D9209" t="s">
        <v>194</v>
      </c>
      <c r="E9209">
        <v>1487</v>
      </c>
      <c r="J9209" s="3">
        <v>0.1636</v>
      </c>
      <c r="K9209" s="3">
        <v>0.83640000000000003</v>
      </c>
    </row>
    <row r="9210" spans="1:14">
      <c r="A9210" t="s">
        <v>199</v>
      </c>
      <c r="B9210" t="s">
        <v>217</v>
      </c>
      <c r="C9210">
        <v>377</v>
      </c>
      <c r="D9210" t="s">
        <v>194</v>
      </c>
      <c r="E9210">
        <v>1487</v>
      </c>
      <c r="F9210" s="3">
        <v>1.6000000000000001E-3</v>
      </c>
      <c r="G9210" s="3">
        <v>2.0999999999999999E-3</v>
      </c>
      <c r="I9210" s="3">
        <v>5.9999999999999995E-4</v>
      </c>
      <c r="J9210" s="3">
        <v>0.1313</v>
      </c>
      <c r="K9210" s="3">
        <v>0.86450000000000005</v>
      </c>
    </row>
    <row r="9211" spans="1:14">
      <c r="A9211" t="s">
        <v>199</v>
      </c>
      <c r="B9211" t="s">
        <v>219</v>
      </c>
      <c r="C9211">
        <v>233</v>
      </c>
      <c r="D9211" t="s">
        <v>194</v>
      </c>
      <c r="E9211">
        <v>1487</v>
      </c>
      <c r="H9211" s="3">
        <v>5.0000000000000001E-4</v>
      </c>
      <c r="J9211" s="3">
        <v>7.5600000000000001E-2</v>
      </c>
      <c r="K9211" s="3">
        <v>0.92390000000000005</v>
      </c>
    </row>
    <row r="9212" spans="1:14">
      <c r="A9212" t="s">
        <v>199</v>
      </c>
      <c r="B9212" t="s">
        <v>220</v>
      </c>
      <c r="C9212">
        <v>98</v>
      </c>
      <c r="D9212" t="s">
        <v>194</v>
      </c>
      <c r="E9212">
        <v>1487</v>
      </c>
      <c r="J9212" s="3">
        <v>0.1469</v>
      </c>
      <c r="K9212" s="3">
        <v>0.85309999999999997</v>
      </c>
    </row>
    <row r="9213" spans="1:14">
      <c r="A9213" t="s">
        <v>200</v>
      </c>
      <c r="B9213" t="s">
        <v>200</v>
      </c>
      <c r="C9213">
        <v>1487</v>
      </c>
      <c r="D9213" t="s">
        <v>200</v>
      </c>
      <c r="E9213">
        <v>1487</v>
      </c>
      <c r="F9213" s="3">
        <v>2.7000000000000001E-3</v>
      </c>
      <c r="G9213" s="3">
        <v>5.0000000000000001E-4</v>
      </c>
      <c r="H9213" s="3">
        <v>1E-4</v>
      </c>
      <c r="I9213" s="3">
        <v>1E-4</v>
      </c>
      <c r="J9213" s="3">
        <v>9.9299999999999999E-2</v>
      </c>
      <c r="K9213" s="3">
        <v>0.89729999999999999</v>
      </c>
    </row>
    <row r="9215" spans="1:14" ht="45">
      <c r="A9215" s="22" t="s">
        <v>1826</v>
      </c>
    </row>
    <row r="9216" spans="1:14">
      <c r="A9216" t="s">
        <v>185</v>
      </c>
      <c r="B9216" t="s">
        <v>186</v>
      </c>
      <c r="C9216" t="s">
        <v>192</v>
      </c>
      <c r="D9216" t="s">
        <v>184</v>
      </c>
      <c r="E9216" t="s">
        <v>193</v>
      </c>
      <c r="F9216" t="s">
        <v>257</v>
      </c>
      <c r="G9216" t="s">
        <v>226</v>
      </c>
      <c r="H9216" t="s">
        <v>1827</v>
      </c>
      <c r="I9216" t="s">
        <v>247</v>
      </c>
      <c r="J9216" t="s">
        <v>1828</v>
      </c>
      <c r="K9216" t="s">
        <v>1829</v>
      </c>
      <c r="L9216" t="s">
        <v>1830</v>
      </c>
      <c r="M9216" t="s">
        <v>1831</v>
      </c>
      <c r="N9216" t="s">
        <v>1832</v>
      </c>
    </row>
    <row r="9217" spans="1:14">
      <c r="A9217" t="s">
        <v>195</v>
      </c>
      <c r="B9217" t="s">
        <v>222</v>
      </c>
      <c r="C9217">
        <v>248</v>
      </c>
      <c r="D9217" t="s">
        <v>194</v>
      </c>
      <c r="E9217">
        <v>2667</v>
      </c>
      <c r="G9217" s="3">
        <v>0.4607</v>
      </c>
      <c r="H9217" s="3">
        <v>2.9999999999999997E-4</v>
      </c>
      <c r="I9217" s="3">
        <v>2E-3</v>
      </c>
      <c r="J9217" s="3">
        <v>3.5200000000000002E-2</v>
      </c>
      <c r="K9217" s="3">
        <v>2.2000000000000001E-3</v>
      </c>
      <c r="L9217" s="3">
        <v>0.51090000000000002</v>
      </c>
      <c r="M9217" s="3">
        <v>4.5999999999999999E-3</v>
      </c>
      <c r="N9217" s="3">
        <v>1.7299999999999999E-2</v>
      </c>
    </row>
    <row r="9218" spans="1:14">
      <c r="A9218" t="s">
        <v>195</v>
      </c>
      <c r="B9218" t="s">
        <v>224</v>
      </c>
      <c r="C9218">
        <v>937</v>
      </c>
      <c r="D9218" t="s">
        <v>194</v>
      </c>
      <c r="E9218">
        <v>2667</v>
      </c>
      <c r="F9218" s="3">
        <v>1.1000000000000001E-3</v>
      </c>
      <c r="G9218" s="3">
        <v>0.41520000000000001</v>
      </c>
      <c r="H9218" s="3">
        <v>9.7000000000000003E-3</v>
      </c>
      <c r="J9218" s="3">
        <v>6.9999999999999999E-4</v>
      </c>
      <c r="K9218" s="3">
        <v>6.3E-3</v>
      </c>
      <c r="L9218" s="3">
        <v>0.57399999999999995</v>
      </c>
      <c r="M9218" s="3">
        <v>6.3E-3</v>
      </c>
      <c r="N9218" s="3">
        <v>1.2999999999999999E-3</v>
      </c>
    </row>
    <row r="9219" spans="1:14">
      <c r="A9219" t="s">
        <v>199</v>
      </c>
      <c r="B9219" t="s">
        <v>222</v>
      </c>
      <c r="C9219">
        <v>388</v>
      </c>
      <c r="D9219" t="s">
        <v>194</v>
      </c>
      <c r="E9219">
        <v>2667</v>
      </c>
      <c r="F9219" s="3">
        <v>1.78E-2</v>
      </c>
      <c r="G9219" s="3">
        <v>0.91900000000000004</v>
      </c>
      <c r="H9219" s="3">
        <v>2.8E-3</v>
      </c>
      <c r="J9219" s="3">
        <v>5.7000000000000002E-3</v>
      </c>
      <c r="K9219" s="3">
        <v>8.9999999999999998E-4</v>
      </c>
      <c r="L9219" s="3">
        <v>4.53E-2</v>
      </c>
      <c r="M9219" s="3">
        <v>8.8999999999999999E-3</v>
      </c>
    </row>
    <row r="9220" spans="1:14">
      <c r="A9220" t="s">
        <v>199</v>
      </c>
      <c r="B9220" t="s">
        <v>224</v>
      </c>
      <c r="C9220">
        <v>1094</v>
      </c>
      <c r="D9220" t="s">
        <v>194</v>
      </c>
      <c r="E9220">
        <v>2667</v>
      </c>
      <c r="F9220" s="3">
        <v>8.0000000000000004E-4</v>
      </c>
      <c r="G9220" s="3">
        <v>0.90910000000000002</v>
      </c>
      <c r="H9220" s="3">
        <v>2.8999999999999998E-3</v>
      </c>
      <c r="I9220" s="3">
        <v>1.6000000000000001E-3</v>
      </c>
      <c r="J9220" s="3">
        <v>5.0000000000000001E-4</v>
      </c>
      <c r="K9220" s="3">
        <v>1.2999999999999999E-3</v>
      </c>
      <c r="L9220" s="3">
        <v>7.4499999999999997E-2</v>
      </c>
      <c r="M9220" s="3">
        <v>8.3999999999999995E-3</v>
      </c>
      <c r="N9220" s="3">
        <v>1.8E-3</v>
      </c>
    </row>
    <row r="9221" spans="1:14">
      <c r="A9221" t="s">
        <v>200</v>
      </c>
      <c r="B9221" t="s">
        <v>200</v>
      </c>
      <c r="C9221">
        <v>2667</v>
      </c>
      <c r="D9221" t="s">
        <v>200</v>
      </c>
      <c r="E9221">
        <v>2667</v>
      </c>
      <c r="F9221" s="3">
        <v>3.7000000000000002E-3</v>
      </c>
      <c r="G9221" s="3">
        <v>0.69620000000000004</v>
      </c>
      <c r="H9221" s="3">
        <v>4.8999999999999998E-3</v>
      </c>
      <c r="I9221" s="3">
        <v>8.0000000000000004E-4</v>
      </c>
      <c r="J9221" s="3">
        <v>5.1999999999999998E-3</v>
      </c>
      <c r="K9221" s="3">
        <v>3.0000000000000001E-3</v>
      </c>
      <c r="L9221" s="3">
        <v>0.28470000000000001</v>
      </c>
      <c r="M9221" s="3">
        <v>7.4000000000000003E-3</v>
      </c>
      <c r="N9221" s="3">
        <v>3.0000000000000001E-3</v>
      </c>
    </row>
    <row r="9223" spans="1:14" ht="45">
      <c r="A9223" s="22" t="s">
        <v>1833</v>
      </c>
    </row>
    <row r="9224" spans="1:14">
      <c r="A9224" t="s">
        <v>185</v>
      </c>
      <c r="B9224" t="s">
        <v>186</v>
      </c>
      <c r="C9224" t="s">
        <v>192</v>
      </c>
      <c r="D9224" t="s">
        <v>184</v>
      </c>
      <c r="E9224" t="s">
        <v>193</v>
      </c>
      <c r="F9224" t="s">
        <v>257</v>
      </c>
      <c r="G9224" t="s">
        <v>226</v>
      </c>
      <c r="H9224" t="s">
        <v>1827</v>
      </c>
      <c r="I9224" t="s">
        <v>247</v>
      </c>
      <c r="J9224" t="s">
        <v>1828</v>
      </c>
      <c r="K9224" t="s">
        <v>1829</v>
      </c>
      <c r="L9224" t="s">
        <v>1830</v>
      </c>
      <c r="M9224" t="s">
        <v>1831</v>
      </c>
      <c r="N9224" t="s">
        <v>1832</v>
      </c>
    </row>
    <row r="9225" spans="1:14">
      <c r="A9225" t="s">
        <v>195</v>
      </c>
      <c r="B9225" t="s">
        <v>229</v>
      </c>
      <c r="C9225">
        <v>130</v>
      </c>
      <c r="D9225" t="s">
        <v>194</v>
      </c>
      <c r="E9225">
        <v>2667</v>
      </c>
      <c r="G9225" s="3">
        <v>0.38740000000000002</v>
      </c>
      <c r="L9225" s="3">
        <v>0.60699999999999998</v>
      </c>
      <c r="M9225" s="3">
        <v>5.5999999999999999E-3</v>
      </c>
      <c r="N9225" s="3">
        <v>6.3E-3</v>
      </c>
    </row>
    <row r="9226" spans="1:14">
      <c r="A9226" t="s">
        <v>195</v>
      </c>
      <c r="B9226" t="s">
        <v>230</v>
      </c>
      <c r="C9226">
        <v>484</v>
      </c>
      <c r="D9226" t="s">
        <v>194</v>
      </c>
      <c r="E9226">
        <v>2667</v>
      </c>
      <c r="F9226" s="3">
        <v>2E-3</v>
      </c>
      <c r="G9226" s="3">
        <v>0.36259999999999998</v>
      </c>
      <c r="H9226" s="3">
        <v>1.01E-2</v>
      </c>
      <c r="I9226" s="3">
        <v>1.1999999999999999E-3</v>
      </c>
      <c r="J9226" s="3">
        <v>1.49E-2</v>
      </c>
      <c r="L9226" s="3">
        <v>0.61599999999999999</v>
      </c>
      <c r="M9226" s="3">
        <v>1.09E-2</v>
      </c>
      <c r="N9226" s="3">
        <v>5.1000000000000004E-3</v>
      </c>
    </row>
    <row r="9227" spans="1:14">
      <c r="A9227" t="s">
        <v>195</v>
      </c>
      <c r="B9227" t="s">
        <v>231</v>
      </c>
      <c r="C9227">
        <v>304</v>
      </c>
      <c r="D9227" t="s">
        <v>194</v>
      </c>
      <c r="E9227">
        <v>2667</v>
      </c>
      <c r="G9227" s="3">
        <v>0.33560000000000001</v>
      </c>
      <c r="H9227" s="3">
        <v>9.1000000000000004E-3</v>
      </c>
      <c r="L9227" s="3">
        <v>0.66010000000000002</v>
      </c>
      <c r="M9227" s="3">
        <v>3.2000000000000002E-3</v>
      </c>
      <c r="N9227" s="3">
        <v>9.2999999999999992E-3</v>
      </c>
    </row>
    <row r="9228" spans="1:14">
      <c r="A9228" t="s">
        <v>195</v>
      </c>
      <c r="B9228" t="s">
        <v>232</v>
      </c>
      <c r="C9228">
        <v>267</v>
      </c>
      <c r="D9228" t="s">
        <v>194</v>
      </c>
      <c r="E9228">
        <v>2667</v>
      </c>
      <c r="F9228" s="3">
        <v>2.0000000000000001E-4</v>
      </c>
      <c r="G9228" s="3">
        <v>0.67269999999999996</v>
      </c>
      <c r="H9228" s="3">
        <v>5.5999999999999999E-3</v>
      </c>
      <c r="J9228" s="3">
        <v>1.49E-2</v>
      </c>
      <c r="K9228" s="3">
        <v>2.4799999999999999E-2</v>
      </c>
      <c r="L9228" s="3">
        <v>0.30499999999999999</v>
      </c>
    </row>
    <row r="9229" spans="1:14">
      <c r="A9229" t="s">
        <v>199</v>
      </c>
      <c r="B9229" t="s">
        <v>229</v>
      </c>
      <c r="C9229">
        <v>150</v>
      </c>
      <c r="D9229" t="s">
        <v>194</v>
      </c>
      <c r="E9229">
        <v>2667</v>
      </c>
      <c r="F9229" s="3">
        <v>1.4500000000000001E-2</v>
      </c>
      <c r="G9229" s="3">
        <v>0.93859999999999999</v>
      </c>
      <c r="H9229" s="3">
        <v>0.01</v>
      </c>
      <c r="I9229" s="3">
        <v>2.3999999999999998E-3</v>
      </c>
      <c r="J9229" s="3">
        <v>5.3E-3</v>
      </c>
      <c r="L9229" s="3">
        <v>2.6599999999999999E-2</v>
      </c>
      <c r="M9229" s="3">
        <v>3.2000000000000002E-3</v>
      </c>
    </row>
    <row r="9230" spans="1:14">
      <c r="A9230" t="s">
        <v>199</v>
      </c>
      <c r="B9230" t="s">
        <v>230</v>
      </c>
      <c r="C9230">
        <v>696</v>
      </c>
      <c r="D9230" t="s">
        <v>194</v>
      </c>
      <c r="E9230">
        <v>2667</v>
      </c>
      <c r="F9230" s="3">
        <v>6.8999999999999999E-3</v>
      </c>
      <c r="G9230" s="3">
        <v>0.91069999999999995</v>
      </c>
      <c r="H9230" s="3">
        <v>2.0000000000000001E-4</v>
      </c>
      <c r="I9230" s="3">
        <v>1.1000000000000001E-3</v>
      </c>
      <c r="J9230" s="3">
        <v>2.0000000000000001E-4</v>
      </c>
      <c r="K9230" s="3">
        <v>1.1999999999999999E-3</v>
      </c>
      <c r="L9230" s="3">
        <v>7.1099999999999997E-2</v>
      </c>
      <c r="M9230" s="3">
        <v>6.7999999999999996E-3</v>
      </c>
      <c r="N9230" s="3">
        <v>2.3999999999999998E-3</v>
      </c>
    </row>
    <row r="9231" spans="1:14">
      <c r="A9231" t="s">
        <v>199</v>
      </c>
      <c r="B9231" t="s">
        <v>231</v>
      </c>
      <c r="C9231">
        <v>397</v>
      </c>
      <c r="D9231" t="s">
        <v>194</v>
      </c>
      <c r="E9231">
        <v>2667</v>
      </c>
      <c r="F9231" s="3">
        <v>5.9999999999999995E-4</v>
      </c>
      <c r="G9231" s="3">
        <v>0.83279999999999998</v>
      </c>
      <c r="H9231" s="3">
        <v>3.8999999999999998E-3</v>
      </c>
      <c r="J9231" s="3">
        <v>5.5999999999999999E-3</v>
      </c>
      <c r="K9231" s="3">
        <v>3.5000000000000001E-3</v>
      </c>
      <c r="L9231" s="3">
        <v>0.12859999999999999</v>
      </c>
      <c r="M9231" s="3">
        <v>2.5700000000000001E-2</v>
      </c>
      <c r="N9231" s="3">
        <v>8.9999999999999998E-4</v>
      </c>
    </row>
    <row r="9232" spans="1:14">
      <c r="A9232" t="s">
        <v>199</v>
      </c>
      <c r="B9232" t="s">
        <v>232</v>
      </c>
      <c r="C9232">
        <v>239</v>
      </c>
      <c r="D9232" t="s">
        <v>194</v>
      </c>
      <c r="E9232">
        <v>2667</v>
      </c>
      <c r="F9232" s="3">
        <v>1E-4</v>
      </c>
      <c r="G9232" s="3">
        <v>0.97570000000000001</v>
      </c>
      <c r="H9232" s="3">
        <v>1.5E-3</v>
      </c>
      <c r="I9232" s="3">
        <v>1.1000000000000001E-3</v>
      </c>
      <c r="L9232" s="3">
        <v>2.1700000000000001E-2</v>
      </c>
    </row>
    <row r="9233" spans="1:14">
      <c r="A9233" t="s">
        <v>200</v>
      </c>
      <c r="B9233" t="s">
        <v>200</v>
      </c>
      <c r="C9233">
        <v>2667</v>
      </c>
      <c r="D9233" t="s">
        <v>200</v>
      </c>
      <c r="E9233">
        <v>2667</v>
      </c>
      <c r="F9233" s="3">
        <v>3.7000000000000002E-3</v>
      </c>
      <c r="G9233" s="3">
        <v>0.69620000000000004</v>
      </c>
      <c r="H9233" s="3">
        <v>4.8999999999999998E-3</v>
      </c>
      <c r="I9233" s="3">
        <v>8.0000000000000004E-4</v>
      </c>
      <c r="J9233" s="3">
        <v>5.1999999999999998E-3</v>
      </c>
      <c r="K9233" s="3">
        <v>3.0000000000000001E-3</v>
      </c>
      <c r="L9233" s="3">
        <v>0.28470000000000001</v>
      </c>
      <c r="M9233" s="3">
        <v>7.4000000000000003E-3</v>
      </c>
      <c r="N9233" s="3">
        <v>3.0000000000000001E-3</v>
      </c>
    </row>
    <row r="9235" spans="1:14" ht="45">
      <c r="A9235" s="22" t="s">
        <v>1834</v>
      </c>
    </row>
    <row r="9236" spans="1:14">
      <c r="A9236" t="s">
        <v>185</v>
      </c>
      <c r="B9236" t="s">
        <v>186</v>
      </c>
      <c r="C9236" t="s">
        <v>192</v>
      </c>
      <c r="D9236" t="s">
        <v>184</v>
      </c>
      <c r="E9236" t="s">
        <v>193</v>
      </c>
      <c r="F9236" t="s">
        <v>257</v>
      </c>
      <c r="G9236" t="s">
        <v>226</v>
      </c>
      <c r="H9236" t="s">
        <v>1827</v>
      </c>
      <c r="I9236" t="s">
        <v>247</v>
      </c>
      <c r="J9236" t="s">
        <v>1828</v>
      </c>
      <c r="K9236" t="s">
        <v>1829</v>
      </c>
      <c r="L9236" t="s">
        <v>1830</v>
      </c>
      <c r="M9236" t="s">
        <v>1831</v>
      </c>
      <c r="N9236" t="s">
        <v>1832</v>
      </c>
    </row>
    <row r="9237" spans="1:14">
      <c r="A9237" t="s">
        <v>195</v>
      </c>
      <c r="B9237" t="s">
        <v>196</v>
      </c>
      <c r="C9237">
        <v>412</v>
      </c>
      <c r="D9237" t="s">
        <v>194</v>
      </c>
      <c r="E9237">
        <v>2667</v>
      </c>
      <c r="F9237" s="3">
        <v>1E-4</v>
      </c>
      <c r="G9237" s="3">
        <v>0.52769999999999995</v>
      </c>
      <c r="H9237" s="3">
        <v>6.6E-3</v>
      </c>
      <c r="I9237" s="3">
        <v>1.8E-3</v>
      </c>
      <c r="J9237" s="3">
        <v>1.6999999999999999E-3</v>
      </c>
      <c r="K9237" s="3">
        <v>1.4E-3</v>
      </c>
      <c r="L9237" s="3">
        <v>0.46160000000000001</v>
      </c>
      <c r="M9237" s="3">
        <v>8.8999999999999999E-3</v>
      </c>
      <c r="N9237" s="3">
        <v>6.1000000000000004E-3</v>
      </c>
    </row>
    <row r="9238" spans="1:14">
      <c r="A9238" t="s">
        <v>195</v>
      </c>
      <c r="B9238" t="s">
        <v>198</v>
      </c>
      <c r="C9238">
        <v>752</v>
      </c>
      <c r="D9238" t="s">
        <v>194</v>
      </c>
      <c r="E9238">
        <v>2667</v>
      </c>
      <c r="F9238" s="3">
        <v>1.1000000000000001E-3</v>
      </c>
      <c r="G9238" s="3">
        <v>0.38940000000000002</v>
      </c>
      <c r="H9238" s="3">
        <v>7.7000000000000002E-3</v>
      </c>
      <c r="J9238" s="3">
        <v>1.18E-2</v>
      </c>
      <c r="K9238" s="3">
        <v>6.7999999999999996E-3</v>
      </c>
      <c r="L9238" s="3">
        <v>0.59389999999999998</v>
      </c>
      <c r="M9238" s="3">
        <v>4.7999999999999996E-3</v>
      </c>
      <c r="N9238" s="3">
        <v>4.8999999999999998E-3</v>
      </c>
    </row>
    <row r="9239" spans="1:14">
      <c r="A9239" t="s">
        <v>199</v>
      </c>
      <c r="B9239" t="s">
        <v>196</v>
      </c>
      <c r="C9239">
        <v>524</v>
      </c>
      <c r="D9239" t="s">
        <v>194</v>
      </c>
      <c r="E9239">
        <v>2667</v>
      </c>
      <c r="F9239" s="3">
        <v>1.23E-2</v>
      </c>
      <c r="G9239" s="3">
        <v>0.87290000000000001</v>
      </c>
      <c r="H9239" s="3">
        <v>4.5999999999999999E-3</v>
      </c>
      <c r="I9239" s="3">
        <v>2.8E-3</v>
      </c>
      <c r="J9239" s="3">
        <v>6.1999999999999998E-3</v>
      </c>
      <c r="L9239" s="3">
        <v>9.3399999999999997E-2</v>
      </c>
      <c r="M9239" s="3">
        <v>7.1999999999999998E-3</v>
      </c>
      <c r="N9239" s="3">
        <v>8.9999999999999998E-4</v>
      </c>
    </row>
    <row r="9240" spans="1:14">
      <c r="A9240" t="s">
        <v>199</v>
      </c>
      <c r="B9240" t="s">
        <v>198</v>
      </c>
      <c r="C9240">
        <v>940</v>
      </c>
      <c r="D9240" t="s">
        <v>194</v>
      </c>
      <c r="E9240">
        <v>2667</v>
      </c>
      <c r="F9240" s="3">
        <v>4.5999999999999999E-3</v>
      </c>
      <c r="G9240" s="3">
        <v>0.92130000000000001</v>
      </c>
      <c r="H9240" s="3">
        <v>2.5000000000000001E-3</v>
      </c>
      <c r="I9240" s="3">
        <v>8.0000000000000004E-4</v>
      </c>
      <c r="J9240" s="3">
        <v>1.1999999999999999E-3</v>
      </c>
      <c r="K9240" s="3">
        <v>1.5E-3</v>
      </c>
      <c r="L9240" s="3">
        <v>5.8900000000000001E-2</v>
      </c>
      <c r="M9240" s="3">
        <v>8.6999999999999994E-3</v>
      </c>
      <c r="N9240" s="3">
        <v>1.4E-3</v>
      </c>
    </row>
    <row r="9241" spans="1:14">
      <c r="A9241" t="s">
        <v>200</v>
      </c>
      <c r="B9241" t="s">
        <v>200</v>
      </c>
      <c r="C9241">
        <v>2667</v>
      </c>
      <c r="D9241" t="s">
        <v>200</v>
      </c>
      <c r="E9241">
        <v>2667</v>
      </c>
      <c r="F9241" s="3">
        <v>3.7000000000000002E-3</v>
      </c>
      <c r="G9241" s="3">
        <v>0.69620000000000004</v>
      </c>
      <c r="H9241" s="3">
        <v>4.8999999999999998E-3</v>
      </c>
      <c r="I9241" s="3">
        <v>8.0000000000000004E-4</v>
      </c>
      <c r="J9241" s="3">
        <v>5.1999999999999998E-3</v>
      </c>
      <c r="K9241" s="3">
        <v>3.0000000000000001E-3</v>
      </c>
      <c r="L9241" s="3">
        <v>0.28470000000000001</v>
      </c>
      <c r="M9241" s="3">
        <v>7.4000000000000003E-3</v>
      </c>
      <c r="N9241" s="3">
        <v>3.0000000000000001E-3</v>
      </c>
    </row>
    <row r="9243" spans="1:14" ht="45">
      <c r="A9243" s="22" t="s">
        <v>1835</v>
      </c>
    </row>
    <row r="9244" spans="1:14">
      <c r="A9244" t="s">
        <v>185</v>
      </c>
      <c r="B9244" t="s">
        <v>186</v>
      </c>
      <c r="C9244" t="s">
        <v>192</v>
      </c>
      <c r="D9244" t="s">
        <v>184</v>
      </c>
      <c r="E9244" t="s">
        <v>193</v>
      </c>
      <c r="F9244" t="s">
        <v>257</v>
      </c>
      <c r="G9244" t="s">
        <v>226</v>
      </c>
      <c r="H9244" t="s">
        <v>1827</v>
      </c>
      <c r="I9244" t="s">
        <v>247</v>
      </c>
      <c r="J9244" t="s">
        <v>1828</v>
      </c>
      <c r="K9244" t="s">
        <v>1829</v>
      </c>
      <c r="L9244" t="s">
        <v>1830</v>
      </c>
      <c r="M9244" t="s">
        <v>1831</v>
      </c>
      <c r="N9244" t="s">
        <v>1832</v>
      </c>
    </row>
    <row r="9245" spans="1:14">
      <c r="A9245" t="s">
        <v>195</v>
      </c>
      <c r="B9245" t="s">
        <v>202</v>
      </c>
      <c r="C9245">
        <v>532</v>
      </c>
      <c r="D9245" t="s">
        <v>194</v>
      </c>
      <c r="E9245">
        <v>2667</v>
      </c>
      <c r="F9245" s="3">
        <v>1.1999999999999999E-3</v>
      </c>
      <c r="G9245" s="3">
        <v>0.4234</v>
      </c>
      <c r="H9245" s="3">
        <v>8.3999999999999995E-3</v>
      </c>
      <c r="J9245" s="3">
        <v>1.3100000000000001E-2</v>
      </c>
      <c r="K9245" s="3">
        <v>8.0000000000000004E-4</v>
      </c>
      <c r="L9245" s="3">
        <v>0.55910000000000004</v>
      </c>
      <c r="M9245" s="3">
        <v>4.4999999999999997E-3</v>
      </c>
      <c r="N9245" s="3">
        <v>5.0000000000000001E-3</v>
      </c>
    </row>
    <row r="9246" spans="1:14">
      <c r="A9246" t="s">
        <v>195</v>
      </c>
      <c r="B9246" t="s">
        <v>204</v>
      </c>
      <c r="C9246">
        <v>300</v>
      </c>
      <c r="D9246" t="s">
        <v>194</v>
      </c>
      <c r="E9246">
        <v>2667</v>
      </c>
      <c r="F9246" s="3">
        <v>2.0000000000000001E-4</v>
      </c>
      <c r="G9246" s="3">
        <v>0.38919999999999999</v>
      </c>
      <c r="H9246" s="3">
        <v>8.8999999999999999E-3</v>
      </c>
      <c r="I9246" s="3">
        <v>2.2000000000000001E-3</v>
      </c>
      <c r="J9246" s="3">
        <v>2.0999999999999999E-3</v>
      </c>
      <c r="L9246" s="3">
        <v>0.59830000000000005</v>
      </c>
      <c r="M9246" s="3">
        <v>1.14E-2</v>
      </c>
      <c r="N9246" s="3">
        <v>6.1000000000000004E-3</v>
      </c>
    </row>
    <row r="9247" spans="1:14">
      <c r="A9247" t="s">
        <v>195</v>
      </c>
      <c r="B9247" t="s">
        <v>205</v>
      </c>
      <c r="C9247">
        <v>332</v>
      </c>
      <c r="D9247" t="s">
        <v>194</v>
      </c>
      <c r="E9247">
        <v>2667</v>
      </c>
      <c r="G9247" s="3">
        <v>0.50019999999999998</v>
      </c>
      <c r="H9247" s="3">
        <v>5.0000000000000001E-4</v>
      </c>
      <c r="J9247" s="3">
        <v>1.1000000000000001E-3</v>
      </c>
      <c r="K9247" s="3">
        <v>3.5499999999999997E-2</v>
      </c>
      <c r="L9247" s="3">
        <v>0.49199999999999999</v>
      </c>
      <c r="M9247" s="3">
        <v>4.1000000000000003E-3</v>
      </c>
      <c r="N9247" s="3">
        <v>4.7999999999999996E-3</v>
      </c>
    </row>
    <row r="9248" spans="1:14">
      <c r="A9248" t="s">
        <v>199</v>
      </c>
      <c r="B9248" t="s">
        <v>202</v>
      </c>
      <c r="C9248">
        <v>534</v>
      </c>
      <c r="D9248" t="s">
        <v>194</v>
      </c>
      <c r="E9248">
        <v>2667</v>
      </c>
      <c r="G9248" s="3">
        <v>0.94489999999999996</v>
      </c>
      <c r="H9248" s="3">
        <v>2.5999999999999999E-3</v>
      </c>
      <c r="I9248" s="3">
        <v>6.9999999999999999E-4</v>
      </c>
      <c r="J9248" s="3">
        <v>2.8E-3</v>
      </c>
      <c r="L9248" s="3">
        <v>3.9100000000000003E-2</v>
      </c>
      <c r="M9248" s="3">
        <v>9.7000000000000003E-3</v>
      </c>
      <c r="N9248" s="3">
        <v>2.0000000000000001E-4</v>
      </c>
    </row>
    <row r="9249" spans="1:14">
      <c r="A9249" t="s">
        <v>199</v>
      </c>
      <c r="B9249" t="s">
        <v>204</v>
      </c>
      <c r="C9249">
        <v>425</v>
      </c>
      <c r="D9249" t="s">
        <v>194</v>
      </c>
      <c r="E9249">
        <v>2667</v>
      </c>
      <c r="F9249" s="3">
        <v>1.83E-2</v>
      </c>
      <c r="G9249" s="3">
        <v>0.90639999999999998</v>
      </c>
      <c r="H9249" s="3">
        <v>2.5000000000000001E-3</v>
      </c>
      <c r="I9249" s="3">
        <v>3.5999999999999999E-3</v>
      </c>
      <c r="J9249" s="3">
        <v>8.9999999999999998E-4</v>
      </c>
      <c r="K9249" s="3">
        <v>3.3999999999999998E-3</v>
      </c>
      <c r="L9249" s="3">
        <v>5.7099999999999998E-2</v>
      </c>
      <c r="M9249" s="3">
        <v>8.0000000000000002E-3</v>
      </c>
      <c r="N9249" s="3">
        <v>1E-4</v>
      </c>
    </row>
    <row r="9250" spans="1:14">
      <c r="A9250" t="s">
        <v>199</v>
      </c>
      <c r="B9250" t="s">
        <v>205</v>
      </c>
      <c r="C9250">
        <v>505</v>
      </c>
      <c r="D9250" t="s">
        <v>194</v>
      </c>
      <c r="E9250">
        <v>2667</v>
      </c>
      <c r="F9250" s="3">
        <v>1.4500000000000001E-2</v>
      </c>
      <c r="G9250" s="3">
        <v>0.79590000000000005</v>
      </c>
      <c r="H9250" s="3">
        <v>4.1999999999999997E-3</v>
      </c>
      <c r="J9250" s="3">
        <v>8.0000000000000004E-4</v>
      </c>
      <c r="K9250" s="3">
        <v>3.3E-3</v>
      </c>
      <c r="L9250" s="3">
        <v>0.1741</v>
      </c>
      <c r="M9250" s="3">
        <v>4.1000000000000003E-3</v>
      </c>
      <c r="N9250" s="3">
        <v>6.7000000000000002E-3</v>
      </c>
    </row>
    <row r="9251" spans="1:14">
      <c r="A9251" t="s">
        <v>200</v>
      </c>
      <c r="B9251" t="s">
        <v>200</v>
      </c>
      <c r="C9251">
        <v>2667</v>
      </c>
      <c r="D9251" t="s">
        <v>200</v>
      </c>
      <c r="E9251">
        <v>2667</v>
      </c>
      <c r="F9251" s="3">
        <v>3.7000000000000002E-3</v>
      </c>
      <c r="G9251" s="3">
        <v>0.69620000000000004</v>
      </c>
      <c r="H9251" s="3">
        <v>4.8999999999999998E-3</v>
      </c>
      <c r="I9251" s="3">
        <v>8.0000000000000004E-4</v>
      </c>
      <c r="J9251" s="3">
        <v>5.1999999999999998E-3</v>
      </c>
      <c r="K9251" s="3">
        <v>3.0000000000000001E-3</v>
      </c>
      <c r="L9251" s="3">
        <v>0.28470000000000001</v>
      </c>
      <c r="M9251" s="3">
        <v>7.4000000000000003E-3</v>
      </c>
      <c r="N9251" s="3">
        <v>3.0000000000000001E-3</v>
      </c>
    </row>
    <row r="9253" spans="1:14" ht="45">
      <c r="A9253" s="22" t="s">
        <v>1836</v>
      </c>
    </row>
    <row r="9254" spans="1:14">
      <c r="A9254" t="s">
        <v>185</v>
      </c>
      <c r="B9254" t="s">
        <v>186</v>
      </c>
      <c r="C9254" t="s">
        <v>192</v>
      </c>
      <c r="D9254" t="s">
        <v>184</v>
      </c>
      <c r="E9254" t="s">
        <v>193</v>
      </c>
      <c r="F9254" t="s">
        <v>257</v>
      </c>
      <c r="G9254" t="s">
        <v>226</v>
      </c>
      <c r="H9254" t="s">
        <v>1827</v>
      </c>
      <c r="I9254" t="s">
        <v>247</v>
      </c>
      <c r="J9254" t="s">
        <v>1828</v>
      </c>
      <c r="K9254" t="s">
        <v>1829</v>
      </c>
      <c r="L9254" t="s">
        <v>1830</v>
      </c>
      <c r="M9254" t="s">
        <v>1831</v>
      </c>
      <c r="N9254" t="s">
        <v>1832</v>
      </c>
    </row>
    <row r="9255" spans="1:14">
      <c r="A9255" t="s">
        <v>195</v>
      </c>
      <c r="B9255" t="s">
        <v>207</v>
      </c>
      <c r="C9255">
        <v>320</v>
      </c>
      <c r="D9255" t="s">
        <v>194</v>
      </c>
      <c r="E9255">
        <v>2667</v>
      </c>
      <c r="G9255" s="3">
        <v>0.48049999999999998</v>
      </c>
      <c r="H9255" s="3">
        <v>5.1999999999999998E-3</v>
      </c>
      <c r="J9255" s="3">
        <v>2.2700000000000001E-2</v>
      </c>
      <c r="K9255" s="3">
        <v>1.9400000000000001E-2</v>
      </c>
      <c r="L9255" s="3">
        <v>0.51370000000000005</v>
      </c>
      <c r="M9255" s="3">
        <v>1.1900000000000001E-2</v>
      </c>
    </row>
    <row r="9256" spans="1:14">
      <c r="A9256" t="s">
        <v>195</v>
      </c>
      <c r="B9256" t="s">
        <v>209</v>
      </c>
      <c r="C9256">
        <v>865</v>
      </c>
      <c r="D9256" t="s">
        <v>194</v>
      </c>
      <c r="E9256">
        <v>2667</v>
      </c>
      <c r="F9256" s="3">
        <v>1.1000000000000001E-3</v>
      </c>
      <c r="G9256" s="3">
        <v>0.40760000000000002</v>
      </c>
      <c r="H9256" s="3">
        <v>8.0999999999999996E-3</v>
      </c>
      <c r="I9256" s="3">
        <v>5.9999999999999995E-4</v>
      </c>
      <c r="J9256" s="3">
        <v>4.4000000000000003E-3</v>
      </c>
      <c r="K9256" s="3">
        <v>5.0000000000000001E-4</v>
      </c>
      <c r="L9256" s="3">
        <v>0.57420000000000004</v>
      </c>
      <c r="M9256" s="3">
        <v>3.8999999999999998E-3</v>
      </c>
      <c r="N9256" s="3">
        <v>7.0000000000000001E-3</v>
      </c>
    </row>
    <row r="9257" spans="1:14">
      <c r="A9257" t="s">
        <v>199</v>
      </c>
      <c r="B9257" t="s">
        <v>207</v>
      </c>
      <c r="C9257">
        <v>281</v>
      </c>
      <c r="D9257" t="s">
        <v>194</v>
      </c>
      <c r="E9257">
        <v>2667</v>
      </c>
      <c r="F9257" s="3">
        <v>3.5000000000000001E-3</v>
      </c>
      <c r="G9257" s="3">
        <v>0.82750000000000001</v>
      </c>
      <c r="H9257" s="3">
        <v>4.5999999999999999E-3</v>
      </c>
      <c r="I9257" s="3">
        <v>9.4000000000000004E-3</v>
      </c>
      <c r="J9257" s="3">
        <v>1.6299999999999999E-2</v>
      </c>
      <c r="K9257" s="3">
        <v>2.3E-3</v>
      </c>
      <c r="L9257" s="3">
        <v>0.1338</v>
      </c>
      <c r="M9257" s="3">
        <v>1.4E-3</v>
      </c>
      <c r="N9257" s="3">
        <v>2.5000000000000001E-3</v>
      </c>
    </row>
    <row r="9258" spans="1:14">
      <c r="A9258" t="s">
        <v>199</v>
      </c>
      <c r="B9258" t="s">
        <v>209</v>
      </c>
      <c r="C9258">
        <v>1201</v>
      </c>
      <c r="D9258" t="s">
        <v>194</v>
      </c>
      <c r="E9258">
        <v>2667</v>
      </c>
      <c r="F9258" s="3">
        <v>6.3E-3</v>
      </c>
      <c r="G9258" s="3">
        <v>0.92369999999999997</v>
      </c>
      <c r="H9258" s="3">
        <v>2.5999999999999999E-3</v>
      </c>
      <c r="J9258" s="3">
        <v>2.0000000000000001E-4</v>
      </c>
      <c r="K9258" s="3">
        <v>1.1000000000000001E-3</v>
      </c>
      <c r="L9258" s="3">
        <v>5.62E-2</v>
      </c>
      <c r="M9258" s="3">
        <v>9.4999999999999998E-3</v>
      </c>
      <c r="N9258" s="3">
        <v>1.1000000000000001E-3</v>
      </c>
    </row>
    <row r="9259" spans="1:14">
      <c r="A9259" t="s">
        <v>200</v>
      </c>
      <c r="B9259" t="s">
        <v>200</v>
      </c>
      <c r="C9259">
        <v>2667</v>
      </c>
      <c r="D9259" t="s">
        <v>200</v>
      </c>
      <c r="E9259">
        <v>2667</v>
      </c>
      <c r="F9259" s="3">
        <v>3.7000000000000002E-3</v>
      </c>
      <c r="G9259" s="3">
        <v>0.69620000000000004</v>
      </c>
      <c r="H9259" s="3">
        <v>4.8999999999999998E-3</v>
      </c>
      <c r="I9259" s="3">
        <v>8.0000000000000004E-4</v>
      </c>
      <c r="J9259" s="3">
        <v>5.1999999999999998E-3</v>
      </c>
      <c r="K9259" s="3">
        <v>3.0000000000000001E-3</v>
      </c>
      <c r="L9259" s="3">
        <v>0.28470000000000001</v>
      </c>
      <c r="M9259" s="3">
        <v>7.4000000000000003E-3</v>
      </c>
      <c r="N9259" s="3">
        <v>3.0000000000000001E-3</v>
      </c>
    </row>
    <row r="9261" spans="1:14" ht="45">
      <c r="A9261" s="22" t="s">
        <v>1837</v>
      </c>
    </row>
    <row r="9262" spans="1:14">
      <c r="A9262" t="s">
        <v>185</v>
      </c>
      <c r="B9262" t="s">
        <v>192</v>
      </c>
      <c r="C9262" t="s">
        <v>184</v>
      </c>
      <c r="D9262" t="s">
        <v>193</v>
      </c>
      <c r="E9262" t="s">
        <v>257</v>
      </c>
      <c r="F9262" t="s">
        <v>226</v>
      </c>
      <c r="G9262" t="s">
        <v>1827</v>
      </c>
      <c r="H9262" t="s">
        <v>247</v>
      </c>
      <c r="I9262" t="s">
        <v>1828</v>
      </c>
      <c r="J9262" t="s">
        <v>1829</v>
      </c>
      <c r="K9262" t="s">
        <v>1830</v>
      </c>
      <c r="L9262" t="s">
        <v>1831</v>
      </c>
      <c r="M9262" t="s">
        <v>1832</v>
      </c>
    </row>
    <row r="9263" spans="1:14">
      <c r="A9263" t="s">
        <v>195</v>
      </c>
      <c r="B9263">
        <v>1185</v>
      </c>
      <c r="C9263" t="s">
        <v>194</v>
      </c>
      <c r="D9263">
        <v>2667</v>
      </c>
      <c r="E9263" s="3">
        <v>8.0000000000000004E-4</v>
      </c>
      <c r="F9263" s="3">
        <v>0.42620000000000002</v>
      </c>
      <c r="G9263" s="3">
        <v>7.4000000000000003E-3</v>
      </c>
      <c r="H9263" s="3">
        <v>5.0000000000000001E-4</v>
      </c>
      <c r="I9263" s="3">
        <v>8.9999999999999993E-3</v>
      </c>
      <c r="J9263" s="3">
        <v>5.3E-3</v>
      </c>
      <c r="K9263" s="3">
        <v>0.55879999999999996</v>
      </c>
      <c r="L9263" s="3">
        <v>5.8999999999999999E-3</v>
      </c>
      <c r="M9263" s="3">
        <v>5.1999999999999998E-3</v>
      </c>
    </row>
    <row r="9264" spans="1:14">
      <c r="A9264" t="s">
        <v>199</v>
      </c>
      <c r="B9264">
        <v>1482</v>
      </c>
      <c r="C9264" t="s">
        <v>194</v>
      </c>
      <c r="D9264">
        <v>2667</v>
      </c>
      <c r="E9264" s="3">
        <v>6.0000000000000001E-3</v>
      </c>
      <c r="F9264" s="3">
        <v>0.91210000000000002</v>
      </c>
      <c r="G9264" s="3">
        <v>2.8999999999999998E-3</v>
      </c>
      <c r="H9264" s="3">
        <v>1.1000000000000001E-3</v>
      </c>
      <c r="I9264" s="3">
        <v>2.0999999999999999E-3</v>
      </c>
      <c r="J9264" s="3">
        <v>1.1999999999999999E-3</v>
      </c>
      <c r="K9264" s="3">
        <v>6.5600000000000006E-2</v>
      </c>
      <c r="L9264" s="3">
        <v>8.5000000000000006E-3</v>
      </c>
      <c r="M9264" s="3">
        <v>1.2999999999999999E-3</v>
      </c>
    </row>
    <row r="9265" spans="1:14">
      <c r="A9265" t="s">
        <v>200</v>
      </c>
      <c r="B9265">
        <v>2667</v>
      </c>
      <c r="C9265" t="s">
        <v>200</v>
      </c>
      <c r="D9265">
        <v>2667</v>
      </c>
      <c r="E9265" s="3">
        <v>3.7000000000000002E-3</v>
      </c>
      <c r="F9265" s="3">
        <v>0.69620000000000004</v>
      </c>
      <c r="G9265" s="3">
        <v>4.8999999999999998E-3</v>
      </c>
      <c r="H9265" s="3">
        <v>8.0000000000000004E-4</v>
      </c>
      <c r="I9265" s="3">
        <v>5.1999999999999998E-3</v>
      </c>
      <c r="J9265" s="3">
        <v>3.0000000000000001E-3</v>
      </c>
      <c r="K9265" s="3">
        <v>0.28470000000000001</v>
      </c>
      <c r="L9265" s="3">
        <v>7.4000000000000003E-3</v>
      </c>
      <c r="M9265" s="3">
        <v>3.0000000000000001E-3</v>
      </c>
    </row>
    <row r="9267" spans="1:14" ht="45">
      <c r="A9267" s="22" t="s">
        <v>1838</v>
      </c>
    </row>
    <row r="9268" spans="1:14">
      <c r="A9268" t="s">
        <v>185</v>
      </c>
      <c r="B9268" t="s">
        <v>186</v>
      </c>
      <c r="C9268" t="s">
        <v>192</v>
      </c>
      <c r="D9268" t="s">
        <v>184</v>
      </c>
      <c r="E9268" t="s">
        <v>193</v>
      </c>
      <c r="F9268" t="s">
        <v>257</v>
      </c>
      <c r="G9268" t="s">
        <v>226</v>
      </c>
      <c r="H9268" t="s">
        <v>1827</v>
      </c>
      <c r="I9268" t="s">
        <v>247</v>
      </c>
      <c r="J9268" t="s">
        <v>1828</v>
      </c>
      <c r="K9268" t="s">
        <v>1829</v>
      </c>
      <c r="L9268" t="s">
        <v>1830</v>
      </c>
      <c r="M9268" t="s">
        <v>1831</v>
      </c>
      <c r="N9268" t="s">
        <v>1832</v>
      </c>
    </row>
    <row r="9269" spans="1:14">
      <c r="A9269" t="s">
        <v>195</v>
      </c>
      <c r="B9269" t="s">
        <v>212</v>
      </c>
      <c r="C9269">
        <v>871</v>
      </c>
      <c r="D9269" t="s">
        <v>194</v>
      </c>
      <c r="E9269">
        <v>2667</v>
      </c>
      <c r="F9269" s="3">
        <v>1.1000000000000001E-3</v>
      </c>
      <c r="G9269" s="3">
        <v>0.38319999999999999</v>
      </c>
      <c r="H9269" s="3">
        <v>6.1999999999999998E-3</v>
      </c>
      <c r="I9269" s="3">
        <v>5.9999999999999995E-4</v>
      </c>
      <c r="J9269" s="3">
        <v>1.1900000000000001E-2</v>
      </c>
      <c r="K9269" s="3">
        <v>5.8999999999999999E-3</v>
      </c>
      <c r="L9269" s="3">
        <v>0.59930000000000005</v>
      </c>
      <c r="M9269" s="3">
        <v>5.1000000000000004E-3</v>
      </c>
      <c r="N9269" s="3">
        <v>3.8999999999999998E-3</v>
      </c>
    </row>
    <row r="9270" spans="1:14">
      <c r="A9270" t="s">
        <v>195</v>
      </c>
      <c r="B9270" t="s">
        <v>214</v>
      </c>
      <c r="C9270">
        <v>180</v>
      </c>
      <c r="D9270" t="s">
        <v>194</v>
      </c>
      <c r="E9270">
        <v>2667</v>
      </c>
      <c r="G9270" s="3">
        <v>0.62380000000000002</v>
      </c>
      <c r="J9270" s="3">
        <v>4.0000000000000002E-4</v>
      </c>
      <c r="K9270" s="3">
        <v>5.4000000000000003E-3</v>
      </c>
      <c r="L9270" s="3">
        <v>0.3679</v>
      </c>
      <c r="M9270" s="3">
        <v>5.7999999999999996E-3</v>
      </c>
      <c r="N9270" s="3">
        <v>7.6E-3</v>
      </c>
    </row>
    <row r="9271" spans="1:14">
      <c r="A9271" t="s">
        <v>195</v>
      </c>
      <c r="B9271" t="s">
        <v>215</v>
      </c>
      <c r="C9271">
        <v>134</v>
      </c>
      <c r="D9271" t="s">
        <v>194</v>
      </c>
      <c r="E9271">
        <v>2667</v>
      </c>
      <c r="G9271" s="3">
        <v>0.4219</v>
      </c>
      <c r="H9271" s="3">
        <v>3.3399999999999999E-2</v>
      </c>
      <c r="L9271" s="3">
        <v>0.57199999999999995</v>
      </c>
      <c r="M9271" s="3">
        <v>1.41E-2</v>
      </c>
      <c r="N9271" s="3">
        <v>1.17E-2</v>
      </c>
    </row>
    <row r="9272" spans="1:14">
      <c r="A9272" t="s">
        <v>199</v>
      </c>
      <c r="B9272" t="s">
        <v>212</v>
      </c>
      <c r="C9272">
        <v>1113</v>
      </c>
      <c r="D9272" t="s">
        <v>194</v>
      </c>
      <c r="E9272">
        <v>2667</v>
      </c>
      <c r="F9272" s="3">
        <v>7.3000000000000001E-3</v>
      </c>
      <c r="G9272" s="3">
        <v>0.91</v>
      </c>
      <c r="H9272" s="3">
        <v>3.2000000000000002E-3</v>
      </c>
      <c r="I9272" s="3">
        <v>1.2999999999999999E-3</v>
      </c>
      <c r="J9272" s="3">
        <v>2.5999999999999999E-3</v>
      </c>
      <c r="K9272" s="3">
        <v>1.6000000000000001E-3</v>
      </c>
      <c r="L9272" s="3">
        <v>6.5199999999999994E-2</v>
      </c>
      <c r="M9272" s="3">
        <v>7.9000000000000008E-3</v>
      </c>
      <c r="N9272" s="3">
        <v>1.6000000000000001E-3</v>
      </c>
    </row>
    <row r="9273" spans="1:14">
      <c r="A9273" t="s">
        <v>199</v>
      </c>
      <c r="B9273" t="s">
        <v>214</v>
      </c>
      <c r="C9273">
        <v>197</v>
      </c>
      <c r="D9273" t="s">
        <v>194</v>
      </c>
      <c r="E9273">
        <v>2667</v>
      </c>
      <c r="F9273" s="3">
        <v>6.9999999999999999E-4</v>
      </c>
      <c r="G9273" s="3">
        <v>0.94089999999999996</v>
      </c>
      <c r="H9273" s="3">
        <v>2.3999999999999998E-3</v>
      </c>
      <c r="I9273" s="3">
        <v>1.1999999999999999E-3</v>
      </c>
      <c r="L9273" s="3">
        <v>5.3499999999999999E-2</v>
      </c>
      <c r="M9273" s="3">
        <v>2.0999999999999999E-3</v>
      </c>
    </row>
    <row r="9274" spans="1:14">
      <c r="A9274" t="s">
        <v>199</v>
      </c>
      <c r="B9274" t="s">
        <v>215</v>
      </c>
      <c r="C9274">
        <v>172</v>
      </c>
      <c r="D9274" t="s">
        <v>194</v>
      </c>
      <c r="E9274">
        <v>2667</v>
      </c>
      <c r="F9274" s="3">
        <v>3.5000000000000001E-3</v>
      </c>
      <c r="G9274" s="3">
        <v>0.87849999999999995</v>
      </c>
      <c r="H9274" s="3">
        <v>2.9999999999999997E-4</v>
      </c>
      <c r="J9274" s="3">
        <v>1.1999999999999999E-3</v>
      </c>
      <c r="L9274" s="3">
        <v>9.0899999999999995E-2</v>
      </c>
      <c r="M9274" s="3">
        <v>2.6200000000000001E-2</v>
      </c>
      <c r="N9274" s="3">
        <v>2.0000000000000001E-4</v>
      </c>
    </row>
    <row r="9275" spans="1:14">
      <c r="A9275" t="s">
        <v>200</v>
      </c>
      <c r="B9275" t="s">
        <v>200</v>
      </c>
      <c r="C9275">
        <v>2667</v>
      </c>
      <c r="D9275" t="s">
        <v>200</v>
      </c>
      <c r="E9275">
        <v>2667</v>
      </c>
      <c r="F9275" s="3">
        <v>3.7000000000000002E-3</v>
      </c>
      <c r="G9275" s="3">
        <v>0.69620000000000004</v>
      </c>
      <c r="H9275" s="3">
        <v>4.8999999999999998E-3</v>
      </c>
      <c r="I9275" s="3">
        <v>8.0000000000000004E-4</v>
      </c>
      <c r="J9275" s="3">
        <v>5.1999999999999998E-3</v>
      </c>
      <c r="K9275" s="3">
        <v>3.0000000000000001E-3</v>
      </c>
      <c r="L9275" s="3">
        <v>0.28470000000000001</v>
      </c>
      <c r="M9275" s="3">
        <v>7.4000000000000003E-3</v>
      </c>
      <c r="N9275" s="3">
        <v>3.0000000000000001E-3</v>
      </c>
    </row>
    <row r="9277" spans="1:14" ht="45">
      <c r="A9277" s="22" t="s">
        <v>1839</v>
      </c>
    </row>
    <row r="9278" spans="1:14">
      <c r="A9278" t="s">
        <v>185</v>
      </c>
      <c r="B9278" t="s">
        <v>186</v>
      </c>
      <c r="C9278" t="s">
        <v>192</v>
      </c>
      <c r="D9278" t="s">
        <v>184</v>
      </c>
      <c r="E9278" t="s">
        <v>193</v>
      </c>
      <c r="F9278" t="s">
        <v>257</v>
      </c>
      <c r="G9278" t="s">
        <v>226</v>
      </c>
      <c r="H9278" t="s">
        <v>1827</v>
      </c>
      <c r="I9278" t="s">
        <v>247</v>
      </c>
      <c r="J9278" t="s">
        <v>1828</v>
      </c>
      <c r="K9278" t="s">
        <v>1829</v>
      </c>
      <c r="L9278" t="s">
        <v>1830</v>
      </c>
      <c r="M9278" t="s">
        <v>1831</v>
      </c>
      <c r="N9278" t="s">
        <v>1832</v>
      </c>
    </row>
    <row r="9279" spans="1:14">
      <c r="A9279" t="s">
        <v>195</v>
      </c>
      <c r="B9279" t="s">
        <v>217</v>
      </c>
      <c r="C9279">
        <v>497</v>
      </c>
      <c r="D9279" t="s">
        <v>194</v>
      </c>
      <c r="E9279">
        <v>2667</v>
      </c>
      <c r="F9279" s="3">
        <v>2E-3</v>
      </c>
      <c r="G9279" s="3">
        <v>0.38679999999999998</v>
      </c>
      <c r="H9279" s="3">
        <v>5.3E-3</v>
      </c>
      <c r="I9279" s="3">
        <v>1.1000000000000001E-3</v>
      </c>
      <c r="J9279" s="3">
        <v>8.3999999999999995E-3</v>
      </c>
      <c r="K9279" s="3">
        <v>1.0500000000000001E-2</v>
      </c>
      <c r="L9279" s="3">
        <v>0.59650000000000003</v>
      </c>
      <c r="M9279" s="3">
        <v>4.1000000000000003E-3</v>
      </c>
      <c r="N9279" s="3">
        <v>8.3000000000000001E-3</v>
      </c>
    </row>
    <row r="9280" spans="1:14">
      <c r="A9280" t="s">
        <v>195</v>
      </c>
      <c r="B9280" t="s">
        <v>219</v>
      </c>
      <c r="C9280">
        <v>505</v>
      </c>
      <c r="D9280" t="s">
        <v>194</v>
      </c>
      <c r="E9280">
        <v>2667</v>
      </c>
      <c r="G9280" s="3">
        <v>0.4703</v>
      </c>
      <c r="H9280" s="3">
        <v>1.32E-2</v>
      </c>
      <c r="J9280" s="3">
        <v>4.0000000000000002E-4</v>
      </c>
      <c r="K9280" s="3">
        <v>8.9999999999999998E-4</v>
      </c>
      <c r="L9280" s="3">
        <v>0.51229999999999998</v>
      </c>
      <c r="M9280" s="3">
        <v>6.6E-3</v>
      </c>
      <c r="N9280" s="3">
        <v>1E-3</v>
      </c>
    </row>
    <row r="9281" spans="1:18">
      <c r="A9281" t="s">
        <v>195</v>
      </c>
      <c r="B9281" t="s">
        <v>220</v>
      </c>
      <c r="C9281">
        <v>182</v>
      </c>
      <c r="D9281" t="s">
        <v>194</v>
      </c>
      <c r="E9281">
        <v>2667</v>
      </c>
      <c r="G9281" s="3">
        <v>0.42209999999999998</v>
      </c>
      <c r="J9281" s="3">
        <v>2.81E-2</v>
      </c>
      <c r="K9281" s="3">
        <v>2.8E-3</v>
      </c>
      <c r="L9281" s="3">
        <v>0.57130000000000003</v>
      </c>
      <c r="M9281" s="3">
        <v>8.6E-3</v>
      </c>
      <c r="N9281" s="3">
        <v>7.1000000000000004E-3</v>
      </c>
    </row>
    <row r="9282" spans="1:18">
      <c r="A9282" t="s">
        <v>199</v>
      </c>
      <c r="B9282" t="s">
        <v>217</v>
      </c>
      <c r="C9282">
        <v>810</v>
      </c>
      <c r="D9282" t="s">
        <v>194</v>
      </c>
      <c r="E9282">
        <v>2667</v>
      </c>
      <c r="F9282" s="3">
        <v>1.6000000000000001E-3</v>
      </c>
      <c r="G9282" s="3">
        <v>0.91339999999999999</v>
      </c>
      <c r="H9282" s="3">
        <v>1.6000000000000001E-3</v>
      </c>
      <c r="I9282" s="3">
        <v>6.9999999999999999E-4</v>
      </c>
      <c r="J9282" s="3">
        <v>1.6999999999999999E-3</v>
      </c>
      <c r="K9282" s="3">
        <v>8.9999999999999998E-4</v>
      </c>
      <c r="L9282" s="3">
        <v>7.6600000000000001E-2</v>
      </c>
      <c r="M9282" s="3">
        <v>3.7000000000000002E-3</v>
      </c>
      <c r="N9282" s="3">
        <v>2.0000000000000001E-4</v>
      </c>
    </row>
    <row r="9283" spans="1:18">
      <c r="A9283" t="s">
        <v>199</v>
      </c>
      <c r="B9283" t="s">
        <v>219</v>
      </c>
      <c r="C9283">
        <v>450</v>
      </c>
      <c r="D9283" t="s">
        <v>194</v>
      </c>
      <c r="E9283">
        <v>2667</v>
      </c>
      <c r="F9283" s="3">
        <v>4.3E-3</v>
      </c>
      <c r="G9283" s="3">
        <v>0.90749999999999997</v>
      </c>
      <c r="H9283" s="3">
        <v>2.0999999999999999E-3</v>
      </c>
      <c r="I9283" s="3">
        <v>2.8E-3</v>
      </c>
      <c r="J9283" s="3">
        <v>6.9999999999999999E-4</v>
      </c>
      <c r="L9283" s="3">
        <v>6.4299999999999996E-2</v>
      </c>
      <c r="M9283" s="3">
        <v>1.5699999999999999E-2</v>
      </c>
      <c r="N9283" s="3">
        <v>4.5999999999999999E-3</v>
      </c>
    </row>
    <row r="9284" spans="1:18">
      <c r="A9284" t="s">
        <v>199</v>
      </c>
      <c r="B9284" t="s">
        <v>220</v>
      </c>
      <c r="C9284">
        <v>222</v>
      </c>
      <c r="D9284" t="s">
        <v>194</v>
      </c>
      <c r="E9284">
        <v>2667</v>
      </c>
      <c r="F9284" s="3">
        <v>2.5399999999999999E-2</v>
      </c>
      <c r="G9284" s="3">
        <v>0.9143</v>
      </c>
      <c r="H9284" s="3">
        <v>8.8000000000000005E-3</v>
      </c>
      <c r="J9284" s="3">
        <v>5.7999999999999996E-3</v>
      </c>
      <c r="K9284" s="3">
        <v>4.1999999999999997E-3</v>
      </c>
      <c r="L9284" s="3">
        <v>2.58E-2</v>
      </c>
      <c r="M9284" s="3">
        <v>1.5699999999999999E-2</v>
      </c>
    </row>
    <row r="9285" spans="1:18">
      <c r="A9285" t="s">
        <v>200</v>
      </c>
      <c r="B9285" t="s">
        <v>200</v>
      </c>
      <c r="C9285">
        <v>2667</v>
      </c>
      <c r="D9285" t="s">
        <v>200</v>
      </c>
      <c r="E9285">
        <v>2667</v>
      </c>
      <c r="F9285" s="3">
        <v>3.7000000000000002E-3</v>
      </c>
      <c r="G9285" s="3">
        <v>0.69620000000000004</v>
      </c>
      <c r="H9285" s="3">
        <v>4.8999999999999998E-3</v>
      </c>
      <c r="I9285" s="3">
        <v>8.0000000000000004E-4</v>
      </c>
      <c r="J9285" s="3">
        <v>5.1999999999999998E-3</v>
      </c>
      <c r="K9285" s="3">
        <v>3.0000000000000001E-3</v>
      </c>
      <c r="L9285" s="3">
        <v>0.28470000000000001</v>
      </c>
      <c r="M9285" s="3">
        <v>7.4000000000000003E-3</v>
      </c>
      <c r="N9285" s="3">
        <v>3.0000000000000001E-3</v>
      </c>
    </row>
    <row r="9287" spans="1:18" ht="30">
      <c r="A9287" s="22" t="s">
        <v>1840</v>
      </c>
    </row>
    <row r="9288" spans="1:18">
      <c r="A9288" t="s">
        <v>185</v>
      </c>
      <c r="B9288" t="s">
        <v>186</v>
      </c>
      <c r="C9288" t="s">
        <v>192</v>
      </c>
      <c r="D9288" t="s">
        <v>184</v>
      </c>
      <c r="E9288" t="s">
        <v>193</v>
      </c>
      <c r="F9288" t="s">
        <v>257</v>
      </c>
      <c r="G9288" t="s">
        <v>329</v>
      </c>
      <c r="H9288" t="s">
        <v>247</v>
      </c>
      <c r="I9288" t="s">
        <v>1841</v>
      </c>
      <c r="J9288" t="s">
        <v>1842</v>
      </c>
      <c r="K9288" t="s">
        <v>1843</v>
      </c>
      <c r="L9288" t="s">
        <v>1844</v>
      </c>
      <c r="M9288" t="s">
        <v>1845</v>
      </c>
      <c r="N9288" t="s">
        <v>1846</v>
      </c>
      <c r="O9288" t="s">
        <v>1847</v>
      </c>
      <c r="P9288" t="s">
        <v>1848</v>
      </c>
      <c r="Q9288" t="s">
        <v>1849</v>
      </c>
      <c r="R9288" t="s">
        <v>1850</v>
      </c>
    </row>
    <row r="9289" spans="1:18">
      <c r="A9289" t="s">
        <v>195</v>
      </c>
      <c r="B9289" t="s">
        <v>222</v>
      </c>
      <c r="C9289">
        <v>248</v>
      </c>
      <c r="D9289" t="s">
        <v>194</v>
      </c>
      <c r="E9289">
        <v>2677</v>
      </c>
      <c r="F9289" s="3">
        <v>1.7600000000000001E-2</v>
      </c>
      <c r="G9289" s="3">
        <v>0.70860000000000001</v>
      </c>
      <c r="H9289" s="3">
        <v>1.24E-2</v>
      </c>
      <c r="I9289" s="3">
        <v>3.8199999999999998E-2</v>
      </c>
      <c r="J9289" s="3">
        <v>2.0899999999999998E-2</v>
      </c>
      <c r="K9289" s="3">
        <v>4.7100000000000003E-2</v>
      </c>
      <c r="L9289" s="3">
        <v>6.8699999999999997E-2</v>
      </c>
      <c r="M9289" s="3">
        <v>9.8699999999999996E-2</v>
      </c>
      <c r="N9289" s="3">
        <v>1.89E-2</v>
      </c>
      <c r="O9289" s="3">
        <v>1.55E-2</v>
      </c>
      <c r="P9289" s="3">
        <v>4.0000000000000002E-4</v>
      </c>
      <c r="Q9289" s="3">
        <v>3.04E-2</v>
      </c>
      <c r="R9289" s="3">
        <v>3.2000000000000001E-2</v>
      </c>
    </row>
    <row r="9290" spans="1:18">
      <c r="A9290" t="s">
        <v>195</v>
      </c>
      <c r="B9290" t="s">
        <v>224</v>
      </c>
      <c r="C9290">
        <v>941</v>
      </c>
      <c r="D9290" t="s">
        <v>194</v>
      </c>
      <c r="E9290">
        <v>2677</v>
      </c>
      <c r="F9290" s="3">
        <v>1.4200000000000001E-2</v>
      </c>
      <c r="G9290" s="3">
        <v>0.72189999999999999</v>
      </c>
      <c r="H9290" s="3">
        <v>5.5999999999999999E-3</v>
      </c>
      <c r="I9290" s="3">
        <v>9.7999999999999997E-3</v>
      </c>
      <c r="J9290" s="3">
        <v>8.8999999999999999E-3</v>
      </c>
      <c r="K9290" s="3">
        <v>3.44E-2</v>
      </c>
      <c r="L9290" s="3">
        <v>7.7600000000000002E-2</v>
      </c>
      <c r="M9290" s="3">
        <v>0.1086</v>
      </c>
      <c r="N9290" s="3">
        <v>3.1399999999999997E-2</v>
      </c>
      <c r="O9290" s="3">
        <v>3.1399999999999997E-2</v>
      </c>
      <c r="P9290" s="3">
        <v>1.01E-2</v>
      </c>
      <c r="Q9290" s="3">
        <v>6.3100000000000003E-2</v>
      </c>
      <c r="R9290" s="3">
        <v>6.6E-3</v>
      </c>
    </row>
    <row r="9291" spans="1:18">
      <c r="A9291" t="s">
        <v>199</v>
      </c>
      <c r="B9291" t="s">
        <v>222</v>
      </c>
      <c r="C9291">
        <v>390</v>
      </c>
      <c r="D9291" t="s">
        <v>194</v>
      </c>
      <c r="E9291">
        <v>2677</v>
      </c>
      <c r="F9291" s="3">
        <v>1.84E-2</v>
      </c>
      <c r="G9291" s="3">
        <v>0.85899999999999999</v>
      </c>
      <c r="H9291" s="3">
        <v>6.6E-3</v>
      </c>
      <c r="I9291" s="3">
        <v>5.2999999999999999E-2</v>
      </c>
      <c r="J9291" s="3">
        <v>5.9999999999999995E-4</v>
      </c>
      <c r="K9291" s="3">
        <v>1.9300000000000001E-2</v>
      </c>
      <c r="L9291" s="3">
        <v>3.0999999999999999E-3</v>
      </c>
      <c r="M9291" s="3">
        <v>8.0999999999999996E-3</v>
      </c>
      <c r="N9291" s="3">
        <v>1.49E-2</v>
      </c>
      <c r="O9291" s="3">
        <v>1.24E-2</v>
      </c>
      <c r="P9291" s="3">
        <v>1.6E-2</v>
      </c>
      <c r="Q9291" s="3">
        <v>2.5000000000000001E-2</v>
      </c>
      <c r="R9291" s="3">
        <v>2.7000000000000001E-3</v>
      </c>
    </row>
    <row r="9292" spans="1:18">
      <c r="A9292" t="s">
        <v>199</v>
      </c>
      <c r="B9292" t="s">
        <v>224</v>
      </c>
      <c r="C9292">
        <v>1098</v>
      </c>
      <c r="D9292" t="s">
        <v>194</v>
      </c>
      <c r="E9292">
        <v>2677</v>
      </c>
      <c r="F9292" s="3">
        <v>1.5800000000000002E-2</v>
      </c>
      <c r="G9292" s="3">
        <v>0.87419999999999998</v>
      </c>
      <c r="H9292" s="3">
        <v>1.5699999999999999E-2</v>
      </c>
      <c r="I9292" s="3">
        <v>2.12E-2</v>
      </c>
      <c r="K9292" s="3">
        <v>1.7399999999999999E-2</v>
      </c>
      <c r="L9292" s="3">
        <v>4.0000000000000002E-4</v>
      </c>
      <c r="M9292" s="3">
        <v>1.34E-2</v>
      </c>
      <c r="N9292" s="3">
        <v>1.15E-2</v>
      </c>
      <c r="O9292" s="3">
        <v>2.7000000000000001E-3</v>
      </c>
      <c r="P9292" s="3">
        <v>1.4E-3</v>
      </c>
      <c r="Q9292" s="3">
        <v>2.8400000000000002E-2</v>
      </c>
      <c r="R9292" s="3">
        <v>1.4500000000000001E-2</v>
      </c>
    </row>
    <row r="9293" spans="1:18">
      <c r="A9293" t="s">
        <v>200</v>
      </c>
      <c r="B9293" t="s">
        <v>200</v>
      </c>
      <c r="C9293">
        <v>2677</v>
      </c>
      <c r="D9293" t="s">
        <v>200</v>
      </c>
      <c r="E9293">
        <v>2677</v>
      </c>
      <c r="F9293" s="3">
        <v>1.5900000000000001E-2</v>
      </c>
      <c r="G9293" s="3">
        <v>0.80259999999999998</v>
      </c>
      <c r="H9293" s="3">
        <v>1.04E-2</v>
      </c>
      <c r="I9293" s="3">
        <v>2.46E-2</v>
      </c>
      <c r="J9293" s="3">
        <v>5.4000000000000003E-3</v>
      </c>
      <c r="K9293" s="3">
        <v>2.6599999999999999E-2</v>
      </c>
      <c r="L9293" s="3">
        <v>3.4200000000000001E-2</v>
      </c>
      <c r="M9293" s="3">
        <v>5.3800000000000001E-2</v>
      </c>
      <c r="N9293" s="3">
        <v>1.9599999999999999E-2</v>
      </c>
      <c r="O9293" s="3">
        <v>1.54E-2</v>
      </c>
      <c r="P9293" s="3">
        <v>6.7000000000000002E-3</v>
      </c>
      <c r="Q9293" s="3">
        <v>3.9800000000000002E-2</v>
      </c>
      <c r="R9293" s="3">
        <v>1.17E-2</v>
      </c>
    </row>
    <row r="9295" spans="1:18" ht="30">
      <c r="A9295" s="22" t="s">
        <v>1851</v>
      </c>
    </row>
    <row r="9296" spans="1:18">
      <c r="A9296" t="s">
        <v>185</v>
      </c>
      <c r="B9296" t="s">
        <v>186</v>
      </c>
      <c r="C9296" t="s">
        <v>192</v>
      </c>
      <c r="D9296" t="s">
        <v>184</v>
      </c>
      <c r="E9296" t="s">
        <v>193</v>
      </c>
      <c r="F9296" t="s">
        <v>257</v>
      </c>
      <c r="G9296" t="s">
        <v>329</v>
      </c>
      <c r="H9296" t="s">
        <v>247</v>
      </c>
      <c r="I9296" t="s">
        <v>1841</v>
      </c>
      <c r="J9296" t="s">
        <v>1842</v>
      </c>
      <c r="K9296" t="s">
        <v>1843</v>
      </c>
      <c r="L9296" t="s">
        <v>1844</v>
      </c>
      <c r="M9296" t="s">
        <v>1845</v>
      </c>
      <c r="N9296" t="s">
        <v>1846</v>
      </c>
      <c r="O9296" t="s">
        <v>1847</v>
      </c>
      <c r="P9296" t="s">
        <v>1848</v>
      </c>
      <c r="Q9296" t="s">
        <v>1849</v>
      </c>
      <c r="R9296" t="s">
        <v>1850</v>
      </c>
    </row>
    <row r="9297" spans="1:18">
      <c r="A9297" t="s">
        <v>195</v>
      </c>
      <c r="B9297" t="s">
        <v>229</v>
      </c>
      <c r="C9297">
        <v>130</v>
      </c>
      <c r="D9297" t="s">
        <v>194</v>
      </c>
      <c r="E9297">
        <v>2677</v>
      </c>
      <c r="G9297" s="3">
        <v>0.7611</v>
      </c>
      <c r="I9297" s="3">
        <v>2.18E-2</v>
      </c>
      <c r="J9297" s="3">
        <v>8.3999999999999995E-3</v>
      </c>
      <c r="K9297" s="3">
        <v>3.44E-2</v>
      </c>
      <c r="L9297" s="3">
        <v>8.3099999999999993E-2</v>
      </c>
      <c r="M9297" s="3">
        <v>7.1800000000000003E-2</v>
      </c>
      <c r="N9297" s="3">
        <v>2.8500000000000001E-2</v>
      </c>
      <c r="O9297" s="3">
        <v>1.72E-2</v>
      </c>
      <c r="P9297" s="3">
        <v>1.18E-2</v>
      </c>
      <c r="Q9297" s="3">
        <v>4.7000000000000002E-3</v>
      </c>
    </row>
    <row r="9298" spans="1:18">
      <c r="A9298" t="s">
        <v>195</v>
      </c>
      <c r="B9298" t="s">
        <v>230</v>
      </c>
      <c r="C9298">
        <v>486</v>
      </c>
      <c r="D9298" t="s">
        <v>194</v>
      </c>
      <c r="E9298">
        <v>2677</v>
      </c>
      <c r="F9298" s="3">
        <v>9.1999999999999998E-3</v>
      </c>
      <c r="G9298" s="3">
        <v>0.74460000000000004</v>
      </c>
      <c r="H9298" s="3">
        <v>5.4999999999999997E-3</v>
      </c>
      <c r="I9298" s="3">
        <v>1.2500000000000001E-2</v>
      </c>
      <c r="J9298" s="3">
        <v>1.29E-2</v>
      </c>
      <c r="K9298" s="3">
        <v>3.2199999999999999E-2</v>
      </c>
      <c r="L9298" s="3">
        <v>8.3099999999999993E-2</v>
      </c>
      <c r="M9298" s="3">
        <v>9.9599999999999994E-2</v>
      </c>
      <c r="N9298" s="3">
        <v>1.6500000000000001E-2</v>
      </c>
      <c r="O9298" s="3">
        <v>2.24E-2</v>
      </c>
      <c r="P9298" s="3">
        <v>4.5999999999999999E-3</v>
      </c>
      <c r="Q9298" s="3">
        <v>6.6000000000000003E-2</v>
      </c>
      <c r="R9298" s="3">
        <v>2.23E-2</v>
      </c>
    </row>
    <row r="9299" spans="1:18">
      <c r="A9299" t="s">
        <v>195</v>
      </c>
      <c r="B9299" t="s">
        <v>231</v>
      </c>
      <c r="C9299">
        <v>305</v>
      </c>
      <c r="D9299" t="s">
        <v>194</v>
      </c>
      <c r="E9299">
        <v>2677</v>
      </c>
      <c r="F9299" s="3">
        <v>5.5999999999999999E-3</v>
      </c>
      <c r="G9299" s="3">
        <v>0.6774</v>
      </c>
      <c r="H9299" s="3">
        <v>1.2E-2</v>
      </c>
      <c r="I9299" s="3">
        <v>2.5499999999999998E-2</v>
      </c>
      <c r="J9299" s="3">
        <v>1.09E-2</v>
      </c>
      <c r="K9299" s="3">
        <v>4.7800000000000002E-2</v>
      </c>
      <c r="L9299" s="3">
        <v>0.10290000000000001</v>
      </c>
      <c r="M9299" s="3">
        <v>0.13289999999999999</v>
      </c>
      <c r="N9299" s="3">
        <v>4.4900000000000002E-2</v>
      </c>
      <c r="O9299" s="3">
        <v>5.6300000000000003E-2</v>
      </c>
      <c r="P9299" s="3">
        <v>4.0000000000000002E-4</v>
      </c>
      <c r="Q9299" s="3">
        <v>7.3700000000000002E-2</v>
      </c>
      <c r="R9299" s="3">
        <v>1.2500000000000001E-2</v>
      </c>
    </row>
    <row r="9300" spans="1:18">
      <c r="A9300" t="s">
        <v>195</v>
      </c>
      <c r="B9300" t="s">
        <v>232</v>
      </c>
      <c r="C9300">
        <v>268</v>
      </c>
      <c r="D9300" t="s">
        <v>194</v>
      </c>
      <c r="E9300">
        <v>2677</v>
      </c>
      <c r="F9300" s="3">
        <v>4.6899999999999997E-2</v>
      </c>
      <c r="G9300" s="3">
        <v>0.68799999999999994</v>
      </c>
      <c r="H9300" s="3">
        <v>1.03E-2</v>
      </c>
      <c r="I9300" s="3">
        <v>1.04E-2</v>
      </c>
      <c r="J9300" s="3">
        <v>1.3299999999999999E-2</v>
      </c>
      <c r="K9300" s="3">
        <v>3.7499999999999999E-2</v>
      </c>
      <c r="L9300" s="3">
        <v>2.4899999999999999E-2</v>
      </c>
      <c r="M9300" s="3">
        <v>0.1123</v>
      </c>
      <c r="N9300" s="3">
        <v>3.15E-2</v>
      </c>
      <c r="O9300" s="3">
        <v>1.17E-2</v>
      </c>
      <c r="P9300" s="3">
        <v>1.9300000000000001E-2</v>
      </c>
      <c r="Q9300" s="3">
        <v>4.99E-2</v>
      </c>
      <c r="R9300" s="3">
        <v>4.1999999999999997E-3</v>
      </c>
    </row>
    <row r="9301" spans="1:18">
      <c r="A9301" t="s">
        <v>199</v>
      </c>
      <c r="B9301" t="s">
        <v>229</v>
      </c>
      <c r="C9301">
        <v>150</v>
      </c>
      <c r="D9301" t="s">
        <v>194</v>
      </c>
      <c r="E9301">
        <v>2677</v>
      </c>
      <c r="F9301" s="3">
        <v>5.0200000000000002E-2</v>
      </c>
      <c r="G9301" s="3">
        <v>0.87739999999999996</v>
      </c>
      <c r="I9301" s="3">
        <v>1.6E-2</v>
      </c>
      <c r="K9301" s="3">
        <v>1.2800000000000001E-2</v>
      </c>
      <c r="M9301" s="3">
        <v>1E-3</v>
      </c>
      <c r="N9301" s="3">
        <v>1.6999999999999999E-3</v>
      </c>
      <c r="O9301" s="3">
        <v>2.3999999999999998E-3</v>
      </c>
      <c r="P9301" s="3">
        <v>2.3999999999999998E-3</v>
      </c>
      <c r="Q9301" s="3">
        <v>1.35E-2</v>
      </c>
      <c r="R9301" s="3">
        <v>2.7400000000000001E-2</v>
      </c>
    </row>
    <row r="9302" spans="1:18">
      <c r="A9302" t="s">
        <v>199</v>
      </c>
      <c r="B9302" t="s">
        <v>230</v>
      </c>
      <c r="C9302">
        <v>701</v>
      </c>
      <c r="D9302" t="s">
        <v>194</v>
      </c>
      <c r="E9302">
        <v>2677</v>
      </c>
      <c r="F9302" s="3">
        <v>1.03E-2</v>
      </c>
      <c r="G9302" s="3">
        <v>0.85340000000000005</v>
      </c>
      <c r="H9302" s="3">
        <v>2.29E-2</v>
      </c>
      <c r="I9302" s="3">
        <v>4.8800000000000003E-2</v>
      </c>
      <c r="J9302" s="3">
        <v>2.9999999999999997E-4</v>
      </c>
      <c r="K9302" s="3">
        <v>1.72E-2</v>
      </c>
      <c r="L9302" s="3">
        <v>2E-3</v>
      </c>
      <c r="M9302" s="3">
        <v>1.04E-2</v>
      </c>
      <c r="N9302" s="3">
        <v>1.2E-2</v>
      </c>
      <c r="O9302" s="3">
        <v>1.04E-2</v>
      </c>
      <c r="P9302" s="3">
        <v>1.0999999999999999E-2</v>
      </c>
      <c r="Q9302" s="3">
        <v>2.29E-2</v>
      </c>
      <c r="R9302" s="3">
        <v>1.01E-2</v>
      </c>
    </row>
    <row r="9303" spans="1:18">
      <c r="A9303" t="s">
        <v>199</v>
      </c>
      <c r="B9303" t="s">
        <v>231</v>
      </c>
      <c r="C9303">
        <v>397</v>
      </c>
      <c r="D9303" t="s">
        <v>194</v>
      </c>
      <c r="E9303">
        <v>2677</v>
      </c>
      <c r="F9303" s="3">
        <v>7.1999999999999998E-3</v>
      </c>
      <c r="G9303" s="3">
        <v>0.87890000000000001</v>
      </c>
      <c r="H9303" s="3">
        <v>2.5000000000000001E-3</v>
      </c>
      <c r="I9303" s="3">
        <v>2.6700000000000002E-2</v>
      </c>
      <c r="J9303" s="3">
        <v>4.0000000000000002E-4</v>
      </c>
      <c r="K9303" s="3">
        <v>2.9100000000000001E-2</v>
      </c>
      <c r="L9303" s="3">
        <v>1.5E-3</v>
      </c>
      <c r="M9303" s="3">
        <v>2.6700000000000002E-2</v>
      </c>
      <c r="N9303" s="3">
        <v>7.1999999999999998E-3</v>
      </c>
      <c r="O9303" s="3">
        <v>1.8E-3</v>
      </c>
      <c r="P9303" s="3">
        <v>1.5E-3</v>
      </c>
      <c r="Q9303" s="3">
        <v>0.04</v>
      </c>
      <c r="R9303" s="3">
        <v>6.7000000000000002E-3</v>
      </c>
    </row>
    <row r="9304" spans="1:18">
      <c r="A9304" t="s">
        <v>199</v>
      </c>
      <c r="B9304" t="s">
        <v>232</v>
      </c>
      <c r="C9304">
        <v>240</v>
      </c>
      <c r="D9304" t="s">
        <v>194</v>
      </c>
      <c r="E9304">
        <v>2677</v>
      </c>
      <c r="F9304" s="3">
        <v>8.6E-3</v>
      </c>
      <c r="G9304" s="3">
        <v>0.89590000000000003</v>
      </c>
      <c r="H9304" s="3">
        <v>1.0200000000000001E-2</v>
      </c>
      <c r="I9304" s="3">
        <v>1.9E-3</v>
      </c>
      <c r="K9304" s="3">
        <v>1.35E-2</v>
      </c>
      <c r="M9304" s="3">
        <v>1.0699999999999999E-2</v>
      </c>
      <c r="N9304" s="3">
        <v>3.15E-2</v>
      </c>
      <c r="Q9304" s="3">
        <v>4.07E-2</v>
      </c>
      <c r="R9304" s="3">
        <v>1E-4</v>
      </c>
    </row>
    <row r="9305" spans="1:18">
      <c r="A9305" t="s">
        <v>200</v>
      </c>
      <c r="B9305" t="s">
        <v>200</v>
      </c>
      <c r="C9305">
        <v>2677</v>
      </c>
      <c r="D9305" t="s">
        <v>200</v>
      </c>
      <c r="E9305">
        <v>2677</v>
      </c>
      <c r="F9305" s="3">
        <v>1.5900000000000001E-2</v>
      </c>
      <c r="G9305" s="3">
        <v>0.80259999999999998</v>
      </c>
      <c r="H9305" s="3">
        <v>1.04E-2</v>
      </c>
      <c r="I9305" s="3">
        <v>2.46E-2</v>
      </c>
      <c r="J9305" s="3">
        <v>5.4000000000000003E-3</v>
      </c>
      <c r="K9305" s="3">
        <v>2.6599999999999999E-2</v>
      </c>
      <c r="L9305" s="3">
        <v>3.4200000000000001E-2</v>
      </c>
      <c r="M9305" s="3">
        <v>5.3800000000000001E-2</v>
      </c>
      <c r="N9305" s="3">
        <v>1.9599999999999999E-2</v>
      </c>
      <c r="O9305" s="3">
        <v>1.54E-2</v>
      </c>
      <c r="P9305" s="3">
        <v>6.7000000000000002E-3</v>
      </c>
      <c r="Q9305" s="3">
        <v>3.9800000000000002E-2</v>
      </c>
      <c r="R9305" s="3">
        <v>1.17E-2</v>
      </c>
    </row>
    <row r="9307" spans="1:18" ht="30">
      <c r="A9307" s="22" t="s">
        <v>1852</v>
      </c>
    </row>
    <row r="9308" spans="1:18">
      <c r="A9308" t="s">
        <v>185</v>
      </c>
      <c r="B9308" t="s">
        <v>186</v>
      </c>
      <c r="C9308" t="s">
        <v>192</v>
      </c>
      <c r="D9308" t="s">
        <v>184</v>
      </c>
      <c r="E9308" t="s">
        <v>193</v>
      </c>
      <c r="F9308" t="s">
        <v>257</v>
      </c>
      <c r="G9308" t="s">
        <v>329</v>
      </c>
      <c r="H9308" t="s">
        <v>247</v>
      </c>
      <c r="I9308" t="s">
        <v>1841</v>
      </c>
      <c r="J9308" t="s">
        <v>1842</v>
      </c>
      <c r="K9308" t="s">
        <v>1843</v>
      </c>
      <c r="L9308" t="s">
        <v>1844</v>
      </c>
      <c r="M9308" t="s">
        <v>1845</v>
      </c>
      <c r="N9308" t="s">
        <v>1846</v>
      </c>
      <c r="O9308" t="s">
        <v>1847</v>
      </c>
      <c r="P9308" t="s">
        <v>1848</v>
      </c>
      <c r="Q9308" t="s">
        <v>1849</v>
      </c>
      <c r="R9308" t="s">
        <v>1850</v>
      </c>
    </row>
    <row r="9309" spans="1:18">
      <c r="A9309" t="s">
        <v>195</v>
      </c>
      <c r="B9309" t="s">
        <v>196</v>
      </c>
      <c r="C9309">
        <v>413</v>
      </c>
      <c r="D9309" t="s">
        <v>194</v>
      </c>
      <c r="E9309">
        <v>2677</v>
      </c>
      <c r="F9309" s="3">
        <v>1.5800000000000002E-2</v>
      </c>
      <c r="G9309" s="3">
        <v>0.72260000000000002</v>
      </c>
      <c r="H9309" s="3">
        <v>8.3000000000000001E-3</v>
      </c>
      <c r="I9309" s="3">
        <v>2.35E-2</v>
      </c>
      <c r="J9309" s="3">
        <v>9.2999999999999992E-3</v>
      </c>
      <c r="K9309" s="3">
        <v>5.6300000000000003E-2</v>
      </c>
      <c r="L9309" s="3">
        <v>5.21E-2</v>
      </c>
      <c r="M9309" s="3">
        <v>0.10009999999999999</v>
      </c>
      <c r="N9309" s="3">
        <v>4.7899999999999998E-2</v>
      </c>
      <c r="O9309" s="3">
        <v>3.09E-2</v>
      </c>
      <c r="P9309" s="3">
        <v>2.2499999999999999E-2</v>
      </c>
      <c r="Q9309" s="3">
        <v>7.8399999999999997E-2</v>
      </c>
      <c r="R9309" s="3">
        <v>3.5999999999999999E-3</v>
      </c>
    </row>
    <row r="9310" spans="1:18">
      <c r="A9310" t="s">
        <v>195</v>
      </c>
      <c r="B9310" t="s">
        <v>198</v>
      </c>
      <c r="C9310">
        <v>755</v>
      </c>
      <c r="D9310" t="s">
        <v>194</v>
      </c>
      <c r="E9310">
        <v>2677</v>
      </c>
      <c r="F9310" s="3">
        <v>1.4800000000000001E-2</v>
      </c>
      <c r="G9310" s="3">
        <v>0.71609999999999996</v>
      </c>
      <c r="H9310" s="3">
        <v>7.0000000000000001E-3</v>
      </c>
      <c r="I9310" s="3">
        <v>1.4200000000000001E-2</v>
      </c>
      <c r="J9310" s="3">
        <v>1.2800000000000001E-2</v>
      </c>
      <c r="K9310" s="3">
        <v>3.0800000000000001E-2</v>
      </c>
      <c r="L9310" s="3">
        <v>8.4500000000000006E-2</v>
      </c>
      <c r="M9310" s="3">
        <v>0.10920000000000001</v>
      </c>
      <c r="N9310" s="3">
        <v>2.1399999999999999E-2</v>
      </c>
      <c r="O9310" s="3">
        <v>2.6499999999999999E-2</v>
      </c>
      <c r="P9310" s="3">
        <v>2.3E-3</v>
      </c>
      <c r="Q9310" s="3">
        <v>4.7E-2</v>
      </c>
      <c r="R9310" s="3">
        <v>1.5800000000000002E-2</v>
      </c>
    </row>
    <row r="9311" spans="1:18">
      <c r="A9311" t="s">
        <v>199</v>
      </c>
      <c r="B9311" t="s">
        <v>196</v>
      </c>
      <c r="C9311">
        <v>525</v>
      </c>
      <c r="D9311" t="s">
        <v>194</v>
      </c>
      <c r="E9311">
        <v>2677</v>
      </c>
      <c r="F9311" s="3">
        <v>1.01E-2</v>
      </c>
      <c r="G9311" s="3">
        <v>0.87909999999999999</v>
      </c>
      <c r="H9311" s="3">
        <v>5.7999999999999996E-3</v>
      </c>
      <c r="I9311" s="3">
        <v>1.5299999999999999E-2</v>
      </c>
      <c r="J9311" s="3">
        <v>4.0000000000000002E-4</v>
      </c>
      <c r="K9311" s="3">
        <v>1.77E-2</v>
      </c>
      <c r="L9311" s="3">
        <v>6.9999999999999999E-4</v>
      </c>
      <c r="M9311" s="3">
        <v>1.83E-2</v>
      </c>
      <c r="N9311" s="3">
        <v>1.66E-2</v>
      </c>
      <c r="O9311" s="3">
        <v>4.4999999999999997E-3</v>
      </c>
      <c r="P9311" s="3">
        <v>6.9999999999999999E-4</v>
      </c>
      <c r="Q9311" s="3">
        <v>3.7600000000000001E-2</v>
      </c>
      <c r="R9311" s="3">
        <v>9.9000000000000008E-3</v>
      </c>
    </row>
    <row r="9312" spans="1:18">
      <c r="A9312" t="s">
        <v>199</v>
      </c>
      <c r="B9312" t="s">
        <v>198</v>
      </c>
      <c r="C9312">
        <v>945</v>
      </c>
      <c r="D9312" t="s">
        <v>194</v>
      </c>
      <c r="E9312">
        <v>2677</v>
      </c>
      <c r="F9312" s="3">
        <v>1.8100000000000002E-2</v>
      </c>
      <c r="G9312" s="3">
        <v>0.86709999999999998</v>
      </c>
      <c r="H9312" s="3">
        <v>1.4500000000000001E-2</v>
      </c>
      <c r="I9312" s="3">
        <v>3.4599999999999999E-2</v>
      </c>
      <c r="J9312" s="3">
        <v>2.0000000000000001E-4</v>
      </c>
      <c r="K9312" s="3">
        <v>1.8100000000000002E-2</v>
      </c>
      <c r="L9312" s="3">
        <v>1.2999999999999999E-3</v>
      </c>
      <c r="M9312" s="3">
        <v>1.03E-2</v>
      </c>
      <c r="N9312" s="3">
        <v>1.1599999999999999E-2</v>
      </c>
      <c r="O9312" s="3">
        <v>5.8999999999999999E-3</v>
      </c>
      <c r="P9312" s="3">
        <v>7.0000000000000001E-3</v>
      </c>
      <c r="Q9312" s="3">
        <v>2.5100000000000001E-2</v>
      </c>
      <c r="R9312" s="3">
        <v>1.11E-2</v>
      </c>
    </row>
    <row r="9313" spans="1:18">
      <c r="A9313" t="s">
        <v>200</v>
      </c>
      <c r="B9313" t="s">
        <v>200</v>
      </c>
      <c r="C9313">
        <v>2677</v>
      </c>
      <c r="D9313" t="s">
        <v>200</v>
      </c>
      <c r="E9313">
        <v>2677</v>
      </c>
      <c r="F9313" s="3">
        <v>1.5900000000000001E-2</v>
      </c>
      <c r="G9313" s="3">
        <v>0.80259999999999998</v>
      </c>
      <c r="H9313" s="3">
        <v>1.04E-2</v>
      </c>
      <c r="I9313" s="3">
        <v>2.46E-2</v>
      </c>
      <c r="J9313" s="3">
        <v>5.4000000000000003E-3</v>
      </c>
      <c r="K9313" s="3">
        <v>2.6599999999999999E-2</v>
      </c>
      <c r="L9313" s="3">
        <v>3.4200000000000001E-2</v>
      </c>
      <c r="M9313" s="3">
        <v>5.3800000000000001E-2</v>
      </c>
      <c r="N9313" s="3">
        <v>1.9599999999999999E-2</v>
      </c>
      <c r="O9313" s="3">
        <v>1.54E-2</v>
      </c>
      <c r="P9313" s="3">
        <v>6.7000000000000002E-3</v>
      </c>
      <c r="Q9313" s="3">
        <v>3.9800000000000002E-2</v>
      </c>
      <c r="R9313" s="3">
        <v>1.17E-2</v>
      </c>
    </row>
    <row r="9315" spans="1:18" ht="45">
      <c r="A9315" s="22" t="s">
        <v>1853</v>
      </c>
    </row>
    <row r="9316" spans="1:18">
      <c r="A9316" t="s">
        <v>185</v>
      </c>
      <c r="B9316" t="s">
        <v>186</v>
      </c>
      <c r="C9316" t="s">
        <v>192</v>
      </c>
      <c r="D9316" t="s">
        <v>184</v>
      </c>
      <c r="E9316" t="s">
        <v>193</v>
      </c>
      <c r="F9316" t="s">
        <v>257</v>
      </c>
      <c r="G9316" t="s">
        <v>329</v>
      </c>
      <c r="H9316" t="s">
        <v>247</v>
      </c>
      <c r="I9316" t="s">
        <v>1841</v>
      </c>
      <c r="J9316" t="s">
        <v>1842</v>
      </c>
      <c r="K9316" t="s">
        <v>1843</v>
      </c>
      <c r="L9316" t="s">
        <v>1844</v>
      </c>
      <c r="M9316" t="s">
        <v>1845</v>
      </c>
      <c r="N9316" t="s">
        <v>1846</v>
      </c>
      <c r="O9316" t="s">
        <v>1847</v>
      </c>
      <c r="P9316" t="s">
        <v>1848</v>
      </c>
      <c r="Q9316" t="s">
        <v>1849</v>
      </c>
      <c r="R9316" t="s">
        <v>1850</v>
      </c>
    </row>
    <row r="9317" spans="1:18">
      <c r="A9317" t="s">
        <v>195</v>
      </c>
      <c r="B9317" t="s">
        <v>202</v>
      </c>
      <c r="C9317">
        <v>533</v>
      </c>
      <c r="D9317" t="s">
        <v>194</v>
      </c>
      <c r="E9317">
        <v>2677</v>
      </c>
      <c r="F9317" s="3">
        <v>1.8800000000000001E-2</v>
      </c>
      <c r="G9317" s="3">
        <v>0.71899999999999997</v>
      </c>
      <c r="H9317" s="3">
        <v>9.2999999999999992E-3</v>
      </c>
      <c r="I9317" s="3">
        <v>2.2100000000000002E-2</v>
      </c>
      <c r="J9317" s="3">
        <v>1.4200000000000001E-2</v>
      </c>
      <c r="K9317" s="3">
        <v>4.2299999999999997E-2</v>
      </c>
      <c r="L9317" s="3">
        <v>5.9799999999999999E-2</v>
      </c>
      <c r="M9317" s="3">
        <v>0.1135</v>
      </c>
      <c r="N9317" s="3">
        <v>2.76E-2</v>
      </c>
      <c r="O9317" s="3">
        <v>3.1E-2</v>
      </c>
      <c r="P9317" s="3">
        <v>8.3000000000000001E-3</v>
      </c>
      <c r="Q9317" s="3">
        <v>4.8899999999999999E-2</v>
      </c>
      <c r="R9317" s="3">
        <v>1.34E-2</v>
      </c>
    </row>
    <row r="9318" spans="1:18">
      <c r="A9318" t="s">
        <v>195</v>
      </c>
      <c r="B9318" t="s">
        <v>204</v>
      </c>
      <c r="C9318">
        <v>301</v>
      </c>
      <c r="D9318" t="s">
        <v>194</v>
      </c>
      <c r="E9318">
        <v>2677</v>
      </c>
      <c r="F9318" s="3">
        <v>1.06E-2</v>
      </c>
      <c r="G9318" s="3">
        <v>0.64590000000000003</v>
      </c>
      <c r="H9318" s="3">
        <v>5.4999999999999997E-3</v>
      </c>
      <c r="I9318" s="3">
        <v>4.7999999999999996E-3</v>
      </c>
      <c r="J9318" s="3">
        <v>4.8999999999999998E-3</v>
      </c>
      <c r="K9318" s="3">
        <v>2.5999999999999999E-2</v>
      </c>
      <c r="L9318" s="3">
        <v>0.1502</v>
      </c>
      <c r="M9318" s="3">
        <v>0.10009999999999999</v>
      </c>
      <c r="N9318" s="3">
        <v>2.2700000000000001E-2</v>
      </c>
      <c r="O9318" s="3">
        <v>3.3799999999999997E-2</v>
      </c>
      <c r="P9318" s="3">
        <v>1.0200000000000001E-2</v>
      </c>
      <c r="Q9318" s="3">
        <v>8.2699999999999996E-2</v>
      </c>
      <c r="R9318" s="3">
        <v>1.49E-2</v>
      </c>
    </row>
    <row r="9319" spans="1:18">
      <c r="A9319" t="s">
        <v>195</v>
      </c>
      <c r="B9319" t="s">
        <v>205</v>
      </c>
      <c r="C9319">
        <v>334</v>
      </c>
      <c r="D9319" t="s">
        <v>194</v>
      </c>
      <c r="E9319">
        <v>2677</v>
      </c>
      <c r="F9319" s="3">
        <v>4.3E-3</v>
      </c>
      <c r="G9319" s="3">
        <v>0.8256</v>
      </c>
      <c r="H9319" s="3">
        <v>5.0000000000000001E-4</v>
      </c>
      <c r="I9319" s="3">
        <v>9.4999999999999998E-3</v>
      </c>
      <c r="J9319" s="3">
        <v>1.1599999999999999E-2</v>
      </c>
      <c r="K9319" s="3">
        <v>3.3799999999999997E-2</v>
      </c>
      <c r="L9319" s="3">
        <v>3.5000000000000003E-2</v>
      </c>
      <c r="M9319" s="3">
        <v>8.5099999999999995E-2</v>
      </c>
      <c r="N9319" s="3">
        <v>4.2200000000000001E-2</v>
      </c>
      <c r="O9319" s="3">
        <v>2.3E-3</v>
      </c>
      <c r="P9319" s="3">
        <v>1.2999999999999999E-3</v>
      </c>
      <c r="Q9319" s="3">
        <v>4.36E-2</v>
      </c>
      <c r="R9319" s="3">
        <v>4.7000000000000002E-3</v>
      </c>
    </row>
    <row r="9320" spans="1:18">
      <c r="A9320" t="s">
        <v>199</v>
      </c>
      <c r="B9320" t="s">
        <v>202</v>
      </c>
      <c r="C9320">
        <v>538</v>
      </c>
      <c r="D9320" t="s">
        <v>194</v>
      </c>
      <c r="E9320">
        <v>2677</v>
      </c>
      <c r="F9320" s="3">
        <v>1.1299999999999999E-2</v>
      </c>
      <c r="G9320" s="3">
        <v>0.86429999999999996</v>
      </c>
      <c r="H9320" s="3">
        <v>1.9199999999999998E-2</v>
      </c>
      <c r="I9320" s="3">
        <v>3.6900000000000002E-2</v>
      </c>
      <c r="J9320" s="3">
        <v>1E-4</v>
      </c>
      <c r="K9320" s="3">
        <v>2.06E-2</v>
      </c>
      <c r="L9320" s="3">
        <v>1.5E-3</v>
      </c>
      <c r="M9320" s="3">
        <v>1.12E-2</v>
      </c>
      <c r="N9320" s="3">
        <v>1.2500000000000001E-2</v>
      </c>
      <c r="O9320" s="3">
        <v>6.6E-3</v>
      </c>
      <c r="P9320" s="3">
        <v>8.3999999999999995E-3</v>
      </c>
      <c r="Q9320" s="3">
        <v>2.3400000000000001E-2</v>
      </c>
      <c r="R9320" s="3">
        <v>9.5999999999999992E-3</v>
      </c>
    </row>
    <row r="9321" spans="1:18">
      <c r="A9321" t="s">
        <v>199</v>
      </c>
      <c r="B9321" t="s">
        <v>204</v>
      </c>
      <c r="C9321">
        <v>426</v>
      </c>
      <c r="D9321" t="s">
        <v>194</v>
      </c>
      <c r="E9321">
        <v>2677</v>
      </c>
      <c r="F9321" s="3">
        <v>1.17E-2</v>
      </c>
      <c r="G9321" s="3">
        <v>0.88729999999999998</v>
      </c>
      <c r="H9321" s="3">
        <v>3.3999999999999998E-3</v>
      </c>
      <c r="I9321" s="3">
        <v>1.6500000000000001E-2</v>
      </c>
      <c r="J9321" s="3">
        <v>5.9999999999999995E-4</v>
      </c>
      <c r="K9321" s="3">
        <v>8.8000000000000005E-3</v>
      </c>
      <c r="M9321" s="3">
        <v>7.9000000000000008E-3</v>
      </c>
      <c r="N9321" s="3">
        <v>1.1900000000000001E-2</v>
      </c>
      <c r="O9321" s="3">
        <v>5.9999999999999995E-4</v>
      </c>
      <c r="P9321" s="3">
        <v>1.4E-3</v>
      </c>
      <c r="Q9321" s="3">
        <v>3.3599999999999998E-2</v>
      </c>
      <c r="R9321" s="3">
        <v>2.35E-2</v>
      </c>
    </row>
    <row r="9322" spans="1:18">
      <c r="A9322" t="s">
        <v>199</v>
      </c>
      <c r="B9322" t="s">
        <v>205</v>
      </c>
      <c r="C9322">
        <v>506</v>
      </c>
      <c r="D9322" t="s">
        <v>194</v>
      </c>
      <c r="E9322">
        <v>2677</v>
      </c>
      <c r="F9322" s="3">
        <v>4.2000000000000003E-2</v>
      </c>
      <c r="G9322" s="3">
        <v>0.86799999999999999</v>
      </c>
      <c r="H9322" s="3">
        <v>1E-4</v>
      </c>
      <c r="I9322" s="3">
        <v>2.5399999999999999E-2</v>
      </c>
      <c r="K9322" s="3">
        <v>1.89E-2</v>
      </c>
      <c r="L9322" s="3">
        <v>1.5E-3</v>
      </c>
      <c r="M9322" s="3">
        <v>1.89E-2</v>
      </c>
      <c r="N9322" s="3">
        <v>1.3599999999999999E-2</v>
      </c>
      <c r="O9322" s="3">
        <v>7.7999999999999996E-3</v>
      </c>
      <c r="P9322" s="3">
        <v>1.5E-3</v>
      </c>
      <c r="Q9322" s="3">
        <v>3.5400000000000001E-2</v>
      </c>
      <c r="R9322" s="3">
        <v>1.5E-3</v>
      </c>
    </row>
    <row r="9323" spans="1:18">
      <c r="A9323" t="s">
        <v>200</v>
      </c>
      <c r="B9323" t="s">
        <v>200</v>
      </c>
      <c r="C9323">
        <v>2677</v>
      </c>
      <c r="D9323" t="s">
        <v>200</v>
      </c>
      <c r="E9323">
        <v>2677</v>
      </c>
      <c r="F9323" s="3">
        <v>1.5900000000000001E-2</v>
      </c>
      <c r="G9323" s="3">
        <v>0.80259999999999998</v>
      </c>
      <c r="H9323" s="3">
        <v>1.04E-2</v>
      </c>
      <c r="I9323" s="3">
        <v>2.46E-2</v>
      </c>
      <c r="J9323" s="3">
        <v>5.4000000000000003E-3</v>
      </c>
      <c r="K9323" s="3">
        <v>2.6599999999999999E-2</v>
      </c>
      <c r="L9323" s="3">
        <v>3.4200000000000001E-2</v>
      </c>
      <c r="M9323" s="3">
        <v>5.3800000000000001E-2</v>
      </c>
      <c r="N9323" s="3">
        <v>1.9599999999999999E-2</v>
      </c>
      <c r="O9323" s="3">
        <v>1.54E-2</v>
      </c>
      <c r="P9323" s="3">
        <v>6.7000000000000002E-3</v>
      </c>
      <c r="Q9323" s="3">
        <v>3.9800000000000002E-2</v>
      </c>
      <c r="R9323" s="3">
        <v>1.17E-2</v>
      </c>
    </row>
    <row r="9325" spans="1:18" ht="45">
      <c r="A9325" s="22" t="s">
        <v>1854</v>
      </c>
    </row>
    <row r="9326" spans="1:18">
      <c r="A9326" t="s">
        <v>185</v>
      </c>
      <c r="B9326" t="s">
        <v>186</v>
      </c>
      <c r="C9326" t="s">
        <v>192</v>
      </c>
      <c r="D9326" t="s">
        <v>184</v>
      </c>
      <c r="E9326" t="s">
        <v>193</v>
      </c>
      <c r="F9326" t="s">
        <v>257</v>
      </c>
      <c r="G9326" t="s">
        <v>329</v>
      </c>
      <c r="H9326" t="s">
        <v>247</v>
      </c>
      <c r="I9326" t="s">
        <v>1841</v>
      </c>
      <c r="J9326" t="s">
        <v>1842</v>
      </c>
      <c r="K9326" t="s">
        <v>1843</v>
      </c>
      <c r="L9326" t="s">
        <v>1844</v>
      </c>
      <c r="M9326" t="s">
        <v>1845</v>
      </c>
      <c r="N9326" t="s">
        <v>1846</v>
      </c>
      <c r="O9326" t="s">
        <v>1847</v>
      </c>
      <c r="P9326" t="s">
        <v>1848</v>
      </c>
      <c r="Q9326" t="s">
        <v>1849</v>
      </c>
      <c r="R9326" t="s">
        <v>1850</v>
      </c>
    </row>
    <row r="9327" spans="1:18">
      <c r="A9327" t="s">
        <v>195</v>
      </c>
      <c r="B9327" t="s">
        <v>207</v>
      </c>
      <c r="C9327">
        <v>322</v>
      </c>
      <c r="D9327" t="s">
        <v>194</v>
      </c>
      <c r="E9327">
        <v>2677</v>
      </c>
      <c r="F9327" s="3">
        <v>2.6100000000000002E-2</v>
      </c>
      <c r="G9327" s="3">
        <v>0.6452</v>
      </c>
      <c r="H9327" s="3">
        <v>7.7000000000000002E-3</v>
      </c>
      <c r="I9327" s="3">
        <v>3.0599999999999999E-2</v>
      </c>
      <c r="J9327" s="3">
        <v>2.0400000000000001E-2</v>
      </c>
      <c r="K9327" s="3">
        <v>4.4600000000000001E-2</v>
      </c>
      <c r="L9327" s="3">
        <v>5.9700000000000003E-2</v>
      </c>
      <c r="M9327" s="3">
        <v>0.1157</v>
      </c>
      <c r="N9327" s="3">
        <v>4.2200000000000001E-2</v>
      </c>
      <c r="O9327" s="3">
        <v>2.1700000000000001E-2</v>
      </c>
      <c r="P9327" s="3">
        <v>9.7000000000000003E-3</v>
      </c>
      <c r="Q9327" s="3">
        <v>3.6299999999999999E-2</v>
      </c>
      <c r="R9327" s="3">
        <v>3.1E-2</v>
      </c>
    </row>
    <row r="9328" spans="1:18">
      <c r="A9328" t="s">
        <v>195</v>
      </c>
      <c r="B9328" t="s">
        <v>209</v>
      </c>
      <c r="C9328">
        <v>867</v>
      </c>
      <c r="D9328" t="s">
        <v>194</v>
      </c>
      <c r="E9328">
        <v>2677</v>
      </c>
      <c r="F9328" s="3">
        <v>1.12E-2</v>
      </c>
      <c r="G9328" s="3">
        <v>0.74419999999999997</v>
      </c>
      <c r="H9328" s="3">
        <v>7.1000000000000004E-3</v>
      </c>
      <c r="I9328" s="3">
        <v>1.18E-2</v>
      </c>
      <c r="J9328" s="3">
        <v>8.8000000000000005E-3</v>
      </c>
      <c r="K9328" s="3">
        <v>3.5000000000000003E-2</v>
      </c>
      <c r="L9328" s="3">
        <v>8.09E-2</v>
      </c>
      <c r="M9328" s="3">
        <v>0.10299999999999999</v>
      </c>
      <c r="N9328" s="3">
        <v>2.3599999999999999E-2</v>
      </c>
      <c r="O9328" s="3">
        <v>2.9600000000000001E-2</v>
      </c>
      <c r="P9328" s="3">
        <v>7.1000000000000004E-3</v>
      </c>
      <c r="Q9328" s="3">
        <v>6.1800000000000001E-2</v>
      </c>
      <c r="R9328" s="3">
        <v>6.4000000000000003E-3</v>
      </c>
    </row>
    <row r="9329" spans="1:18">
      <c r="A9329" t="s">
        <v>199</v>
      </c>
      <c r="B9329" t="s">
        <v>207</v>
      </c>
      <c r="C9329">
        <v>283</v>
      </c>
      <c r="D9329" t="s">
        <v>194</v>
      </c>
      <c r="E9329">
        <v>2677</v>
      </c>
      <c r="F9329" s="3">
        <v>2.1600000000000001E-2</v>
      </c>
      <c r="G9329" s="3">
        <v>0.71619999999999995</v>
      </c>
      <c r="H9329" s="3">
        <v>4.02E-2</v>
      </c>
      <c r="I9329" s="3">
        <v>6.6199999999999995E-2</v>
      </c>
      <c r="J9329" s="3">
        <v>1.6000000000000001E-3</v>
      </c>
      <c r="K9329" s="3">
        <v>4.6300000000000001E-2</v>
      </c>
      <c r="L9329" s="3">
        <v>8.8999999999999999E-3</v>
      </c>
      <c r="M9329" s="3">
        <v>4.4299999999999999E-2</v>
      </c>
      <c r="N9329" s="3">
        <v>5.2999999999999999E-2</v>
      </c>
      <c r="O9329" s="3">
        <v>2.5100000000000001E-2</v>
      </c>
      <c r="P9329" s="3">
        <v>3.3E-3</v>
      </c>
      <c r="Q9329" s="3">
        <v>4.0099999999999997E-2</v>
      </c>
      <c r="R9329" s="3">
        <v>2.7000000000000001E-3</v>
      </c>
    </row>
    <row r="9330" spans="1:18">
      <c r="A9330" t="s">
        <v>199</v>
      </c>
      <c r="B9330" t="s">
        <v>209</v>
      </c>
      <c r="C9330">
        <v>1205</v>
      </c>
      <c r="D9330" t="s">
        <v>194</v>
      </c>
      <c r="E9330">
        <v>2677</v>
      </c>
      <c r="F9330" s="3">
        <v>1.5900000000000001E-2</v>
      </c>
      <c r="G9330" s="3">
        <v>0.89080000000000004</v>
      </c>
      <c r="H9330" s="3">
        <v>9.1000000000000004E-3</v>
      </c>
      <c r="I9330" s="3">
        <v>2.6100000000000002E-2</v>
      </c>
      <c r="K9330" s="3">
        <v>1.41E-2</v>
      </c>
      <c r="L9330" s="3">
        <v>2.0000000000000001E-4</v>
      </c>
      <c r="M9330" s="3">
        <v>7.3000000000000001E-3</v>
      </c>
      <c r="N9330" s="3">
        <v>6.8999999999999999E-3</v>
      </c>
      <c r="O9330" s="3">
        <v>3.0000000000000001E-3</v>
      </c>
      <c r="P9330" s="3">
        <v>6.1999999999999998E-3</v>
      </c>
      <c r="Q9330" s="3">
        <v>2.5600000000000001E-2</v>
      </c>
      <c r="R9330" s="3">
        <v>1.2E-2</v>
      </c>
    </row>
    <row r="9331" spans="1:18">
      <c r="A9331" t="s">
        <v>200</v>
      </c>
      <c r="B9331" t="s">
        <v>200</v>
      </c>
      <c r="C9331">
        <v>2677</v>
      </c>
      <c r="D9331" t="s">
        <v>200</v>
      </c>
      <c r="E9331">
        <v>2677</v>
      </c>
      <c r="F9331" s="3">
        <v>1.5900000000000001E-2</v>
      </c>
      <c r="G9331" s="3">
        <v>0.80259999999999998</v>
      </c>
      <c r="H9331" s="3">
        <v>1.04E-2</v>
      </c>
      <c r="I9331" s="3">
        <v>2.46E-2</v>
      </c>
      <c r="J9331" s="3">
        <v>5.4000000000000003E-3</v>
      </c>
      <c r="K9331" s="3">
        <v>2.6599999999999999E-2</v>
      </c>
      <c r="L9331" s="3">
        <v>3.4200000000000001E-2</v>
      </c>
      <c r="M9331" s="3">
        <v>5.3800000000000001E-2</v>
      </c>
      <c r="N9331" s="3">
        <v>1.9599999999999999E-2</v>
      </c>
      <c r="O9331" s="3">
        <v>1.54E-2</v>
      </c>
      <c r="P9331" s="3">
        <v>6.7000000000000002E-3</v>
      </c>
      <c r="Q9331" s="3">
        <v>3.9800000000000002E-2</v>
      </c>
      <c r="R9331" s="3">
        <v>1.17E-2</v>
      </c>
    </row>
    <row r="9333" spans="1:18" ht="45">
      <c r="A9333" s="22" t="s">
        <v>1855</v>
      </c>
    </row>
    <row r="9334" spans="1:18">
      <c r="A9334" t="s">
        <v>185</v>
      </c>
      <c r="B9334" t="s">
        <v>192</v>
      </c>
      <c r="C9334" t="s">
        <v>184</v>
      </c>
      <c r="D9334" t="s">
        <v>193</v>
      </c>
      <c r="E9334" t="s">
        <v>257</v>
      </c>
      <c r="F9334" t="s">
        <v>329</v>
      </c>
      <c r="G9334" t="s">
        <v>247</v>
      </c>
      <c r="H9334" t="s">
        <v>1841</v>
      </c>
      <c r="I9334" t="s">
        <v>1842</v>
      </c>
      <c r="J9334" t="s">
        <v>1843</v>
      </c>
      <c r="K9334" t="s">
        <v>1844</v>
      </c>
      <c r="L9334" t="s">
        <v>1845</v>
      </c>
      <c r="M9334" t="s">
        <v>1846</v>
      </c>
      <c r="N9334" t="s">
        <v>1847</v>
      </c>
      <c r="O9334" t="s">
        <v>1848</v>
      </c>
      <c r="P9334" t="s">
        <v>1849</v>
      </c>
      <c r="Q9334" t="s">
        <v>1850</v>
      </c>
    </row>
    <row r="9335" spans="1:18">
      <c r="A9335" t="s">
        <v>195</v>
      </c>
      <c r="B9335">
        <v>1189</v>
      </c>
      <c r="C9335" t="s">
        <v>194</v>
      </c>
      <c r="D9335">
        <v>2677</v>
      </c>
      <c r="E9335" s="3">
        <v>1.4999999999999999E-2</v>
      </c>
      <c r="F9335" s="3">
        <v>0.71870000000000001</v>
      </c>
      <c r="G9335" s="3">
        <v>7.3000000000000001E-3</v>
      </c>
      <c r="H9335" s="3">
        <v>1.66E-2</v>
      </c>
      <c r="I9335" s="3">
        <v>1.18E-2</v>
      </c>
      <c r="J9335" s="3">
        <v>3.7400000000000003E-2</v>
      </c>
      <c r="K9335" s="3">
        <v>7.5499999999999998E-2</v>
      </c>
      <c r="L9335" s="3">
        <v>0.1062</v>
      </c>
      <c r="M9335" s="3">
        <v>2.8400000000000002E-2</v>
      </c>
      <c r="N9335" s="3">
        <v>2.76E-2</v>
      </c>
      <c r="O9335" s="3">
        <v>7.7999999999999996E-3</v>
      </c>
      <c r="P9335" s="3">
        <v>5.5199999999999999E-2</v>
      </c>
      <c r="Q9335" s="3">
        <v>1.2699999999999999E-2</v>
      </c>
    </row>
    <row r="9336" spans="1:18">
      <c r="A9336" t="s">
        <v>199</v>
      </c>
      <c r="B9336">
        <v>1488</v>
      </c>
      <c r="C9336" t="s">
        <v>194</v>
      </c>
      <c r="D9336">
        <v>2677</v>
      </c>
      <c r="E9336" s="3">
        <v>1.66E-2</v>
      </c>
      <c r="F9336" s="3">
        <v>0.86950000000000005</v>
      </c>
      <c r="G9336" s="3">
        <v>1.29E-2</v>
      </c>
      <c r="H9336" s="3">
        <v>3.1E-2</v>
      </c>
      <c r="I9336" s="3">
        <v>2.0000000000000001E-4</v>
      </c>
      <c r="J9336" s="3">
        <v>1.7999999999999999E-2</v>
      </c>
      <c r="K9336" s="3">
        <v>1.1999999999999999E-3</v>
      </c>
      <c r="L9336" s="3">
        <v>1.18E-2</v>
      </c>
      <c r="M9336" s="3">
        <v>1.2500000000000001E-2</v>
      </c>
      <c r="N9336" s="3">
        <v>5.7000000000000002E-3</v>
      </c>
      <c r="O9336" s="3">
        <v>5.8999999999999999E-3</v>
      </c>
      <c r="P9336" s="3">
        <v>2.7400000000000001E-2</v>
      </c>
      <c r="Q9336" s="3">
        <v>1.09E-2</v>
      </c>
    </row>
    <row r="9337" spans="1:18">
      <c r="A9337" t="s">
        <v>200</v>
      </c>
      <c r="B9337">
        <v>2677</v>
      </c>
      <c r="C9337" t="s">
        <v>200</v>
      </c>
      <c r="D9337">
        <v>2677</v>
      </c>
      <c r="E9337" s="3">
        <v>1.5900000000000001E-2</v>
      </c>
      <c r="F9337" s="3">
        <v>0.80259999999999998</v>
      </c>
      <c r="G9337" s="3">
        <v>1.04E-2</v>
      </c>
      <c r="H9337" s="3">
        <v>2.46E-2</v>
      </c>
      <c r="I9337" s="3">
        <v>5.4000000000000003E-3</v>
      </c>
      <c r="J9337" s="3">
        <v>2.6599999999999999E-2</v>
      </c>
      <c r="K9337" s="3">
        <v>3.4200000000000001E-2</v>
      </c>
      <c r="L9337" s="3">
        <v>5.3800000000000001E-2</v>
      </c>
      <c r="M9337" s="3">
        <v>1.9599999999999999E-2</v>
      </c>
      <c r="N9337" s="3">
        <v>1.54E-2</v>
      </c>
      <c r="O9337" s="3">
        <v>6.7000000000000002E-3</v>
      </c>
      <c r="P9337" s="3">
        <v>3.9800000000000002E-2</v>
      </c>
      <c r="Q9337" s="3">
        <v>1.17E-2</v>
      </c>
    </row>
    <row r="9339" spans="1:18" ht="30">
      <c r="A9339" s="22" t="s">
        <v>1856</v>
      </c>
    </row>
    <row r="9340" spans="1:18">
      <c r="A9340" t="s">
        <v>185</v>
      </c>
      <c r="B9340" t="s">
        <v>186</v>
      </c>
      <c r="C9340" t="s">
        <v>192</v>
      </c>
      <c r="D9340" t="s">
        <v>184</v>
      </c>
      <c r="E9340" t="s">
        <v>193</v>
      </c>
      <c r="F9340" t="s">
        <v>257</v>
      </c>
      <c r="G9340" t="s">
        <v>329</v>
      </c>
      <c r="H9340" t="s">
        <v>247</v>
      </c>
      <c r="I9340" t="s">
        <v>1841</v>
      </c>
      <c r="J9340" t="s">
        <v>1842</v>
      </c>
      <c r="K9340" t="s">
        <v>1843</v>
      </c>
      <c r="L9340" t="s">
        <v>1844</v>
      </c>
      <c r="M9340" t="s">
        <v>1845</v>
      </c>
      <c r="N9340" t="s">
        <v>1846</v>
      </c>
      <c r="O9340" t="s">
        <v>1847</v>
      </c>
      <c r="P9340" t="s">
        <v>1848</v>
      </c>
      <c r="Q9340" t="s">
        <v>1849</v>
      </c>
      <c r="R9340" t="s">
        <v>1850</v>
      </c>
    </row>
    <row r="9341" spans="1:18">
      <c r="A9341" t="s">
        <v>195</v>
      </c>
      <c r="B9341" t="s">
        <v>212</v>
      </c>
      <c r="C9341">
        <v>873</v>
      </c>
      <c r="D9341" t="s">
        <v>194</v>
      </c>
      <c r="E9341">
        <v>2677</v>
      </c>
      <c r="F9341" s="3">
        <v>1.4500000000000001E-2</v>
      </c>
      <c r="G9341" s="3">
        <v>0.70140000000000002</v>
      </c>
      <c r="H9341" s="3">
        <v>5.5999999999999999E-3</v>
      </c>
      <c r="I9341" s="3">
        <v>1.6400000000000001E-2</v>
      </c>
      <c r="J9341" s="3">
        <v>9.7000000000000003E-3</v>
      </c>
      <c r="K9341" s="3">
        <v>4.2999999999999997E-2</v>
      </c>
      <c r="L9341" s="3">
        <v>8.5900000000000004E-2</v>
      </c>
      <c r="M9341" s="3">
        <v>0.1105</v>
      </c>
      <c r="N9341" s="3">
        <v>2.9100000000000001E-2</v>
      </c>
      <c r="O9341" s="3">
        <v>3.4599999999999999E-2</v>
      </c>
      <c r="P9341" s="3">
        <v>6.4999999999999997E-3</v>
      </c>
      <c r="Q9341" s="3">
        <v>6.3899999999999998E-2</v>
      </c>
      <c r="R9341" s="3">
        <v>1.46E-2</v>
      </c>
    </row>
    <row r="9342" spans="1:18">
      <c r="A9342" t="s">
        <v>195</v>
      </c>
      <c r="B9342" t="s">
        <v>214</v>
      </c>
      <c r="C9342">
        <v>181</v>
      </c>
      <c r="D9342" t="s">
        <v>194</v>
      </c>
      <c r="E9342">
        <v>2677</v>
      </c>
      <c r="F9342" s="3">
        <v>2.4799999999999999E-2</v>
      </c>
      <c r="G9342" s="3">
        <v>0.80259999999999998</v>
      </c>
      <c r="H9342" s="3">
        <v>1.4E-3</v>
      </c>
      <c r="I9342" s="3">
        <v>2.01E-2</v>
      </c>
      <c r="J9342" s="3">
        <v>0.01</v>
      </c>
      <c r="K9342" s="3">
        <v>2.3099999999999999E-2</v>
      </c>
      <c r="L9342" s="3">
        <v>2.9499999999999998E-2</v>
      </c>
      <c r="M9342" s="3">
        <v>9.3899999999999997E-2</v>
      </c>
      <c r="N9342" s="3">
        <v>5.7000000000000002E-3</v>
      </c>
      <c r="O9342" s="3">
        <v>9.4999999999999998E-3</v>
      </c>
      <c r="P9342" s="3">
        <v>1.06E-2</v>
      </c>
      <c r="Q9342" s="3">
        <v>2.8400000000000002E-2</v>
      </c>
      <c r="R9342" s="3">
        <v>9.1000000000000004E-3</v>
      </c>
    </row>
    <row r="9343" spans="1:18">
      <c r="A9343" t="s">
        <v>195</v>
      </c>
      <c r="B9343" t="s">
        <v>215</v>
      </c>
      <c r="C9343">
        <v>135</v>
      </c>
      <c r="D9343" t="s">
        <v>194</v>
      </c>
      <c r="E9343">
        <v>2677</v>
      </c>
      <c r="G9343" s="3">
        <v>0.70899999999999996</v>
      </c>
      <c r="H9343" s="3">
        <v>3.3599999999999998E-2</v>
      </c>
      <c r="I9343" s="3">
        <v>1.1299999999999999E-2</v>
      </c>
      <c r="J9343" s="3">
        <v>3.4200000000000001E-2</v>
      </c>
      <c r="K9343" s="3">
        <v>1.5900000000000001E-2</v>
      </c>
      <c r="L9343" s="3">
        <v>7.2599999999999998E-2</v>
      </c>
      <c r="M9343" s="3">
        <v>9.2200000000000004E-2</v>
      </c>
      <c r="N9343" s="3">
        <v>6.6900000000000001E-2</v>
      </c>
      <c r="P9343" s="3">
        <v>1.38E-2</v>
      </c>
      <c r="Q9343" s="3">
        <v>3.04E-2</v>
      </c>
      <c r="R9343" s="3">
        <v>2.8999999999999998E-3</v>
      </c>
    </row>
    <row r="9344" spans="1:18">
      <c r="A9344" t="s">
        <v>199</v>
      </c>
      <c r="B9344" t="s">
        <v>212</v>
      </c>
      <c r="C9344">
        <v>1118</v>
      </c>
      <c r="D9344" t="s">
        <v>194</v>
      </c>
      <c r="E9344">
        <v>2677</v>
      </c>
      <c r="F9344" s="3">
        <v>1.8800000000000001E-2</v>
      </c>
      <c r="G9344" s="3">
        <v>0.86670000000000003</v>
      </c>
      <c r="H9344" s="3">
        <v>1.34E-2</v>
      </c>
      <c r="I9344" s="3">
        <v>2.81E-2</v>
      </c>
      <c r="J9344" s="3">
        <v>2.9999999999999997E-4</v>
      </c>
      <c r="K9344" s="3">
        <v>1.95E-2</v>
      </c>
      <c r="L9344" s="3">
        <v>1.5E-3</v>
      </c>
      <c r="M9344" s="3">
        <v>8.9999999999999993E-3</v>
      </c>
      <c r="N9344" s="3">
        <v>1.26E-2</v>
      </c>
      <c r="O9344" s="3">
        <v>6.4999999999999997E-3</v>
      </c>
      <c r="P9344" s="3">
        <v>5.0000000000000001E-4</v>
      </c>
      <c r="Q9344" s="3">
        <v>2.58E-2</v>
      </c>
      <c r="R9344" s="3">
        <v>1.3899999999999999E-2</v>
      </c>
    </row>
    <row r="9345" spans="1:18">
      <c r="A9345" t="s">
        <v>199</v>
      </c>
      <c r="B9345" t="s">
        <v>214</v>
      </c>
      <c r="C9345">
        <v>197</v>
      </c>
      <c r="D9345" t="s">
        <v>194</v>
      </c>
      <c r="E9345">
        <v>2677</v>
      </c>
      <c r="F9345" s="3">
        <v>1.41E-2</v>
      </c>
      <c r="G9345" s="3">
        <v>0.87770000000000004</v>
      </c>
      <c r="H9345" s="3">
        <v>1.7500000000000002E-2</v>
      </c>
      <c r="I9345" s="3">
        <v>4.5100000000000001E-2</v>
      </c>
      <c r="K9345" s="3">
        <v>7.9000000000000008E-3</v>
      </c>
      <c r="L9345" s="3">
        <v>6.9999999999999999E-4</v>
      </c>
      <c r="M9345" s="3">
        <v>9.1000000000000004E-3</v>
      </c>
      <c r="N9345" s="3">
        <v>9.5999999999999992E-3</v>
      </c>
      <c r="O9345" s="3">
        <v>6.9999999999999999E-4</v>
      </c>
      <c r="P9345" s="3">
        <v>3.2300000000000002E-2</v>
      </c>
      <c r="Q9345" s="3">
        <v>3.2800000000000003E-2</v>
      </c>
      <c r="R9345" s="3">
        <v>1.8E-3</v>
      </c>
    </row>
    <row r="9346" spans="1:18">
      <c r="A9346" t="s">
        <v>199</v>
      </c>
      <c r="B9346" t="s">
        <v>215</v>
      </c>
      <c r="C9346">
        <v>173</v>
      </c>
      <c r="D9346" t="s">
        <v>194</v>
      </c>
      <c r="E9346">
        <v>2677</v>
      </c>
      <c r="F9346" s="3">
        <v>2.0000000000000001E-4</v>
      </c>
      <c r="G9346" s="3">
        <v>0.88060000000000005</v>
      </c>
      <c r="I9346" s="3">
        <v>3.1099999999999999E-2</v>
      </c>
      <c r="K9346" s="3">
        <v>2.2599999999999999E-2</v>
      </c>
      <c r="M9346" s="3">
        <v>4.2500000000000003E-2</v>
      </c>
      <c r="N9346" s="3">
        <v>1.72E-2</v>
      </c>
      <c r="O9346" s="3">
        <v>6.7000000000000002E-3</v>
      </c>
      <c r="P9346" s="3">
        <v>6.7000000000000002E-3</v>
      </c>
      <c r="Q9346" s="3">
        <v>3.2300000000000002E-2</v>
      </c>
    </row>
    <row r="9347" spans="1:18">
      <c r="A9347" t="s">
        <v>200</v>
      </c>
      <c r="B9347" t="s">
        <v>200</v>
      </c>
      <c r="C9347">
        <v>2677</v>
      </c>
      <c r="D9347" t="s">
        <v>200</v>
      </c>
      <c r="E9347">
        <v>2677</v>
      </c>
      <c r="F9347" s="3">
        <v>1.5900000000000001E-2</v>
      </c>
      <c r="G9347" s="3">
        <v>0.80259999999999998</v>
      </c>
      <c r="H9347" s="3">
        <v>1.04E-2</v>
      </c>
      <c r="I9347" s="3">
        <v>2.46E-2</v>
      </c>
      <c r="J9347" s="3">
        <v>5.4000000000000003E-3</v>
      </c>
      <c r="K9347" s="3">
        <v>2.6599999999999999E-2</v>
      </c>
      <c r="L9347" s="3">
        <v>3.4200000000000001E-2</v>
      </c>
      <c r="M9347" s="3">
        <v>5.3800000000000001E-2</v>
      </c>
      <c r="N9347" s="3">
        <v>1.9599999999999999E-2</v>
      </c>
      <c r="O9347" s="3">
        <v>1.54E-2</v>
      </c>
      <c r="P9347" s="3">
        <v>6.7000000000000002E-3</v>
      </c>
      <c r="Q9347" s="3">
        <v>3.9800000000000002E-2</v>
      </c>
      <c r="R9347" s="3">
        <v>1.17E-2</v>
      </c>
    </row>
    <row r="9349" spans="1:18" ht="30">
      <c r="A9349" s="22" t="s">
        <v>1857</v>
      </c>
    </row>
    <row r="9350" spans="1:18">
      <c r="A9350" t="s">
        <v>185</v>
      </c>
      <c r="B9350" t="s">
        <v>186</v>
      </c>
      <c r="C9350" t="s">
        <v>192</v>
      </c>
      <c r="D9350" t="s">
        <v>184</v>
      </c>
      <c r="E9350" t="s">
        <v>193</v>
      </c>
      <c r="F9350" t="s">
        <v>257</v>
      </c>
      <c r="G9350" t="s">
        <v>329</v>
      </c>
      <c r="H9350" t="s">
        <v>247</v>
      </c>
      <c r="I9350" t="s">
        <v>1841</v>
      </c>
      <c r="J9350" t="s">
        <v>1842</v>
      </c>
      <c r="K9350" t="s">
        <v>1843</v>
      </c>
      <c r="L9350" t="s">
        <v>1844</v>
      </c>
      <c r="M9350" t="s">
        <v>1845</v>
      </c>
      <c r="N9350" t="s">
        <v>1846</v>
      </c>
      <c r="O9350" t="s">
        <v>1847</v>
      </c>
      <c r="P9350" t="s">
        <v>1848</v>
      </c>
      <c r="Q9350" t="s">
        <v>1849</v>
      </c>
      <c r="R9350" t="s">
        <v>1850</v>
      </c>
    </row>
    <row r="9351" spans="1:18">
      <c r="A9351" t="s">
        <v>195</v>
      </c>
      <c r="B9351" t="s">
        <v>217</v>
      </c>
      <c r="C9351">
        <v>499</v>
      </c>
      <c r="D9351" t="s">
        <v>194</v>
      </c>
      <c r="E9351">
        <v>2677</v>
      </c>
      <c r="F9351" s="3">
        <v>1.12E-2</v>
      </c>
      <c r="G9351" s="3">
        <v>0.72299999999999998</v>
      </c>
      <c r="H9351" s="3">
        <v>7.4000000000000003E-3</v>
      </c>
      <c r="I9351" s="3">
        <v>1.2800000000000001E-2</v>
      </c>
      <c r="J9351" s="3">
        <v>1.12E-2</v>
      </c>
      <c r="K9351" s="3">
        <v>3.9399999999999998E-2</v>
      </c>
      <c r="L9351" s="3">
        <v>7.1599999999999997E-2</v>
      </c>
      <c r="M9351" s="3">
        <v>9.64E-2</v>
      </c>
      <c r="N9351" s="3">
        <v>4.2299999999999997E-2</v>
      </c>
      <c r="O9351" s="3">
        <v>1.6899999999999998E-2</v>
      </c>
      <c r="P9351" s="3">
        <v>9.4999999999999998E-3</v>
      </c>
      <c r="Q9351" s="3">
        <v>6.0199999999999997E-2</v>
      </c>
      <c r="R9351" s="3">
        <v>8.3000000000000001E-3</v>
      </c>
    </row>
    <row r="9352" spans="1:18">
      <c r="A9352" t="s">
        <v>195</v>
      </c>
      <c r="B9352" t="s">
        <v>219</v>
      </c>
      <c r="C9352">
        <v>507</v>
      </c>
      <c r="D9352" t="s">
        <v>194</v>
      </c>
      <c r="E9352">
        <v>2677</v>
      </c>
      <c r="F9352" s="3">
        <v>1.8800000000000001E-2</v>
      </c>
      <c r="G9352" s="3">
        <v>0.74609999999999999</v>
      </c>
      <c r="H9352" s="3">
        <v>5.5999999999999999E-3</v>
      </c>
      <c r="I9352" s="3">
        <v>8.0000000000000002E-3</v>
      </c>
      <c r="J9352" s="3">
        <v>1.17E-2</v>
      </c>
      <c r="K9352" s="3">
        <v>4.1799999999999997E-2</v>
      </c>
      <c r="L9352" s="3">
        <v>5.6800000000000003E-2</v>
      </c>
      <c r="M9352" s="3">
        <v>0.112</v>
      </c>
      <c r="N9352" s="3">
        <v>1.84E-2</v>
      </c>
      <c r="O9352" s="3">
        <v>4.3700000000000003E-2</v>
      </c>
      <c r="P9352" s="3">
        <v>9.7000000000000003E-3</v>
      </c>
      <c r="Q9352" s="3">
        <v>6.4100000000000004E-2</v>
      </c>
      <c r="R9352" s="3">
        <v>8.8999999999999999E-3</v>
      </c>
    </row>
    <row r="9353" spans="1:18">
      <c r="A9353" t="s">
        <v>195</v>
      </c>
      <c r="B9353" t="s">
        <v>220</v>
      </c>
      <c r="C9353">
        <v>182</v>
      </c>
      <c r="D9353" t="s">
        <v>194</v>
      </c>
      <c r="E9353">
        <v>2677</v>
      </c>
      <c r="F9353" s="3">
        <v>1.5599999999999999E-2</v>
      </c>
      <c r="G9353" s="3">
        <v>0.65229999999999999</v>
      </c>
      <c r="H9353" s="3">
        <v>1.04E-2</v>
      </c>
      <c r="I9353" s="3">
        <v>4.2999999999999997E-2</v>
      </c>
      <c r="J9353" s="3">
        <v>1.34E-2</v>
      </c>
      <c r="K9353" s="3">
        <v>2.41E-2</v>
      </c>
      <c r="L9353" s="3">
        <v>0.123</v>
      </c>
      <c r="M9353" s="3">
        <v>0.1163</v>
      </c>
      <c r="N9353" s="3">
        <v>1.7899999999999999E-2</v>
      </c>
      <c r="O9353" s="3">
        <v>1.7999999999999999E-2</v>
      </c>
      <c r="Q9353" s="3">
        <v>2.5700000000000001E-2</v>
      </c>
      <c r="R9353" s="3">
        <v>3.04E-2</v>
      </c>
    </row>
    <row r="9354" spans="1:18">
      <c r="A9354" t="s">
        <v>199</v>
      </c>
      <c r="B9354" t="s">
        <v>217</v>
      </c>
      <c r="C9354">
        <v>814</v>
      </c>
      <c r="D9354" t="s">
        <v>194</v>
      </c>
      <c r="E9354">
        <v>2677</v>
      </c>
      <c r="F9354" s="3">
        <v>1.3299999999999999E-2</v>
      </c>
      <c r="G9354" s="3">
        <v>0.85640000000000005</v>
      </c>
      <c r="H9354" s="3">
        <v>1.7100000000000001E-2</v>
      </c>
      <c r="I9354" s="3">
        <v>3.6900000000000002E-2</v>
      </c>
      <c r="J9354" s="3">
        <v>1E-4</v>
      </c>
      <c r="K9354" s="3">
        <v>1.6400000000000001E-2</v>
      </c>
      <c r="L9354" s="3">
        <v>1.4E-3</v>
      </c>
      <c r="M9354" s="3">
        <v>1.61E-2</v>
      </c>
      <c r="N9354" s="3">
        <v>1.6E-2</v>
      </c>
      <c r="O9354" s="3">
        <v>7.4000000000000003E-3</v>
      </c>
      <c r="P9354" s="3">
        <v>1.1999999999999999E-3</v>
      </c>
      <c r="Q9354" s="3">
        <v>2.6599999999999999E-2</v>
      </c>
      <c r="R9354" s="3">
        <v>1.41E-2</v>
      </c>
    </row>
    <row r="9355" spans="1:18">
      <c r="A9355" t="s">
        <v>199</v>
      </c>
      <c r="B9355" t="s">
        <v>219</v>
      </c>
      <c r="C9355">
        <v>451</v>
      </c>
      <c r="D9355" t="s">
        <v>194</v>
      </c>
      <c r="E9355">
        <v>2677</v>
      </c>
      <c r="F9355" s="3">
        <v>1.14E-2</v>
      </c>
      <c r="G9355" s="3">
        <v>0.92179999999999995</v>
      </c>
      <c r="H9355" s="3">
        <v>2.7000000000000001E-3</v>
      </c>
      <c r="I9355" s="3">
        <v>8.9999999999999993E-3</v>
      </c>
      <c r="K9355" s="3">
        <v>2.3900000000000001E-2</v>
      </c>
      <c r="L9355" s="3">
        <v>1.1000000000000001E-3</v>
      </c>
      <c r="M9355" s="3">
        <v>6.7999999999999996E-3</v>
      </c>
      <c r="N9355" s="3">
        <v>7.0000000000000001E-3</v>
      </c>
      <c r="O9355" s="3">
        <v>4.5999999999999999E-3</v>
      </c>
      <c r="P9355" s="3">
        <v>1E-3</v>
      </c>
      <c r="Q9355" s="3">
        <v>2.5100000000000001E-2</v>
      </c>
      <c r="R9355" s="3">
        <v>2.0999999999999999E-3</v>
      </c>
    </row>
    <row r="9356" spans="1:18">
      <c r="A9356" t="s">
        <v>199</v>
      </c>
      <c r="B9356" t="s">
        <v>220</v>
      </c>
      <c r="C9356">
        <v>223</v>
      </c>
      <c r="D9356" t="s">
        <v>194</v>
      </c>
      <c r="E9356">
        <v>2677</v>
      </c>
      <c r="F9356" s="3">
        <v>3.7400000000000003E-2</v>
      </c>
      <c r="G9356" s="3">
        <v>0.83720000000000006</v>
      </c>
      <c r="H9356" s="3">
        <v>1.29E-2</v>
      </c>
      <c r="I9356" s="3">
        <v>4.2799999999999998E-2</v>
      </c>
      <c r="J9356" s="3">
        <v>8.0000000000000004E-4</v>
      </c>
      <c r="K9356" s="3">
        <v>1.47E-2</v>
      </c>
      <c r="L9356" s="3">
        <v>6.9999999999999999E-4</v>
      </c>
      <c r="M9356" s="3">
        <v>3.3999999999999998E-3</v>
      </c>
      <c r="N9356" s="3">
        <v>8.0000000000000002E-3</v>
      </c>
      <c r="O9356" s="3">
        <v>6.9999999999999999E-4</v>
      </c>
      <c r="P9356" s="3">
        <v>3.1199999999999999E-2</v>
      </c>
      <c r="Q9356" s="3">
        <v>3.3799999999999997E-2</v>
      </c>
      <c r="R9356" s="3">
        <v>1.2699999999999999E-2</v>
      </c>
    </row>
    <row r="9357" spans="1:18">
      <c r="A9357" t="s">
        <v>200</v>
      </c>
      <c r="B9357" t="s">
        <v>200</v>
      </c>
      <c r="C9357">
        <v>2677</v>
      </c>
      <c r="D9357" t="s">
        <v>200</v>
      </c>
      <c r="E9357">
        <v>2677</v>
      </c>
      <c r="F9357" s="3">
        <v>1.5900000000000001E-2</v>
      </c>
      <c r="G9357" s="3">
        <v>0.80259999999999998</v>
      </c>
      <c r="H9357" s="3">
        <v>1.04E-2</v>
      </c>
      <c r="I9357" s="3">
        <v>2.46E-2</v>
      </c>
      <c r="J9357" s="3">
        <v>5.4000000000000003E-3</v>
      </c>
      <c r="K9357" s="3">
        <v>2.6599999999999999E-2</v>
      </c>
      <c r="L9357" s="3">
        <v>3.4200000000000001E-2</v>
      </c>
      <c r="M9357" s="3">
        <v>5.3800000000000001E-2</v>
      </c>
      <c r="N9357" s="3">
        <v>1.9599999999999999E-2</v>
      </c>
      <c r="O9357" s="3">
        <v>1.54E-2</v>
      </c>
      <c r="P9357" s="3">
        <v>6.7000000000000002E-3</v>
      </c>
      <c r="Q9357" s="3">
        <v>3.9800000000000002E-2</v>
      </c>
      <c r="R9357" s="3">
        <v>1.17E-2</v>
      </c>
    </row>
    <row r="9359" spans="1:18" ht="45">
      <c r="A9359" s="22" t="s">
        <v>1858</v>
      </c>
    </row>
    <row r="9360" spans="1:18">
      <c r="A9360" t="s">
        <v>185</v>
      </c>
      <c r="B9360" t="s">
        <v>186</v>
      </c>
      <c r="C9360" t="s">
        <v>192</v>
      </c>
      <c r="D9360" t="s">
        <v>184</v>
      </c>
      <c r="E9360" t="s">
        <v>193</v>
      </c>
      <c r="F9360" t="s">
        <v>257</v>
      </c>
      <c r="G9360" t="s">
        <v>226</v>
      </c>
      <c r="H9360" t="s">
        <v>247</v>
      </c>
      <c r="I9360" t="s">
        <v>227</v>
      </c>
    </row>
    <row r="9361" spans="1:9">
      <c r="A9361" t="s">
        <v>195</v>
      </c>
      <c r="B9361" t="s">
        <v>222</v>
      </c>
      <c r="C9361">
        <v>247</v>
      </c>
      <c r="D9361" t="s">
        <v>194</v>
      </c>
      <c r="E9361">
        <v>2666</v>
      </c>
      <c r="F9361" s="3">
        <v>2.4799999999999999E-2</v>
      </c>
      <c r="G9361" s="3">
        <v>0.65010000000000001</v>
      </c>
      <c r="I9361" s="3">
        <v>0.3251</v>
      </c>
    </row>
    <row r="9362" spans="1:9">
      <c r="A9362" t="s">
        <v>195</v>
      </c>
      <c r="B9362" t="s">
        <v>224</v>
      </c>
      <c r="C9362">
        <v>934</v>
      </c>
      <c r="D9362" t="s">
        <v>194</v>
      </c>
      <c r="E9362">
        <v>2666</v>
      </c>
      <c r="F9362" s="3">
        <v>1.8800000000000001E-2</v>
      </c>
      <c r="G9362" s="3">
        <v>0.68859999999999999</v>
      </c>
      <c r="H9362" s="3">
        <v>2.5999999999999999E-3</v>
      </c>
      <c r="I9362" s="3">
        <v>0.28999999999999998</v>
      </c>
    </row>
    <row r="9363" spans="1:9">
      <c r="A9363" t="s">
        <v>199</v>
      </c>
      <c r="B9363" t="s">
        <v>222</v>
      </c>
      <c r="C9363">
        <v>390</v>
      </c>
      <c r="D9363" t="s">
        <v>194</v>
      </c>
      <c r="E9363">
        <v>2666</v>
      </c>
      <c r="F9363" s="3">
        <v>1.95E-2</v>
      </c>
      <c r="G9363" s="3">
        <v>0.84709999999999996</v>
      </c>
      <c r="I9363" s="3">
        <v>0.1333</v>
      </c>
    </row>
    <row r="9364" spans="1:9">
      <c r="A9364" t="s">
        <v>199</v>
      </c>
      <c r="B9364" t="s">
        <v>224</v>
      </c>
      <c r="C9364">
        <v>1095</v>
      </c>
      <c r="D9364" t="s">
        <v>194</v>
      </c>
      <c r="E9364">
        <v>2666</v>
      </c>
      <c r="F9364" s="3">
        <v>5.7000000000000002E-3</v>
      </c>
      <c r="G9364" s="3">
        <v>0.82779999999999998</v>
      </c>
      <c r="H9364" s="3">
        <v>5.9999999999999995E-4</v>
      </c>
      <c r="I9364" s="3">
        <v>0.16589999999999999</v>
      </c>
    </row>
    <row r="9365" spans="1:9">
      <c r="A9365" t="s">
        <v>200</v>
      </c>
      <c r="B9365" t="s">
        <v>200</v>
      </c>
      <c r="C9365">
        <v>2666</v>
      </c>
      <c r="D9365" t="s">
        <v>200</v>
      </c>
      <c r="E9365">
        <v>2666</v>
      </c>
      <c r="F9365" s="3">
        <v>1.4500000000000001E-2</v>
      </c>
      <c r="G9365" s="3">
        <v>0.7651</v>
      </c>
      <c r="H9365" s="3">
        <v>1.1000000000000001E-3</v>
      </c>
      <c r="I9365" s="3">
        <v>0.21920000000000001</v>
      </c>
    </row>
    <row r="9367" spans="1:9" ht="45">
      <c r="A9367" s="22" t="s">
        <v>1859</v>
      </c>
    </row>
    <row r="9368" spans="1:9">
      <c r="A9368" t="s">
        <v>185</v>
      </c>
      <c r="B9368" t="s">
        <v>186</v>
      </c>
      <c r="C9368" t="s">
        <v>192</v>
      </c>
      <c r="D9368" t="s">
        <v>184</v>
      </c>
      <c r="E9368" t="s">
        <v>193</v>
      </c>
      <c r="F9368" t="s">
        <v>257</v>
      </c>
      <c r="G9368" t="s">
        <v>226</v>
      </c>
      <c r="H9368" t="s">
        <v>247</v>
      </c>
      <c r="I9368" t="s">
        <v>227</v>
      </c>
    </row>
    <row r="9369" spans="1:9">
      <c r="A9369" t="s">
        <v>195</v>
      </c>
      <c r="B9369" t="s">
        <v>229</v>
      </c>
      <c r="C9369">
        <v>130</v>
      </c>
      <c r="D9369" t="s">
        <v>194</v>
      </c>
      <c r="E9369">
        <v>2666</v>
      </c>
      <c r="F9369" s="3">
        <v>5.8999999999999999E-3</v>
      </c>
      <c r="G9369" s="3">
        <v>0.65269999999999995</v>
      </c>
      <c r="I9369" s="3">
        <v>0.34139999999999998</v>
      </c>
    </row>
    <row r="9370" spans="1:9">
      <c r="A9370" t="s">
        <v>195</v>
      </c>
      <c r="B9370" t="s">
        <v>230</v>
      </c>
      <c r="C9370">
        <v>481</v>
      </c>
      <c r="D9370" t="s">
        <v>194</v>
      </c>
      <c r="E9370">
        <v>2666</v>
      </c>
      <c r="F9370" s="3">
        <v>1.7100000000000001E-2</v>
      </c>
      <c r="G9370" s="3">
        <v>0.64380000000000004</v>
      </c>
      <c r="I9370" s="3">
        <v>0.33910000000000001</v>
      </c>
    </row>
    <row r="9371" spans="1:9">
      <c r="A9371" t="s">
        <v>195</v>
      </c>
      <c r="B9371" t="s">
        <v>231</v>
      </c>
      <c r="C9371">
        <v>303</v>
      </c>
      <c r="D9371" t="s">
        <v>194</v>
      </c>
      <c r="E9371">
        <v>2666</v>
      </c>
      <c r="F9371" s="3">
        <v>6.6E-3</v>
      </c>
      <c r="G9371" s="3">
        <v>0.71760000000000002</v>
      </c>
      <c r="I9371" s="3">
        <v>0.27579999999999999</v>
      </c>
    </row>
    <row r="9372" spans="1:9">
      <c r="A9372" t="s">
        <v>195</v>
      </c>
      <c r="B9372" t="s">
        <v>232</v>
      </c>
      <c r="C9372">
        <v>267</v>
      </c>
      <c r="D9372" t="s">
        <v>194</v>
      </c>
      <c r="E9372">
        <v>2666</v>
      </c>
      <c r="F9372" s="3">
        <v>5.16E-2</v>
      </c>
      <c r="G9372" s="3">
        <v>0.7198</v>
      </c>
      <c r="H9372" s="3">
        <v>9.1999999999999998E-3</v>
      </c>
      <c r="I9372" s="3">
        <v>0.21940000000000001</v>
      </c>
    </row>
    <row r="9373" spans="1:9">
      <c r="A9373" t="s">
        <v>199</v>
      </c>
      <c r="B9373" t="s">
        <v>229</v>
      </c>
      <c r="C9373">
        <v>149</v>
      </c>
      <c r="D9373" t="s">
        <v>194</v>
      </c>
      <c r="E9373">
        <v>2666</v>
      </c>
      <c r="F9373" s="3">
        <v>1.9900000000000001E-2</v>
      </c>
      <c r="G9373" s="3">
        <v>0.79700000000000004</v>
      </c>
      <c r="I9373" s="3">
        <v>0.1832</v>
      </c>
    </row>
    <row r="9374" spans="1:9">
      <c r="A9374" t="s">
        <v>199</v>
      </c>
      <c r="B9374" t="s">
        <v>230</v>
      </c>
      <c r="C9374">
        <v>700</v>
      </c>
      <c r="D9374" t="s">
        <v>194</v>
      </c>
      <c r="E9374">
        <v>2666</v>
      </c>
      <c r="F9374" s="3">
        <v>4.0000000000000001E-3</v>
      </c>
      <c r="G9374" s="3">
        <v>0.83430000000000004</v>
      </c>
      <c r="I9374" s="3">
        <v>0.16159999999999999</v>
      </c>
    </row>
    <row r="9375" spans="1:9">
      <c r="A9375" t="s">
        <v>199</v>
      </c>
      <c r="B9375" t="s">
        <v>231</v>
      </c>
      <c r="C9375">
        <v>397</v>
      </c>
      <c r="D9375" t="s">
        <v>194</v>
      </c>
      <c r="E9375">
        <v>2666</v>
      </c>
      <c r="F9375" s="3">
        <v>9.1999999999999998E-3</v>
      </c>
      <c r="G9375" s="3">
        <v>0.85340000000000005</v>
      </c>
      <c r="H9375" s="3">
        <v>2.2000000000000001E-3</v>
      </c>
      <c r="I9375" s="3">
        <v>0.1353</v>
      </c>
    </row>
    <row r="9376" spans="1:9">
      <c r="A9376" t="s">
        <v>199</v>
      </c>
      <c r="B9376" t="s">
        <v>232</v>
      </c>
      <c r="C9376">
        <v>239</v>
      </c>
      <c r="D9376" t="s">
        <v>194</v>
      </c>
      <c r="E9376">
        <v>2666</v>
      </c>
      <c r="F9376" s="3">
        <v>1.72E-2</v>
      </c>
      <c r="G9376" s="3">
        <v>0.84989999999999999</v>
      </c>
      <c r="I9376" s="3">
        <v>0.13300000000000001</v>
      </c>
    </row>
    <row r="9377" spans="1:9">
      <c r="A9377" t="s">
        <v>200</v>
      </c>
      <c r="B9377" t="s">
        <v>200</v>
      </c>
      <c r="C9377">
        <v>2666</v>
      </c>
      <c r="D9377" t="s">
        <v>200</v>
      </c>
      <c r="E9377">
        <v>2666</v>
      </c>
      <c r="F9377" s="3">
        <v>1.4500000000000001E-2</v>
      </c>
      <c r="G9377" s="3">
        <v>0.7651</v>
      </c>
      <c r="H9377" s="3">
        <v>1.1000000000000001E-3</v>
      </c>
      <c r="I9377" s="3">
        <v>0.21920000000000001</v>
      </c>
    </row>
    <row r="9379" spans="1:9" ht="45">
      <c r="A9379" s="22" t="s">
        <v>1860</v>
      </c>
    </row>
    <row r="9380" spans="1:9">
      <c r="A9380" t="s">
        <v>185</v>
      </c>
      <c r="B9380" t="s">
        <v>186</v>
      </c>
      <c r="C9380" t="s">
        <v>192</v>
      </c>
      <c r="D9380" t="s">
        <v>184</v>
      </c>
      <c r="E9380" t="s">
        <v>193</v>
      </c>
      <c r="F9380" t="s">
        <v>257</v>
      </c>
      <c r="G9380" t="s">
        <v>226</v>
      </c>
      <c r="H9380" t="s">
        <v>247</v>
      </c>
      <c r="I9380" t="s">
        <v>227</v>
      </c>
    </row>
    <row r="9381" spans="1:9">
      <c r="A9381" t="s">
        <v>195</v>
      </c>
      <c r="B9381" t="s">
        <v>196</v>
      </c>
      <c r="C9381">
        <v>411</v>
      </c>
      <c r="D9381" t="s">
        <v>194</v>
      </c>
      <c r="E9381">
        <v>2666</v>
      </c>
      <c r="F9381" s="3">
        <v>1.78E-2</v>
      </c>
      <c r="G9381" s="3">
        <v>0.72209999999999996</v>
      </c>
      <c r="I9381" s="3">
        <v>0.2601</v>
      </c>
    </row>
    <row r="9382" spans="1:9">
      <c r="A9382" t="s">
        <v>195</v>
      </c>
      <c r="B9382" t="s">
        <v>198</v>
      </c>
      <c r="C9382">
        <v>749</v>
      </c>
      <c r="D9382" t="s">
        <v>194</v>
      </c>
      <c r="E9382">
        <v>2666</v>
      </c>
      <c r="F9382" s="3">
        <v>2.12E-2</v>
      </c>
      <c r="G9382" s="3">
        <v>0.66310000000000002</v>
      </c>
      <c r="H9382" s="3">
        <v>2.7000000000000001E-3</v>
      </c>
      <c r="I9382" s="3">
        <v>0.313</v>
      </c>
    </row>
    <row r="9383" spans="1:9">
      <c r="A9383" t="s">
        <v>199</v>
      </c>
      <c r="B9383" t="s">
        <v>196</v>
      </c>
      <c r="C9383">
        <v>525</v>
      </c>
      <c r="D9383" t="s">
        <v>194</v>
      </c>
      <c r="E9383">
        <v>2666</v>
      </c>
      <c r="F9383" s="3">
        <v>7.4000000000000003E-3</v>
      </c>
      <c r="G9383" s="3">
        <v>0.85760000000000003</v>
      </c>
      <c r="H9383" s="3">
        <v>2.2000000000000001E-3</v>
      </c>
      <c r="I9383" s="3">
        <v>0.1328</v>
      </c>
    </row>
    <row r="9384" spans="1:9">
      <c r="A9384" t="s">
        <v>199</v>
      </c>
      <c r="B9384" t="s">
        <v>198</v>
      </c>
      <c r="C9384">
        <v>942</v>
      </c>
      <c r="D9384" t="s">
        <v>194</v>
      </c>
      <c r="E9384">
        <v>2666</v>
      </c>
      <c r="F9384" s="3">
        <v>1.06E-2</v>
      </c>
      <c r="G9384" s="3">
        <v>0.82840000000000003</v>
      </c>
      <c r="I9384" s="3">
        <v>0.16109999999999999</v>
      </c>
    </row>
    <row r="9385" spans="1:9">
      <c r="A9385" t="s">
        <v>200</v>
      </c>
      <c r="B9385" t="s">
        <v>200</v>
      </c>
      <c r="C9385">
        <v>2666</v>
      </c>
      <c r="D9385" t="s">
        <v>200</v>
      </c>
      <c r="E9385">
        <v>2666</v>
      </c>
      <c r="F9385" s="3">
        <v>1.4500000000000001E-2</v>
      </c>
      <c r="G9385" s="3">
        <v>0.7651</v>
      </c>
      <c r="H9385" s="3">
        <v>1.1000000000000001E-3</v>
      </c>
      <c r="I9385" s="3">
        <v>0.21920000000000001</v>
      </c>
    </row>
    <row r="9387" spans="1:9" ht="45">
      <c r="A9387" s="22" t="s">
        <v>1861</v>
      </c>
    </row>
    <row r="9388" spans="1:9">
      <c r="A9388" t="s">
        <v>185</v>
      </c>
      <c r="B9388" t="s">
        <v>186</v>
      </c>
      <c r="C9388" t="s">
        <v>192</v>
      </c>
      <c r="D9388" t="s">
        <v>184</v>
      </c>
      <c r="E9388" t="s">
        <v>193</v>
      </c>
      <c r="F9388" t="s">
        <v>257</v>
      </c>
      <c r="G9388" t="s">
        <v>226</v>
      </c>
      <c r="H9388" t="s">
        <v>247</v>
      </c>
      <c r="I9388" t="s">
        <v>227</v>
      </c>
    </row>
    <row r="9389" spans="1:9">
      <c r="A9389" t="s">
        <v>195</v>
      </c>
      <c r="B9389" t="s">
        <v>202</v>
      </c>
      <c r="C9389">
        <v>531</v>
      </c>
      <c r="D9389" t="s">
        <v>194</v>
      </c>
      <c r="E9389">
        <v>2666</v>
      </c>
      <c r="F9389" s="3">
        <v>2.06E-2</v>
      </c>
      <c r="G9389" s="3">
        <v>0.67049999999999998</v>
      </c>
      <c r="H9389" s="3">
        <v>3.0000000000000001E-3</v>
      </c>
      <c r="I9389" s="3">
        <v>0.30590000000000001</v>
      </c>
    </row>
    <row r="9390" spans="1:9">
      <c r="A9390" t="s">
        <v>195</v>
      </c>
      <c r="B9390" t="s">
        <v>204</v>
      </c>
      <c r="C9390">
        <v>299</v>
      </c>
      <c r="D9390" t="s">
        <v>194</v>
      </c>
      <c r="E9390">
        <v>2666</v>
      </c>
      <c r="F9390" s="3">
        <v>2.8899999999999999E-2</v>
      </c>
      <c r="G9390" s="3">
        <v>0.68289999999999995</v>
      </c>
      <c r="I9390" s="3">
        <v>0.28820000000000001</v>
      </c>
    </row>
    <row r="9391" spans="1:9">
      <c r="A9391" t="s">
        <v>195</v>
      </c>
      <c r="B9391" t="s">
        <v>205</v>
      </c>
      <c r="C9391">
        <v>330</v>
      </c>
      <c r="D9391" t="s">
        <v>194</v>
      </c>
      <c r="E9391">
        <v>2666</v>
      </c>
      <c r="F9391" s="3">
        <v>5.4000000000000003E-3</v>
      </c>
      <c r="G9391" s="3">
        <v>0.71309999999999996</v>
      </c>
      <c r="I9391" s="3">
        <v>0.28160000000000002</v>
      </c>
    </row>
    <row r="9392" spans="1:9">
      <c r="A9392" t="s">
        <v>199</v>
      </c>
      <c r="B9392" t="s">
        <v>202</v>
      </c>
      <c r="C9392">
        <v>536</v>
      </c>
      <c r="D9392" t="s">
        <v>194</v>
      </c>
      <c r="E9392">
        <v>2666</v>
      </c>
      <c r="F9392" s="3">
        <v>8.5000000000000006E-3</v>
      </c>
      <c r="G9392" s="3">
        <v>0.84240000000000004</v>
      </c>
      <c r="H9392" s="3">
        <v>5.9999999999999995E-4</v>
      </c>
      <c r="I9392" s="3">
        <v>0.1484</v>
      </c>
    </row>
    <row r="9393" spans="1:9">
      <c r="A9393" t="s">
        <v>199</v>
      </c>
      <c r="B9393" t="s">
        <v>204</v>
      </c>
      <c r="C9393">
        <v>426</v>
      </c>
      <c r="D9393" t="s">
        <v>194</v>
      </c>
      <c r="E9393">
        <v>2666</v>
      </c>
      <c r="F9393" s="3">
        <v>6.8999999999999999E-3</v>
      </c>
      <c r="G9393" s="3">
        <v>0.84830000000000005</v>
      </c>
      <c r="I9393" s="3">
        <v>0.1449</v>
      </c>
    </row>
    <row r="9394" spans="1:9">
      <c r="A9394" t="s">
        <v>199</v>
      </c>
      <c r="B9394" t="s">
        <v>205</v>
      </c>
      <c r="C9394">
        <v>505</v>
      </c>
      <c r="D9394" t="s">
        <v>194</v>
      </c>
      <c r="E9394">
        <v>2666</v>
      </c>
      <c r="F9394" s="3">
        <v>1.9E-2</v>
      </c>
      <c r="G9394" s="3">
        <v>0.78490000000000004</v>
      </c>
      <c r="I9394" s="3">
        <v>0.19600000000000001</v>
      </c>
    </row>
    <row r="9395" spans="1:9">
      <c r="A9395" t="s">
        <v>200</v>
      </c>
      <c r="B9395" t="s">
        <v>200</v>
      </c>
      <c r="C9395">
        <v>2666</v>
      </c>
      <c r="D9395" t="s">
        <v>200</v>
      </c>
      <c r="E9395">
        <v>2666</v>
      </c>
      <c r="F9395" s="3">
        <v>1.4500000000000001E-2</v>
      </c>
      <c r="G9395" s="3">
        <v>0.7651</v>
      </c>
      <c r="H9395" s="3">
        <v>1.1000000000000001E-3</v>
      </c>
      <c r="I9395" s="3">
        <v>0.21920000000000001</v>
      </c>
    </row>
    <row r="9397" spans="1:9" ht="45">
      <c r="A9397" s="22" t="s">
        <v>1862</v>
      </c>
    </row>
    <row r="9398" spans="1:9">
      <c r="A9398" t="s">
        <v>185</v>
      </c>
      <c r="B9398" t="s">
        <v>186</v>
      </c>
      <c r="C9398" t="s">
        <v>192</v>
      </c>
      <c r="D9398" t="s">
        <v>184</v>
      </c>
      <c r="E9398" t="s">
        <v>193</v>
      </c>
      <c r="F9398" t="s">
        <v>257</v>
      </c>
      <c r="G9398" t="s">
        <v>226</v>
      </c>
      <c r="H9398" t="s">
        <v>247</v>
      </c>
      <c r="I9398" t="s">
        <v>227</v>
      </c>
    </row>
    <row r="9399" spans="1:9">
      <c r="A9399" t="s">
        <v>195</v>
      </c>
      <c r="B9399" t="s">
        <v>207</v>
      </c>
      <c r="C9399">
        <v>319</v>
      </c>
      <c r="D9399" t="s">
        <v>194</v>
      </c>
      <c r="E9399">
        <v>2666</v>
      </c>
      <c r="F9399" s="3">
        <v>3.0800000000000001E-2</v>
      </c>
      <c r="G9399" s="3">
        <v>0.65010000000000001</v>
      </c>
      <c r="I9399" s="3">
        <v>0.31909999999999999</v>
      </c>
    </row>
    <row r="9400" spans="1:9">
      <c r="A9400" t="s">
        <v>195</v>
      </c>
      <c r="B9400" t="s">
        <v>209</v>
      </c>
      <c r="C9400">
        <v>862</v>
      </c>
      <c r="D9400" t="s">
        <v>194</v>
      </c>
      <c r="E9400">
        <v>2666</v>
      </c>
      <c r="F9400" s="3">
        <v>1.66E-2</v>
      </c>
      <c r="G9400" s="3">
        <v>0.68940000000000001</v>
      </c>
      <c r="H9400" s="3">
        <v>2.5999999999999999E-3</v>
      </c>
      <c r="I9400" s="3">
        <v>0.2913</v>
      </c>
    </row>
    <row r="9401" spans="1:9">
      <c r="A9401" t="s">
        <v>199</v>
      </c>
      <c r="B9401" t="s">
        <v>207</v>
      </c>
      <c r="C9401">
        <v>283</v>
      </c>
      <c r="D9401" t="s">
        <v>194</v>
      </c>
      <c r="E9401">
        <v>2666</v>
      </c>
      <c r="F9401" s="3">
        <v>7.1999999999999998E-3</v>
      </c>
      <c r="G9401" s="3">
        <v>0.78600000000000003</v>
      </c>
      <c r="I9401" s="3">
        <v>0.20669999999999999</v>
      </c>
    </row>
    <row r="9402" spans="1:9">
      <c r="A9402" t="s">
        <v>199</v>
      </c>
      <c r="B9402" t="s">
        <v>209</v>
      </c>
      <c r="C9402">
        <v>1202</v>
      </c>
      <c r="D9402" t="s">
        <v>194</v>
      </c>
      <c r="E9402">
        <v>2666</v>
      </c>
      <c r="F9402" s="3">
        <v>1.04E-2</v>
      </c>
      <c r="G9402" s="3">
        <v>0.84040000000000004</v>
      </c>
      <c r="H9402" s="3">
        <v>5.0000000000000001E-4</v>
      </c>
      <c r="I9402" s="3">
        <v>0.14879999999999999</v>
      </c>
    </row>
    <row r="9403" spans="1:9">
      <c r="A9403" t="s">
        <v>200</v>
      </c>
      <c r="B9403" t="s">
        <v>200</v>
      </c>
      <c r="C9403">
        <v>2666</v>
      </c>
      <c r="D9403" t="s">
        <v>200</v>
      </c>
      <c r="E9403">
        <v>2666</v>
      </c>
      <c r="F9403" s="3">
        <v>1.4500000000000001E-2</v>
      </c>
      <c r="G9403" s="3">
        <v>0.7651</v>
      </c>
      <c r="H9403" s="3">
        <v>1.1000000000000001E-3</v>
      </c>
      <c r="I9403" s="3">
        <v>0.21920000000000001</v>
      </c>
    </row>
    <row r="9405" spans="1:9" ht="45">
      <c r="A9405" s="22" t="s">
        <v>1863</v>
      </c>
    </row>
    <row r="9406" spans="1:9">
      <c r="A9406" t="s">
        <v>185</v>
      </c>
      <c r="B9406" t="s">
        <v>192</v>
      </c>
      <c r="C9406" t="s">
        <v>184</v>
      </c>
      <c r="D9406" t="s">
        <v>193</v>
      </c>
      <c r="E9406" t="s">
        <v>257</v>
      </c>
      <c r="F9406" t="s">
        <v>226</v>
      </c>
      <c r="G9406" t="s">
        <v>247</v>
      </c>
      <c r="H9406" t="s">
        <v>227</v>
      </c>
    </row>
    <row r="9407" spans="1:9">
      <c r="A9407" t="s">
        <v>195</v>
      </c>
      <c r="B9407">
        <v>1181</v>
      </c>
      <c r="C9407" t="s">
        <v>194</v>
      </c>
      <c r="D9407">
        <v>2666</v>
      </c>
      <c r="E9407" s="3">
        <v>2.0199999999999999E-2</v>
      </c>
      <c r="F9407" s="3">
        <v>0.67930000000000001</v>
      </c>
      <c r="G9407" s="3">
        <v>2E-3</v>
      </c>
      <c r="H9407" s="3">
        <v>0.29849999999999999</v>
      </c>
    </row>
    <row r="9408" spans="1:9">
      <c r="A9408" t="s">
        <v>199</v>
      </c>
      <c r="B9408">
        <v>1485</v>
      </c>
      <c r="C9408" t="s">
        <v>194</v>
      </c>
      <c r="D9408">
        <v>2666</v>
      </c>
      <c r="E9408" s="3">
        <v>0.01</v>
      </c>
      <c r="F9408" s="3">
        <v>0.8337</v>
      </c>
      <c r="G9408" s="3">
        <v>4.0000000000000002E-4</v>
      </c>
      <c r="H9408" s="3">
        <v>0.15590000000000001</v>
      </c>
    </row>
    <row r="9409" spans="1:9">
      <c r="A9409" t="s">
        <v>200</v>
      </c>
      <c r="B9409">
        <v>2666</v>
      </c>
      <c r="C9409" t="s">
        <v>200</v>
      </c>
      <c r="D9409">
        <v>2666</v>
      </c>
      <c r="E9409" s="3">
        <v>1.4500000000000001E-2</v>
      </c>
      <c r="F9409" s="3">
        <v>0.7651</v>
      </c>
      <c r="G9409" s="3">
        <v>1.1000000000000001E-3</v>
      </c>
      <c r="H9409" s="3">
        <v>0.21920000000000001</v>
      </c>
    </row>
    <row r="9411" spans="1:9" ht="45">
      <c r="A9411" s="22" t="s">
        <v>1864</v>
      </c>
    </row>
    <row r="9412" spans="1:9">
      <c r="A9412" t="s">
        <v>185</v>
      </c>
      <c r="B9412" t="s">
        <v>186</v>
      </c>
      <c r="C9412" t="s">
        <v>192</v>
      </c>
      <c r="D9412" t="s">
        <v>184</v>
      </c>
      <c r="E9412" t="s">
        <v>193</v>
      </c>
      <c r="F9412" t="s">
        <v>257</v>
      </c>
      <c r="G9412" t="s">
        <v>226</v>
      </c>
      <c r="H9412" t="s">
        <v>247</v>
      </c>
      <c r="I9412" t="s">
        <v>227</v>
      </c>
    </row>
    <row r="9413" spans="1:9">
      <c r="A9413" t="s">
        <v>195</v>
      </c>
      <c r="B9413" t="s">
        <v>212</v>
      </c>
      <c r="C9413">
        <v>868</v>
      </c>
      <c r="D9413" t="s">
        <v>194</v>
      </c>
      <c r="E9413">
        <v>2666</v>
      </c>
      <c r="F9413" s="3">
        <v>2.0899999999999998E-2</v>
      </c>
      <c r="G9413" s="3">
        <v>0.65769999999999995</v>
      </c>
      <c r="H9413" s="3">
        <v>2.5999999999999999E-3</v>
      </c>
      <c r="I9413" s="3">
        <v>0.31869999999999998</v>
      </c>
    </row>
    <row r="9414" spans="1:9">
      <c r="A9414" t="s">
        <v>195</v>
      </c>
      <c r="B9414" t="s">
        <v>214</v>
      </c>
      <c r="C9414">
        <v>181</v>
      </c>
      <c r="D9414" t="s">
        <v>194</v>
      </c>
      <c r="E9414">
        <v>2666</v>
      </c>
      <c r="F9414" s="3">
        <v>2.6599999999999999E-2</v>
      </c>
      <c r="G9414" s="3">
        <v>0.79200000000000004</v>
      </c>
      <c r="I9414" s="3">
        <v>0.18140000000000001</v>
      </c>
    </row>
    <row r="9415" spans="1:9">
      <c r="A9415" t="s">
        <v>195</v>
      </c>
      <c r="B9415" t="s">
        <v>215</v>
      </c>
      <c r="C9415">
        <v>132</v>
      </c>
      <c r="D9415" t="s">
        <v>194</v>
      </c>
      <c r="E9415">
        <v>2666</v>
      </c>
      <c r="F9415" s="3">
        <v>1.1999999999999999E-3</v>
      </c>
      <c r="G9415" s="3">
        <v>0.64949999999999997</v>
      </c>
      <c r="I9415" s="3">
        <v>0.3493</v>
      </c>
    </row>
    <row r="9416" spans="1:9">
      <c r="A9416" t="s">
        <v>199</v>
      </c>
      <c r="B9416" t="s">
        <v>212</v>
      </c>
      <c r="C9416">
        <v>1115</v>
      </c>
      <c r="D9416" t="s">
        <v>194</v>
      </c>
      <c r="E9416">
        <v>2666</v>
      </c>
      <c r="F9416" s="3">
        <v>1.2E-2</v>
      </c>
      <c r="G9416" s="3">
        <v>0.82379999999999998</v>
      </c>
      <c r="H9416" s="3">
        <v>5.0000000000000001E-4</v>
      </c>
      <c r="I9416" s="3">
        <v>0.16370000000000001</v>
      </c>
    </row>
    <row r="9417" spans="1:9">
      <c r="A9417" t="s">
        <v>199</v>
      </c>
      <c r="B9417" t="s">
        <v>214</v>
      </c>
      <c r="C9417">
        <v>197</v>
      </c>
      <c r="D9417" t="s">
        <v>194</v>
      </c>
      <c r="E9417">
        <v>2666</v>
      </c>
      <c r="F9417" s="3">
        <v>5.1999999999999998E-3</v>
      </c>
      <c r="G9417" s="3">
        <v>0.88770000000000004</v>
      </c>
      <c r="I9417" s="3">
        <v>0.1072</v>
      </c>
    </row>
    <row r="9418" spans="1:9">
      <c r="A9418" t="s">
        <v>199</v>
      </c>
      <c r="B9418" t="s">
        <v>215</v>
      </c>
      <c r="C9418">
        <v>173</v>
      </c>
      <c r="D9418" t="s">
        <v>194</v>
      </c>
      <c r="E9418">
        <v>2666</v>
      </c>
      <c r="F9418" s="3">
        <v>2.9999999999999997E-4</v>
      </c>
      <c r="G9418" s="3">
        <v>0.8266</v>
      </c>
      <c r="I9418" s="3">
        <v>0.1731</v>
      </c>
    </row>
    <row r="9419" spans="1:9">
      <c r="A9419" t="s">
        <v>200</v>
      </c>
      <c r="B9419" t="s">
        <v>200</v>
      </c>
      <c r="C9419">
        <v>2666</v>
      </c>
      <c r="D9419" t="s">
        <v>200</v>
      </c>
      <c r="E9419">
        <v>2666</v>
      </c>
      <c r="F9419" s="3">
        <v>1.4500000000000001E-2</v>
      </c>
      <c r="G9419" s="3">
        <v>0.7651</v>
      </c>
      <c r="H9419" s="3">
        <v>1.1000000000000001E-3</v>
      </c>
      <c r="I9419" s="3">
        <v>0.21920000000000001</v>
      </c>
    </row>
    <row r="9421" spans="1:9" ht="45">
      <c r="A9421" s="22" t="s">
        <v>1865</v>
      </c>
    </row>
    <row r="9422" spans="1:9">
      <c r="A9422" t="s">
        <v>185</v>
      </c>
      <c r="B9422" t="s">
        <v>186</v>
      </c>
      <c r="C9422" t="s">
        <v>192</v>
      </c>
      <c r="D9422" t="s">
        <v>184</v>
      </c>
      <c r="E9422" t="s">
        <v>193</v>
      </c>
      <c r="F9422" t="s">
        <v>257</v>
      </c>
      <c r="G9422" t="s">
        <v>226</v>
      </c>
      <c r="H9422" t="s">
        <v>247</v>
      </c>
      <c r="I9422" t="s">
        <v>227</v>
      </c>
    </row>
    <row r="9423" spans="1:9">
      <c r="A9423" t="s">
        <v>195</v>
      </c>
      <c r="B9423" t="s">
        <v>217</v>
      </c>
      <c r="C9423">
        <v>494</v>
      </c>
      <c r="D9423" t="s">
        <v>194</v>
      </c>
      <c r="E9423">
        <v>2666</v>
      </c>
      <c r="F9423" s="3">
        <v>1.3899999999999999E-2</v>
      </c>
      <c r="G9423" s="3">
        <v>0.64749999999999996</v>
      </c>
      <c r="H9423" s="3">
        <v>4.7000000000000002E-3</v>
      </c>
      <c r="I9423" s="3">
        <v>0.33400000000000002</v>
      </c>
    </row>
    <row r="9424" spans="1:9">
      <c r="A9424" t="s">
        <v>195</v>
      </c>
      <c r="B9424" t="s">
        <v>219</v>
      </c>
      <c r="C9424">
        <v>505</v>
      </c>
      <c r="D9424" t="s">
        <v>194</v>
      </c>
      <c r="E9424">
        <v>2666</v>
      </c>
      <c r="F9424" s="3">
        <v>2.7900000000000001E-2</v>
      </c>
      <c r="G9424" s="3">
        <v>0.7107</v>
      </c>
      <c r="I9424" s="3">
        <v>0.26140000000000002</v>
      </c>
    </row>
    <row r="9425" spans="1:17">
      <c r="A9425" t="s">
        <v>195</v>
      </c>
      <c r="B9425" t="s">
        <v>220</v>
      </c>
      <c r="C9425">
        <v>181</v>
      </c>
      <c r="D9425" t="s">
        <v>194</v>
      </c>
      <c r="E9425">
        <v>2666</v>
      </c>
      <c r="F9425" s="3">
        <v>1.8499999999999999E-2</v>
      </c>
      <c r="G9425" s="3">
        <v>0.68530000000000002</v>
      </c>
      <c r="I9425" s="3">
        <v>0.29620000000000002</v>
      </c>
    </row>
    <row r="9426" spans="1:17">
      <c r="A9426" t="s">
        <v>199</v>
      </c>
      <c r="B9426" t="s">
        <v>217</v>
      </c>
      <c r="C9426">
        <v>812</v>
      </c>
      <c r="D9426" t="s">
        <v>194</v>
      </c>
      <c r="E9426">
        <v>2666</v>
      </c>
      <c r="F9426" s="3">
        <v>1.0999999999999999E-2</v>
      </c>
      <c r="G9426" s="3">
        <v>0.83399999999999996</v>
      </c>
      <c r="I9426" s="3">
        <v>0.155</v>
      </c>
    </row>
    <row r="9427" spans="1:17">
      <c r="A9427" t="s">
        <v>199</v>
      </c>
      <c r="B9427" t="s">
        <v>219</v>
      </c>
      <c r="C9427">
        <v>451</v>
      </c>
      <c r="D9427" t="s">
        <v>194</v>
      </c>
      <c r="E9427">
        <v>2666</v>
      </c>
      <c r="F9427" s="3">
        <v>8.8999999999999999E-3</v>
      </c>
      <c r="G9427" s="3">
        <v>0.86460000000000004</v>
      </c>
      <c r="H9427" s="3">
        <v>1.6000000000000001E-3</v>
      </c>
      <c r="I9427" s="3">
        <v>0.12479999999999999</v>
      </c>
    </row>
    <row r="9428" spans="1:17">
      <c r="A9428" t="s">
        <v>199</v>
      </c>
      <c r="B9428" t="s">
        <v>220</v>
      </c>
      <c r="C9428">
        <v>222</v>
      </c>
      <c r="D9428" t="s">
        <v>194</v>
      </c>
      <c r="E9428">
        <v>2666</v>
      </c>
      <c r="F9428" s="3">
        <v>7.7999999999999996E-3</v>
      </c>
      <c r="G9428" s="3">
        <v>0.78390000000000004</v>
      </c>
      <c r="I9428" s="3">
        <v>0.20830000000000001</v>
      </c>
    </row>
    <row r="9429" spans="1:17">
      <c r="A9429" t="s">
        <v>200</v>
      </c>
      <c r="B9429" t="s">
        <v>200</v>
      </c>
      <c r="C9429">
        <v>2666</v>
      </c>
      <c r="D9429" t="s">
        <v>200</v>
      </c>
      <c r="E9429">
        <v>2666</v>
      </c>
      <c r="F9429" s="3">
        <v>1.4500000000000001E-2</v>
      </c>
      <c r="G9429" s="3">
        <v>0.7651</v>
      </c>
      <c r="H9429" s="3">
        <v>1.1000000000000001E-3</v>
      </c>
      <c r="I9429" s="3">
        <v>0.21920000000000001</v>
      </c>
    </row>
    <row r="9431" spans="1:17" ht="45">
      <c r="A9431" s="22" t="s">
        <v>1866</v>
      </c>
    </row>
    <row r="9432" spans="1:17">
      <c r="A9432" t="s">
        <v>185</v>
      </c>
      <c r="B9432" t="s">
        <v>186</v>
      </c>
      <c r="C9432" t="s">
        <v>192</v>
      </c>
      <c r="D9432" t="s">
        <v>184</v>
      </c>
      <c r="E9432" t="s">
        <v>193</v>
      </c>
      <c r="F9432" t="s">
        <v>329</v>
      </c>
      <c r="G9432" t="s">
        <v>274</v>
      </c>
      <c r="H9432" t="s">
        <v>1867</v>
      </c>
      <c r="I9432" t="s">
        <v>1868</v>
      </c>
      <c r="J9432" t="s">
        <v>1738</v>
      </c>
      <c r="K9432" t="s">
        <v>1869</v>
      </c>
      <c r="L9432" t="s">
        <v>1870</v>
      </c>
      <c r="M9432" t="s">
        <v>1871</v>
      </c>
      <c r="N9432" t="s">
        <v>1872</v>
      </c>
      <c r="O9432" t="s">
        <v>1873</v>
      </c>
      <c r="P9432" t="s">
        <v>1874</v>
      </c>
      <c r="Q9432" t="s">
        <v>1875</v>
      </c>
    </row>
    <row r="9433" spans="1:17">
      <c r="A9433" t="s">
        <v>195</v>
      </c>
      <c r="B9433" t="s">
        <v>222</v>
      </c>
      <c r="C9433">
        <v>74</v>
      </c>
      <c r="D9433" t="s">
        <v>194</v>
      </c>
      <c r="E9433">
        <v>575</v>
      </c>
      <c r="F9433" s="3">
        <v>0.6764</v>
      </c>
      <c r="G9433" s="3">
        <v>4.07E-2</v>
      </c>
      <c r="H9433" s="3">
        <v>2.8299999999999999E-2</v>
      </c>
      <c r="J9433" s="3">
        <v>6.8900000000000003E-2</v>
      </c>
      <c r="K9433" s="3">
        <v>8.2000000000000003E-2</v>
      </c>
      <c r="L9433" s="3">
        <v>7.9000000000000008E-3</v>
      </c>
      <c r="M9433" s="3">
        <v>6.7100000000000007E-2</v>
      </c>
      <c r="N9433" s="3">
        <v>7.0999999999999994E-2</v>
      </c>
      <c r="O9433" s="3">
        <v>1.66E-2</v>
      </c>
      <c r="Q9433" s="3">
        <v>0.1328</v>
      </c>
    </row>
    <row r="9434" spans="1:17">
      <c r="A9434" t="s">
        <v>195</v>
      </c>
      <c r="B9434" t="s">
        <v>224</v>
      </c>
      <c r="C9434">
        <v>233</v>
      </c>
      <c r="D9434" t="s">
        <v>194</v>
      </c>
      <c r="E9434">
        <v>575</v>
      </c>
      <c r="F9434" s="3">
        <v>0.56130000000000002</v>
      </c>
      <c r="G9434" s="3">
        <v>5.96E-2</v>
      </c>
      <c r="H9434" s="3">
        <v>1.7399999999999999E-2</v>
      </c>
      <c r="I9434" s="3">
        <v>1.1299999999999999E-2</v>
      </c>
      <c r="K9434" s="3">
        <v>8.9200000000000002E-2</v>
      </c>
      <c r="L9434" s="3">
        <v>0.1512</v>
      </c>
      <c r="M9434" s="3">
        <v>7.4800000000000005E-2</v>
      </c>
      <c r="N9434" s="3">
        <v>2.4799999999999999E-2</v>
      </c>
      <c r="O9434" s="3">
        <v>4.1700000000000001E-2</v>
      </c>
      <c r="P9434" s="3">
        <v>1.4E-3</v>
      </c>
      <c r="Q9434" s="3">
        <v>0.1822</v>
      </c>
    </row>
    <row r="9435" spans="1:17">
      <c r="A9435" t="s">
        <v>199</v>
      </c>
      <c r="B9435" t="s">
        <v>222</v>
      </c>
      <c r="C9435">
        <v>69</v>
      </c>
      <c r="D9435" t="s">
        <v>194</v>
      </c>
      <c r="E9435">
        <v>575</v>
      </c>
      <c r="F9435" s="3">
        <v>0.71919999999999995</v>
      </c>
      <c r="G9435" s="3">
        <v>8.3999999999999995E-3</v>
      </c>
      <c r="H9435" s="3">
        <v>6.7999999999999996E-3</v>
      </c>
      <c r="J9435" s="3">
        <v>2.1499999999999998E-2</v>
      </c>
      <c r="K9435" s="3">
        <v>0.13689999999999999</v>
      </c>
      <c r="L9435" s="3">
        <v>7.4999999999999997E-3</v>
      </c>
      <c r="M9435" s="3">
        <v>4.3400000000000001E-2</v>
      </c>
      <c r="N9435" s="3">
        <v>3.5000000000000001E-3</v>
      </c>
      <c r="O9435" s="3">
        <v>6.0000000000000001E-3</v>
      </c>
      <c r="P9435" s="3">
        <v>8.0000000000000004E-4</v>
      </c>
      <c r="Q9435" s="3">
        <v>9.3100000000000002E-2</v>
      </c>
    </row>
    <row r="9436" spans="1:17">
      <c r="A9436" t="s">
        <v>199</v>
      </c>
      <c r="B9436" t="s">
        <v>224</v>
      </c>
      <c r="C9436">
        <v>199</v>
      </c>
      <c r="D9436" t="s">
        <v>194</v>
      </c>
      <c r="E9436">
        <v>575</v>
      </c>
      <c r="F9436" s="3">
        <v>0.73980000000000001</v>
      </c>
      <c r="G9436" s="3">
        <v>2.0899999999999998E-2</v>
      </c>
      <c r="H9436" s="3">
        <v>3.1199999999999999E-2</v>
      </c>
      <c r="I9436" s="3">
        <v>8.8999999999999999E-3</v>
      </c>
      <c r="J9436" s="3">
        <v>3.5999999999999999E-3</v>
      </c>
      <c r="K9436" s="3">
        <v>8.2299999999999998E-2</v>
      </c>
      <c r="L9436" s="3">
        <v>9.35E-2</v>
      </c>
      <c r="M9436" s="3">
        <v>0.1246</v>
      </c>
      <c r="N9436" s="3">
        <v>1.9800000000000002E-2</v>
      </c>
      <c r="O9436" s="3">
        <v>3.4299999999999997E-2</v>
      </c>
      <c r="P9436" s="3">
        <v>7.1000000000000004E-3</v>
      </c>
      <c r="Q9436" s="3">
        <v>0.13780000000000001</v>
      </c>
    </row>
    <row r="9437" spans="1:17">
      <c r="A9437" t="s">
        <v>200</v>
      </c>
      <c r="B9437" t="s">
        <v>200</v>
      </c>
      <c r="C9437">
        <v>575</v>
      </c>
      <c r="D9437" t="s">
        <v>200</v>
      </c>
      <c r="E9437">
        <v>575</v>
      </c>
      <c r="F9437" s="3">
        <v>0.64829999999999999</v>
      </c>
      <c r="G9437" s="3">
        <v>0.04</v>
      </c>
      <c r="H9437" s="3">
        <v>2.1999999999999999E-2</v>
      </c>
      <c r="I9437" s="3">
        <v>7.6E-3</v>
      </c>
      <c r="J9437" s="3">
        <v>1.43E-2</v>
      </c>
      <c r="K9437" s="3">
        <v>9.0999999999999998E-2</v>
      </c>
      <c r="L9437" s="3">
        <v>9.6500000000000002E-2</v>
      </c>
      <c r="M9437" s="3">
        <v>8.48E-2</v>
      </c>
      <c r="N9437" s="3">
        <v>2.8500000000000001E-2</v>
      </c>
      <c r="O9437" s="3">
        <v>3.1800000000000002E-2</v>
      </c>
      <c r="P9437" s="3">
        <v>2.8E-3</v>
      </c>
      <c r="Q9437" s="3">
        <v>0.15210000000000001</v>
      </c>
    </row>
    <row r="9439" spans="1:17" ht="45">
      <c r="A9439" s="22" t="s">
        <v>1876</v>
      </c>
    </row>
    <row r="9440" spans="1:17">
      <c r="A9440" t="s">
        <v>185</v>
      </c>
      <c r="B9440" t="s">
        <v>186</v>
      </c>
      <c r="C9440" t="s">
        <v>192</v>
      </c>
      <c r="D9440" t="s">
        <v>184</v>
      </c>
      <c r="E9440" t="s">
        <v>193</v>
      </c>
      <c r="F9440" t="s">
        <v>329</v>
      </c>
      <c r="G9440" t="s">
        <v>274</v>
      </c>
      <c r="H9440" t="s">
        <v>1867</v>
      </c>
      <c r="I9440" t="s">
        <v>1868</v>
      </c>
      <c r="J9440" t="s">
        <v>1738</v>
      </c>
      <c r="K9440" t="s">
        <v>1869</v>
      </c>
      <c r="L9440" t="s">
        <v>1870</v>
      </c>
      <c r="M9440" t="s">
        <v>1871</v>
      </c>
      <c r="N9440" t="s">
        <v>1872</v>
      </c>
      <c r="O9440" t="s">
        <v>1873</v>
      </c>
      <c r="P9440" t="s">
        <v>1874</v>
      </c>
      <c r="Q9440" t="s">
        <v>1875</v>
      </c>
    </row>
    <row r="9441" spans="1:17">
      <c r="A9441" t="s">
        <v>195</v>
      </c>
      <c r="B9441" t="s">
        <v>229</v>
      </c>
      <c r="C9441">
        <v>40</v>
      </c>
      <c r="D9441" t="s">
        <v>194</v>
      </c>
      <c r="E9441">
        <v>575</v>
      </c>
      <c r="F9441" s="3">
        <v>0.66590000000000005</v>
      </c>
      <c r="G9441" s="3">
        <v>5.0099999999999999E-2</v>
      </c>
      <c r="H9441" s="3">
        <v>2.4E-2</v>
      </c>
      <c r="I9441" s="3">
        <v>2.5499999999999998E-2</v>
      </c>
      <c r="J9441" s="3">
        <v>1.0800000000000001E-2</v>
      </c>
      <c r="K9441" s="3">
        <v>4.3299999999999998E-2</v>
      </c>
      <c r="L9441" s="3">
        <v>8.6499999999999994E-2</v>
      </c>
      <c r="M9441" s="3">
        <v>0.1862</v>
      </c>
      <c r="O9441" s="3">
        <v>6.5799999999999997E-2</v>
      </c>
      <c r="Q9441" s="3">
        <v>9.1499999999999998E-2</v>
      </c>
    </row>
    <row r="9442" spans="1:17">
      <c r="A9442" t="s">
        <v>195</v>
      </c>
      <c r="B9442" t="s">
        <v>230</v>
      </c>
      <c r="C9442">
        <v>132</v>
      </c>
      <c r="D9442" t="s">
        <v>194</v>
      </c>
      <c r="E9442">
        <v>575</v>
      </c>
      <c r="F9442" s="3">
        <v>0.50349999999999995</v>
      </c>
      <c r="G9442" s="3">
        <v>0.08</v>
      </c>
      <c r="H9442" s="3">
        <v>3.3300000000000003E-2</v>
      </c>
      <c r="I9442" s="3">
        <v>3.3999999999999998E-3</v>
      </c>
      <c r="J9442" s="3">
        <v>1.9E-2</v>
      </c>
      <c r="K9442" s="3">
        <v>0.13900000000000001</v>
      </c>
      <c r="L9442" s="3">
        <v>0.14199999999999999</v>
      </c>
      <c r="M9442" s="3">
        <v>3.3700000000000001E-2</v>
      </c>
      <c r="N9442" s="3">
        <v>4.0300000000000002E-2</v>
      </c>
      <c r="O9442" s="3">
        <v>2.1499999999999998E-2</v>
      </c>
      <c r="P9442" s="3">
        <v>5.9999999999999995E-4</v>
      </c>
      <c r="Q9442" s="3">
        <v>0.253</v>
      </c>
    </row>
    <row r="9443" spans="1:17">
      <c r="A9443" t="s">
        <v>195</v>
      </c>
      <c r="B9443" t="s">
        <v>231</v>
      </c>
      <c r="C9443">
        <v>77</v>
      </c>
      <c r="D9443" t="s">
        <v>194</v>
      </c>
      <c r="E9443">
        <v>575</v>
      </c>
      <c r="F9443" s="3">
        <v>0.6784</v>
      </c>
      <c r="G9443" s="3">
        <v>3.2099999999999997E-2</v>
      </c>
      <c r="H9443" s="3">
        <v>5.4000000000000003E-3</v>
      </c>
      <c r="I9443" s="3">
        <v>8.6E-3</v>
      </c>
      <c r="J9443" s="3">
        <v>2.9499999999999998E-2</v>
      </c>
      <c r="K9443" s="3">
        <v>6.2100000000000002E-2</v>
      </c>
      <c r="L9443" s="3">
        <v>5.11E-2</v>
      </c>
      <c r="M9443" s="3">
        <v>7.3200000000000001E-2</v>
      </c>
      <c r="N9443" s="3">
        <v>8.0999999999999996E-3</v>
      </c>
      <c r="O9443" s="3">
        <v>4.2999999999999997E-2</v>
      </c>
      <c r="P9443" s="3">
        <v>3.3999999999999998E-3</v>
      </c>
      <c r="Q9443" s="3">
        <v>0.1116</v>
      </c>
    </row>
    <row r="9444" spans="1:17">
      <c r="A9444" t="s">
        <v>195</v>
      </c>
      <c r="B9444" t="s">
        <v>232</v>
      </c>
      <c r="C9444">
        <v>58</v>
      </c>
      <c r="D9444" t="s">
        <v>194</v>
      </c>
      <c r="E9444">
        <v>575</v>
      </c>
      <c r="F9444" s="3">
        <v>0.63780000000000003</v>
      </c>
      <c r="G9444" s="3">
        <v>1.9199999999999998E-2</v>
      </c>
      <c r="I9444" s="3">
        <v>2.8E-3</v>
      </c>
      <c r="J9444" s="3">
        <v>7.7999999999999996E-3</v>
      </c>
      <c r="K9444" s="3">
        <v>2.35E-2</v>
      </c>
      <c r="L9444" s="3">
        <v>0.151</v>
      </c>
      <c r="M9444" s="3">
        <v>5.8599999999999999E-2</v>
      </c>
      <c r="N9444" s="3">
        <v>0.11070000000000001</v>
      </c>
      <c r="O9444" s="3">
        <v>2.81E-2</v>
      </c>
      <c r="Q9444" s="3">
        <v>9.7199999999999995E-2</v>
      </c>
    </row>
    <row r="9445" spans="1:17" s="25" customFormat="1">
      <c r="A9445" s="25" t="s">
        <v>199</v>
      </c>
      <c r="B9445" s="25" t="s">
        <v>229</v>
      </c>
      <c r="C9445" s="25">
        <v>25</v>
      </c>
      <c r="D9445" s="25" t="s">
        <v>194</v>
      </c>
      <c r="E9445" s="25">
        <v>575</v>
      </c>
      <c r="F9445" s="26">
        <v>0.94040000000000001</v>
      </c>
      <c r="H9445" s="26">
        <v>1.3299999999999999E-2</v>
      </c>
      <c r="J9445" s="26">
        <v>1.3299999999999999E-2</v>
      </c>
      <c r="K9445" s="26">
        <v>2.0199999999999999E-2</v>
      </c>
      <c r="L9445" s="26">
        <v>1.43E-2</v>
      </c>
      <c r="M9445" s="26">
        <v>2.8500000000000001E-2</v>
      </c>
      <c r="Q9445" s="26">
        <v>2.5700000000000001E-2</v>
      </c>
    </row>
    <row r="9446" spans="1:17">
      <c r="A9446" t="s">
        <v>199</v>
      </c>
      <c r="B9446" t="s">
        <v>230</v>
      </c>
      <c r="C9446">
        <v>131</v>
      </c>
      <c r="D9446" t="s">
        <v>194</v>
      </c>
      <c r="E9446">
        <v>575</v>
      </c>
      <c r="F9446" s="3">
        <v>0.76770000000000005</v>
      </c>
      <c r="G9446" s="3">
        <v>2.8000000000000001E-2</v>
      </c>
      <c r="H9446" s="3">
        <v>3.9199999999999999E-2</v>
      </c>
      <c r="I9446" s="3">
        <v>1.17E-2</v>
      </c>
      <c r="J9446" s="3">
        <v>4.0000000000000002E-4</v>
      </c>
      <c r="K9446" s="3">
        <v>7.8E-2</v>
      </c>
      <c r="L9446" s="3">
        <v>2.5000000000000001E-2</v>
      </c>
      <c r="M9446" s="3">
        <v>6.7599999999999993E-2</v>
      </c>
      <c r="N9446" s="3">
        <v>2.3199999999999998E-2</v>
      </c>
      <c r="O9446" s="3">
        <v>5.33E-2</v>
      </c>
      <c r="P9446" s="3">
        <v>1.11E-2</v>
      </c>
      <c r="Q9446" s="3">
        <v>6.6299999999999998E-2</v>
      </c>
    </row>
    <row r="9447" spans="1:17">
      <c r="A9447" t="s">
        <v>199</v>
      </c>
      <c r="B9447" t="s">
        <v>231</v>
      </c>
      <c r="C9447">
        <v>78</v>
      </c>
      <c r="D9447" t="s">
        <v>194</v>
      </c>
      <c r="E9447">
        <v>575</v>
      </c>
      <c r="F9447" s="3">
        <v>0.64490000000000003</v>
      </c>
      <c r="G9447" s="3">
        <v>2.06E-2</v>
      </c>
      <c r="H9447" s="3">
        <v>1.7299999999999999E-2</v>
      </c>
      <c r="I9447" s="3">
        <v>5.0000000000000001E-3</v>
      </c>
      <c r="J9447" s="3">
        <v>3.27E-2</v>
      </c>
      <c r="K9447" s="3">
        <v>5.5199999999999999E-2</v>
      </c>
      <c r="L9447" s="3">
        <v>1.9199999999999998E-2</v>
      </c>
      <c r="M9447" s="3">
        <v>0.1128</v>
      </c>
      <c r="N9447" s="3">
        <v>5.1000000000000004E-3</v>
      </c>
      <c r="O9447" s="3">
        <v>5.0000000000000001E-3</v>
      </c>
      <c r="Q9447" s="3">
        <v>0.19009999999999999</v>
      </c>
    </row>
    <row r="9448" spans="1:17">
      <c r="A9448" t="s">
        <v>199</v>
      </c>
      <c r="B9448" t="s">
        <v>232</v>
      </c>
      <c r="C9448">
        <v>34</v>
      </c>
      <c r="D9448" t="s">
        <v>194</v>
      </c>
      <c r="E9448">
        <v>575</v>
      </c>
      <c r="F9448" s="3">
        <v>0.41070000000000001</v>
      </c>
      <c r="G9448" s="3">
        <v>4.4000000000000003E-3</v>
      </c>
      <c r="K9448" s="3">
        <v>0.32440000000000002</v>
      </c>
      <c r="L9448" s="3">
        <v>0.37519999999999998</v>
      </c>
      <c r="M9448" s="3">
        <v>0.3286</v>
      </c>
      <c r="N9448" s="3">
        <v>2.4E-2</v>
      </c>
      <c r="Q9448" s="3">
        <v>0.4118</v>
      </c>
    </row>
    <row r="9449" spans="1:17">
      <c r="A9449" t="s">
        <v>200</v>
      </c>
      <c r="B9449" t="s">
        <v>200</v>
      </c>
      <c r="C9449">
        <v>575</v>
      </c>
      <c r="D9449" t="s">
        <v>200</v>
      </c>
      <c r="E9449">
        <v>575</v>
      </c>
      <c r="F9449" s="3">
        <v>0.64829999999999999</v>
      </c>
      <c r="G9449" s="3">
        <v>0.04</v>
      </c>
      <c r="H9449" s="3">
        <v>2.1999999999999999E-2</v>
      </c>
      <c r="I9449" s="3">
        <v>7.6E-3</v>
      </c>
      <c r="J9449" s="3">
        <v>1.43E-2</v>
      </c>
      <c r="K9449" s="3">
        <v>9.0999999999999998E-2</v>
      </c>
      <c r="L9449" s="3">
        <v>9.6500000000000002E-2</v>
      </c>
      <c r="M9449" s="3">
        <v>8.48E-2</v>
      </c>
      <c r="N9449" s="3">
        <v>2.8500000000000001E-2</v>
      </c>
      <c r="O9449" s="3">
        <v>3.1800000000000002E-2</v>
      </c>
      <c r="P9449" s="3">
        <v>2.8E-3</v>
      </c>
      <c r="Q9449" s="3">
        <v>0.15210000000000001</v>
      </c>
    </row>
    <row r="9451" spans="1:17" ht="45">
      <c r="A9451" s="22" t="s">
        <v>1877</v>
      </c>
    </row>
    <row r="9452" spans="1:17">
      <c r="A9452" t="s">
        <v>185</v>
      </c>
      <c r="B9452" t="s">
        <v>186</v>
      </c>
      <c r="C9452" t="s">
        <v>192</v>
      </c>
      <c r="D9452" t="s">
        <v>184</v>
      </c>
      <c r="E9452" t="s">
        <v>193</v>
      </c>
      <c r="F9452" t="s">
        <v>329</v>
      </c>
      <c r="G9452" t="s">
        <v>274</v>
      </c>
      <c r="H9452" t="s">
        <v>1867</v>
      </c>
      <c r="I9452" t="s">
        <v>1868</v>
      </c>
      <c r="J9452" t="s">
        <v>1738</v>
      </c>
      <c r="K9452" t="s">
        <v>1869</v>
      </c>
      <c r="L9452" t="s">
        <v>1870</v>
      </c>
      <c r="M9452" t="s">
        <v>1871</v>
      </c>
      <c r="N9452" t="s">
        <v>1872</v>
      </c>
      <c r="O9452" t="s">
        <v>1873</v>
      </c>
      <c r="P9452" t="s">
        <v>1874</v>
      </c>
      <c r="Q9452" t="s">
        <v>1875</v>
      </c>
    </row>
    <row r="9453" spans="1:17">
      <c r="A9453" t="s">
        <v>195</v>
      </c>
      <c r="B9453" t="s">
        <v>196</v>
      </c>
      <c r="C9453">
        <v>92</v>
      </c>
      <c r="D9453" t="s">
        <v>194</v>
      </c>
      <c r="E9453">
        <v>575</v>
      </c>
      <c r="F9453" s="3">
        <v>0.62119999999999997</v>
      </c>
      <c r="G9453" s="3">
        <v>1.7399999999999999E-2</v>
      </c>
      <c r="H9453" s="3">
        <v>1.9300000000000001E-2</v>
      </c>
      <c r="I9453" s="3">
        <v>1.8800000000000001E-2</v>
      </c>
      <c r="K9453" s="3">
        <v>9.3399999999999997E-2</v>
      </c>
      <c r="L9453" s="3">
        <v>0.16159999999999999</v>
      </c>
      <c r="M9453" s="3">
        <v>7.9200000000000007E-2</v>
      </c>
      <c r="N9453" s="3">
        <v>5.74E-2</v>
      </c>
      <c r="O9453" s="3">
        <v>6.7000000000000004E-2</v>
      </c>
      <c r="P9453" s="3">
        <v>3.3E-3</v>
      </c>
      <c r="Q9453" s="3">
        <v>0.1381</v>
      </c>
    </row>
    <row r="9454" spans="1:17">
      <c r="A9454" t="s">
        <v>195</v>
      </c>
      <c r="B9454" t="s">
        <v>198</v>
      </c>
      <c r="C9454">
        <v>210</v>
      </c>
      <c r="D9454" t="s">
        <v>194</v>
      </c>
      <c r="E9454">
        <v>575</v>
      </c>
      <c r="F9454" s="3">
        <v>0.58109999999999995</v>
      </c>
      <c r="G9454" s="3">
        <v>6.6199999999999995E-2</v>
      </c>
      <c r="H9454" s="3">
        <v>2.07E-2</v>
      </c>
      <c r="I9454" s="3">
        <v>5.1000000000000004E-3</v>
      </c>
      <c r="J9454" s="3">
        <v>2.3900000000000001E-2</v>
      </c>
      <c r="K9454" s="3">
        <v>8.5800000000000001E-2</v>
      </c>
      <c r="L9454" s="3">
        <v>9.8799999999999999E-2</v>
      </c>
      <c r="M9454" s="3">
        <v>7.0800000000000002E-2</v>
      </c>
      <c r="N9454" s="3">
        <v>3.09E-2</v>
      </c>
      <c r="O9454" s="3">
        <v>2.5499999999999998E-2</v>
      </c>
      <c r="P9454" s="3">
        <v>4.0000000000000002E-4</v>
      </c>
      <c r="Q9454" s="3">
        <v>0.17910000000000001</v>
      </c>
    </row>
    <row r="9455" spans="1:17">
      <c r="A9455" t="s">
        <v>199</v>
      </c>
      <c r="B9455" t="s">
        <v>196</v>
      </c>
      <c r="C9455">
        <v>93</v>
      </c>
      <c r="D9455" t="s">
        <v>194</v>
      </c>
      <c r="E9455">
        <v>575</v>
      </c>
      <c r="F9455" s="3">
        <v>0.63859999999999995</v>
      </c>
      <c r="G9455" s="3">
        <v>1.8E-3</v>
      </c>
      <c r="H9455" s="3">
        <v>3.0800000000000001E-2</v>
      </c>
      <c r="I9455" s="3">
        <v>3.0800000000000001E-2</v>
      </c>
      <c r="J9455" s="3">
        <v>8.3000000000000001E-3</v>
      </c>
      <c r="K9455" s="3">
        <v>0.1308</v>
      </c>
      <c r="L9455" s="3">
        <v>8.9899999999999994E-2</v>
      </c>
      <c r="M9455" s="3">
        <v>0.15079999999999999</v>
      </c>
      <c r="N9455" s="3">
        <v>3.0800000000000001E-2</v>
      </c>
      <c r="O9455" s="3">
        <v>8.9999999999999998E-4</v>
      </c>
      <c r="P9455" s="3">
        <v>3.2899999999999999E-2</v>
      </c>
      <c r="Q9455" s="3">
        <v>0.12479999999999999</v>
      </c>
    </row>
    <row r="9456" spans="1:17">
      <c r="A9456" t="s">
        <v>199</v>
      </c>
      <c r="B9456" t="s">
        <v>198</v>
      </c>
      <c r="C9456">
        <v>169</v>
      </c>
      <c r="D9456" t="s">
        <v>194</v>
      </c>
      <c r="E9456">
        <v>575</v>
      </c>
      <c r="F9456" s="3">
        <v>0.75219999999999998</v>
      </c>
      <c r="G9456" s="3">
        <v>2.06E-2</v>
      </c>
      <c r="H9456" s="3">
        <v>2.3599999999999999E-2</v>
      </c>
      <c r="I9456" s="3">
        <v>2E-3</v>
      </c>
      <c r="J9456" s="3">
        <v>8.3000000000000001E-3</v>
      </c>
      <c r="K9456" s="3">
        <v>9.0399999999999994E-2</v>
      </c>
      <c r="L9456" s="3">
        <v>6.7199999999999996E-2</v>
      </c>
      <c r="M9456" s="3">
        <v>9.4200000000000006E-2</v>
      </c>
      <c r="N9456" s="3">
        <v>1.2500000000000001E-2</v>
      </c>
      <c r="O9456" s="3">
        <v>3.1800000000000002E-2</v>
      </c>
      <c r="P9456" s="3">
        <v>2.9999999999999997E-4</v>
      </c>
      <c r="Q9456" s="3">
        <v>0.12659999999999999</v>
      </c>
    </row>
    <row r="9457" spans="1:17">
      <c r="A9457" t="s">
        <v>200</v>
      </c>
      <c r="B9457" t="s">
        <v>200</v>
      </c>
      <c r="C9457">
        <v>575</v>
      </c>
      <c r="D9457" t="s">
        <v>200</v>
      </c>
      <c r="E9457">
        <v>575</v>
      </c>
      <c r="F9457" s="3">
        <v>0.64829999999999999</v>
      </c>
      <c r="G9457" s="3">
        <v>0.04</v>
      </c>
      <c r="H9457" s="3">
        <v>2.1999999999999999E-2</v>
      </c>
      <c r="I9457" s="3">
        <v>7.6E-3</v>
      </c>
      <c r="J9457" s="3">
        <v>1.43E-2</v>
      </c>
      <c r="K9457" s="3">
        <v>9.0999999999999998E-2</v>
      </c>
      <c r="L9457" s="3">
        <v>9.6500000000000002E-2</v>
      </c>
      <c r="M9457" s="3">
        <v>8.48E-2</v>
      </c>
      <c r="N9457" s="3">
        <v>2.8500000000000001E-2</v>
      </c>
      <c r="O9457" s="3">
        <v>3.1800000000000002E-2</v>
      </c>
      <c r="P9457" s="3">
        <v>2.8E-3</v>
      </c>
      <c r="Q9457" s="3">
        <v>0.15210000000000001</v>
      </c>
    </row>
    <row r="9459" spans="1:17" ht="60">
      <c r="A9459" s="22" t="s">
        <v>1878</v>
      </c>
    </row>
    <row r="9460" spans="1:17">
      <c r="A9460" t="s">
        <v>185</v>
      </c>
      <c r="B9460" t="s">
        <v>186</v>
      </c>
      <c r="C9460" t="s">
        <v>192</v>
      </c>
      <c r="D9460" t="s">
        <v>184</v>
      </c>
      <c r="E9460" t="s">
        <v>193</v>
      </c>
      <c r="F9460" t="s">
        <v>329</v>
      </c>
      <c r="G9460" t="s">
        <v>274</v>
      </c>
      <c r="H9460" t="s">
        <v>1867</v>
      </c>
      <c r="I9460" t="s">
        <v>1868</v>
      </c>
      <c r="J9460" t="s">
        <v>1738</v>
      </c>
      <c r="K9460" t="s">
        <v>1869</v>
      </c>
      <c r="L9460" t="s">
        <v>1870</v>
      </c>
      <c r="M9460" t="s">
        <v>1871</v>
      </c>
      <c r="N9460" t="s">
        <v>1872</v>
      </c>
      <c r="O9460" t="s">
        <v>1873</v>
      </c>
      <c r="P9460" t="s">
        <v>1874</v>
      </c>
      <c r="Q9460" t="s">
        <v>1875</v>
      </c>
    </row>
    <row r="9461" spans="1:17">
      <c r="A9461" t="s">
        <v>195</v>
      </c>
      <c r="B9461" t="s">
        <v>202</v>
      </c>
      <c r="C9461">
        <v>147</v>
      </c>
      <c r="D9461" t="s">
        <v>194</v>
      </c>
      <c r="E9461">
        <v>575</v>
      </c>
      <c r="F9461" s="3">
        <v>0.58989999999999998</v>
      </c>
      <c r="G9461" s="3">
        <v>6.6900000000000001E-2</v>
      </c>
      <c r="H9461" s="3">
        <v>1.21E-2</v>
      </c>
      <c r="I9461" s="3">
        <v>1.9E-3</v>
      </c>
      <c r="J9461" s="3">
        <v>2.01E-2</v>
      </c>
      <c r="K9461" s="3">
        <v>9.0899999999999995E-2</v>
      </c>
      <c r="L9461" s="3">
        <v>0.1002</v>
      </c>
      <c r="M9461" s="3">
        <v>4.53E-2</v>
      </c>
      <c r="N9461" s="3">
        <v>5.1400000000000001E-2</v>
      </c>
      <c r="O9461" s="3">
        <v>4.19E-2</v>
      </c>
      <c r="Q9461" s="3">
        <v>0.14810000000000001</v>
      </c>
    </row>
    <row r="9462" spans="1:17">
      <c r="A9462" t="s">
        <v>195</v>
      </c>
      <c r="B9462" t="s">
        <v>204</v>
      </c>
      <c r="C9462">
        <v>86</v>
      </c>
      <c r="D9462" t="s">
        <v>194</v>
      </c>
      <c r="E9462">
        <v>575</v>
      </c>
      <c r="F9462" s="3">
        <v>0.68510000000000004</v>
      </c>
      <c r="G9462" s="3">
        <v>4.2900000000000001E-2</v>
      </c>
      <c r="H9462" s="3">
        <v>2.98E-2</v>
      </c>
      <c r="I9462" s="3">
        <v>2.1299999999999999E-2</v>
      </c>
      <c r="J9462" s="3">
        <v>5.8999999999999999E-3</v>
      </c>
      <c r="K9462" s="3">
        <v>0.11119999999999999</v>
      </c>
      <c r="L9462" s="3">
        <v>0.11260000000000001</v>
      </c>
      <c r="M9462" s="3">
        <v>1.3899999999999999E-2</v>
      </c>
      <c r="N9462" s="3">
        <v>7.6E-3</v>
      </c>
      <c r="O9462" s="3">
        <v>1.5599999999999999E-2</v>
      </c>
      <c r="P9462" s="3">
        <v>3.7000000000000002E-3</v>
      </c>
      <c r="Q9462" s="3">
        <v>0.17710000000000001</v>
      </c>
    </row>
    <row r="9463" spans="1:17">
      <c r="A9463" t="s">
        <v>195</v>
      </c>
      <c r="B9463" t="s">
        <v>205</v>
      </c>
      <c r="C9463">
        <v>69</v>
      </c>
      <c r="D9463" t="s">
        <v>194</v>
      </c>
      <c r="E9463">
        <v>575</v>
      </c>
      <c r="F9463" s="3">
        <v>0.44019999999999998</v>
      </c>
      <c r="G9463" s="3">
        <v>1.1599999999999999E-2</v>
      </c>
      <c r="H9463" s="3">
        <v>4.7600000000000003E-2</v>
      </c>
      <c r="I9463" s="3">
        <v>2.07E-2</v>
      </c>
      <c r="J9463" s="3">
        <v>2.9100000000000001E-2</v>
      </c>
      <c r="K9463" s="3">
        <v>3.2099999999999997E-2</v>
      </c>
      <c r="L9463" s="3">
        <v>0.18379999999999999</v>
      </c>
      <c r="M9463" s="3">
        <v>0.31040000000000001</v>
      </c>
      <c r="N9463" s="3">
        <v>1.06E-2</v>
      </c>
      <c r="O9463" s="3">
        <v>3.1699999999999999E-2</v>
      </c>
      <c r="P9463" s="3">
        <v>2.2000000000000001E-3</v>
      </c>
      <c r="Q9463" s="3">
        <v>0.2681</v>
      </c>
    </row>
    <row r="9464" spans="1:17">
      <c r="A9464" t="s">
        <v>199</v>
      </c>
      <c r="B9464" t="s">
        <v>202</v>
      </c>
      <c r="C9464">
        <v>93</v>
      </c>
      <c r="D9464" t="s">
        <v>194</v>
      </c>
      <c r="E9464">
        <v>575</v>
      </c>
      <c r="F9464" s="3">
        <v>0.75460000000000005</v>
      </c>
      <c r="H9464" s="3">
        <v>1.2699999999999999E-2</v>
      </c>
      <c r="I9464" s="3">
        <v>8.0999999999999996E-3</v>
      </c>
      <c r="J9464" s="3">
        <v>4.7000000000000002E-3</v>
      </c>
      <c r="K9464" s="3">
        <v>0.12889999999999999</v>
      </c>
      <c r="L9464" s="3">
        <v>8.4199999999999997E-2</v>
      </c>
      <c r="M9464" s="3">
        <v>0.11269999999999999</v>
      </c>
      <c r="N9464" s="3">
        <v>1.37E-2</v>
      </c>
      <c r="O9464" s="3">
        <v>1.7399999999999999E-2</v>
      </c>
      <c r="P9464" s="3">
        <v>7.0000000000000001E-3</v>
      </c>
      <c r="Q9464" s="3">
        <v>0.1482</v>
      </c>
    </row>
    <row r="9465" spans="1:17">
      <c r="A9465" t="s">
        <v>199</v>
      </c>
      <c r="B9465" t="s">
        <v>204</v>
      </c>
      <c r="C9465">
        <v>84</v>
      </c>
      <c r="D9465" t="s">
        <v>194</v>
      </c>
      <c r="E9465">
        <v>575</v>
      </c>
      <c r="F9465" s="3">
        <v>0.78680000000000005</v>
      </c>
      <c r="G9465" s="3">
        <v>1.2200000000000001E-2</v>
      </c>
      <c r="H9465" s="3">
        <v>7.3000000000000001E-3</v>
      </c>
      <c r="I9465" s="3">
        <v>4.4000000000000003E-3</v>
      </c>
      <c r="J9465" s="3">
        <v>3.0200000000000001E-2</v>
      </c>
      <c r="K9465" s="3">
        <v>2.5399999999999999E-2</v>
      </c>
      <c r="L9465" s="3">
        <v>8.8999999999999999E-3</v>
      </c>
      <c r="M9465" s="3">
        <v>0.1091</v>
      </c>
      <c r="N9465" s="3">
        <v>1.1999999999999999E-3</v>
      </c>
      <c r="O9465" s="3">
        <v>1.17E-2</v>
      </c>
      <c r="P9465" s="3">
        <v>5.7999999999999996E-3</v>
      </c>
      <c r="Q9465" s="3">
        <v>8.1299999999999997E-2</v>
      </c>
    </row>
    <row r="9466" spans="1:17">
      <c r="A9466" t="s">
        <v>199</v>
      </c>
      <c r="B9466" t="s">
        <v>205</v>
      </c>
      <c r="C9466">
        <v>85</v>
      </c>
      <c r="D9466" t="s">
        <v>194</v>
      </c>
      <c r="E9466">
        <v>575</v>
      </c>
      <c r="F9466" s="3">
        <v>0.63149999999999995</v>
      </c>
      <c r="G9466" s="3">
        <v>7.22E-2</v>
      </c>
      <c r="H9466" s="3">
        <v>7.3700000000000002E-2</v>
      </c>
      <c r="I9466" s="3">
        <v>3.8999999999999998E-3</v>
      </c>
      <c r="K9466" s="3">
        <v>6.6699999999999995E-2</v>
      </c>
      <c r="L9466" s="3">
        <v>8.5500000000000007E-2</v>
      </c>
      <c r="M9466" s="3">
        <v>7.1300000000000002E-2</v>
      </c>
      <c r="N9466" s="3">
        <v>3.2500000000000001E-2</v>
      </c>
      <c r="O9466" s="3">
        <v>6.6600000000000006E-2</v>
      </c>
      <c r="P9466" s="3">
        <v>5.9999999999999995E-4</v>
      </c>
      <c r="Q9466" s="3">
        <v>0.10249999999999999</v>
      </c>
    </row>
    <row r="9467" spans="1:17">
      <c r="A9467" t="s">
        <v>200</v>
      </c>
      <c r="B9467" t="s">
        <v>200</v>
      </c>
      <c r="C9467">
        <v>575</v>
      </c>
      <c r="D9467" t="s">
        <v>200</v>
      </c>
      <c r="E9467">
        <v>575</v>
      </c>
      <c r="F9467" s="3">
        <v>0.64829999999999999</v>
      </c>
      <c r="G9467" s="3">
        <v>0.04</v>
      </c>
      <c r="H9467" s="3">
        <v>2.1999999999999999E-2</v>
      </c>
      <c r="I9467" s="3">
        <v>7.6E-3</v>
      </c>
      <c r="J9467" s="3">
        <v>1.43E-2</v>
      </c>
      <c r="K9467" s="3">
        <v>9.0999999999999998E-2</v>
      </c>
      <c r="L9467" s="3">
        <v>9.6500000000000002E-2</v>
      </c>
      <c r="M9467" s="3">
        <v>8.48E-2</v>
      </c>
      <c r="N9467" s="3">
        <v>2.8500000000000001E-2</v>
      </c>
      <c r="O9467" s="3">
        <v>3.1800000000000002E-2</v>
      </c>
      <c r="P9467" s="3">
        <v>2.8E-3</v>
      </c>
      <c r="Q9467" s="3">
        <v>0.15210000000000001</v>
      </c>
    </row>
    <row r="9469" spans="1:17" ht="45">
      <c r="A9469" s="22" t="s">
        <v>1879</v>
      </c>
    </row>
    <row r="9470" spans="1:17">
      <c r="A9470" t="s">
        <v>185</v>
      </c>
      <c r="B9470" t="s">
        <v>186</v>
      </c>
      <c r="C9470" t="s">
        <v>192</v>
      </c>
      <c r="D9470" t="s">
        <v>184</v>
      </c>
      <c r="E9470" t="s">
        <v>193</v>
      </c>
      <c r="F9470" t="s">
        <v>329</v>
      </c>
      <c r="G9470" t="s">
        <v>274</v>
      </c>
      <c r="H9470" t="s">
        <v>1867</v>
      </c>
      <c r="I9470" t="s">
        <v>1868</v>
      </c>
      <c r="J9470" t="s">
        <v>1738</v>
      </c>
      <c r="K9470" t="s">
        <v>1869</v>
      </c>
      <c r="L9470" t="s">
        <v>1870</v>
      </c>
      <c r="M9470" t="s">
        <v>1871</v>
      </c>
      <c r="N9470" t="s">
        <v>1872</v>
      </c>
      <c r="O9470" t="s">
        <v>1873</v>
      </c>
      <c r="P9470" t="s">
        <v>1874</v>
      </c>
      <c r="Q9470" t="s">
        <v>1875</v>
      </c>
    </row>
    <row r="9471" spans="1:17">
      <c r="A9471" t="s">
        <v>195</v>
      </c>
      <c r="B9471" t="s">
        <v>207</v>
      </c>
      <c r="C9471">
        <v>78</v>
      </c>
      <c r="D9471" t="s">
        <v>194</v>
      </c>
      <c r="E9471">
        <v>575</v>
      </c>
      <c r="F9471" s="3">
        <v>0.59640000000000004</v>
      </c>
      <c r="G9471" s="3">
        <v>1.0999999999999999E-2</v>
      </c>
      <c r="H9471" s="3">
        <v>1.1299999999999999E-2</v>
      </c>
      <c r="I9471" s="3">
        <v>3.8E-3</v>
      </c>
      <c r="J9471" s="3">
        <v>4.4999999999999997E-3</v>
      </c>
      <c r="K9471" s="3">
        <v>1.18E-2</v>
      </c>
      <c r="L9471" s="3">
        <v>8.1600000000000006E-2</v>
      </c>
      <c r="M9471" s="3">
        <v>9.4700000000000006E-2</v>
      </c>
      <c r="N9471" s="3">
        <v>0.13170000000000001</v>
      </c>
      <c r="O9471" s="3">
        <v>4.3499999999999997E-2</v>
      </c>
      <c r="P9471" s="3">
        <v>3.8E-3</v>
      </c>
      <c r="Q9471" s="3">
        <v>9.8799999999999999E-2</v>
      </c>
    </row>
    <row r="9472" spans="1:17">
      <c r="A9472" t="s">
        <v>195</v>
      </c>
      <c r="B9472" t="s">
        <v>209</v>
      </c>
      <c r="C9472">
        <v>229</v>
      </c>
      <c r="D9472" t="s">
        <v>194</v>
      </c>
      <c r="E9472">
        <v>575</v>
      </c>
      <c r="F9472" s="3">
        <v>0.59</v>
      </c>
      <c r="G9472" s="3">
        <v>7.0999999999999994E-2</v>
      </c>
      <c r="H9472" s="3">
        <v>2.3599999999999999E-2</v>
      </c>
      <c r="I9472" s="3">
        <v>0.01</v>
      </c>
      <c r="J9472" s="3">
        <v>2.3400000000000001E-2</v>
      </c>
      <c r="K9472" s="3">
        <v>0.11559999999999999</v>
      </c>
      <c r="L9472" s="3">
        <v>0.12520000000000001</v>
      </c>
      <c r="M9472" s="3">
        <v>6.4500000000000002E-2</v>
      </c>
      <c r="N9472" s="3">
        <v>1.5E-3</v>
      </c>
      <c r="O9472" s="3">
        <v>3.1899999999999998E-2</v>
      </c>
      <c r="Q9472" s="3">
        <v>0.19550000000000001</v>
      </c>
    </row>
    <row r="9473" spans="1:17">
      <c r="A9473" t="s">
        <v>199</v>
      </c>
      <c r="B9473" t="s">
        <v>207</v>
      </c>
      <c r="C9473">
        <v>63</v>
      </c>
      <c r="D9473" t="s">
        <v>194</v>
      </c>
      <c r="E9473">
        <v>575</v>
      </c>
      <c r="F9473" s="3">
        <v>0.438</v>
      </c>
      <c r="G9473" s="3">
        <v>8.3999999999999995E-3</v>
      </c>
      <c r="H9473" s="3">
        <v>3.9100000000000003E-2</v>
      </c>
      <c r="I9473" s="3">
        <v>3.0099999999999998E-2</v>
      </c>
      <c r="J9473" s="3">
        <v>1.2999999999999999E-3</v>
      </c>
      <c r="K9473" s="3">
        <v>0.34339999999999998</v>
      </c>
      <c r="L9473" s="3">
        <v>0.30869999999999997</v>
      </c>
      <c r="M9473" s="3">
        <v>0.2389</v>
      </c>
      <c r="N9473" s="3">
        <v>5.7200000000000001E-2</v>
      </c>
      <c r="P9473" s="3">
        <v>1.2999999999999999E-3</v>
      </c>
      <c r="Q9473" s="3">
        <v>0.29320000000000002</v>
      </c>
    </row>
    <row r="9474" spans="1:17">
      <c r="A9474" t="s">
        <v>199</v>
      </c>
      <c r="B9474" t="s">
        <v>209</v>
      </c>
      <c r="C9474">
        <v>205</v>
      </c>
      <c r="D9474" t="s">
        <v>194</v>
      </c>
      <c r="E9474">
        <v>575</v>
      </c>
      <c r="F9474" s="3">
        <v>0.79179999999999995</v>
      </c>
      <c r="G9474" s="3">
        <v>1.9400000000000001E-2</v>
      </c>
      <c r="H9474" s="3">
        <v>2.1999999999999999E-2</v>
      </c>
      <c r="I9474" s="3">
        <v>2E-3</v>
      </c>
      <c r="J9474" s="3">
        <v>9.5999999999999992E-3</v>
      </c>
      <c r="K9474" s="3">
        <v>4.8800000000000003E-2</v>
      </c>
      <c r="L9474" s="3">
        <v>2.47E-2</v>
      </c>
      <c r="M9474" s="3">
        <v>7.6799999999999993E-2</v>
      </c>
      <c r="N9474" s="3">
        <v>7.4000000000000003E-3</v>
      </c>
      <c r="O9474" s="3">
        <v>3.2000000000000001E-2</v>
      </c>
      <c r="P9474" s="3">
        <v>6.1999999999999998E-3</v>
      </c>
      <c r="Q9474" s="3">
        <v>9.3600000000000003E-2</v>
      </c>
    </row>
    <row r="9475" spans="1:17">
      <c r="A9475" t="s">
        <v>200</v>
      </c>
      <c r="B9475" t="s">
        <v>200</v>
      </c>
      <c r="C9475">
        <v>575</v>
      </c>
      <c r="D9475" t="s">
        <v>200</v>
      </c>
      <c r="E9475">
        <v>575</v>
      </c>
      <c r="F9475" s="3">
        <v>0.64829999999999999</v>
      </c>
      <c r="G9475" s="3">
        <v>0.04</v>
      </c>
      <c r="H9475" s="3">
        <v>2.1999999999999999E-2</v>
      </c>
      <c r="I9475" s="3">
        <v>7.6E-3</v>
      </c>
      <c r="J9475" s="3">
        <v>1.43E-2</v>
      </c>
      <c r="K9475" s="3">
        <v>9.0999999999999998E-2</v>
      </c>
      <c r="L9475" s="3">
        <v>9.6500000000000002E-2</v>
      </c>
      <c r="M9475" s="3">
        <v>8.48E-2</v>
      </c>
      <c r="N9475" s="3">
        <v>2.8500000000000001E-2</v>
      </c>
      <c r="O9475" s="3">
        <v>3.1800000000000002E-2</v>
      </c>
      <c r="P9475" s="3">
        <v>2.8E-3</v>
      </c>
      <c r="Q9475" s="3">
        <v>0.15210000000000001</v>
      </c>
    </row>
    <row r="9477" spans="1:17" ht="45">
      <c r="A9477" s="22" t="s">
        <v>1880</v>
      </c>
    </row>
    <row r="9478" spans="1:17">
      <c r="A9478" t="s">
        <v>185</v>
      </c>
      <c r="B9478" t="s">
        <v>192</v>
      </c>
      <c r="C9478" t="s">
        <v>184</v>
      </c>
      <c r="D9478" t="s">
        <v>193</v>
      </c>
      <c r="E9478" t="s">
        <v>329</v>
      </c>
      <c r="F9478" t="s">
        <v>274</v>
      </c>
      <c r="G9478" t="s">
        <v>1867</v>
      </c>
      <c r="H9478" t="s">
        <v>1868</v>
      </c>
      <c r="I9478" t="s">
        <v>1738</v>
      </c>
      <c r="J9478" t="s">
        <v>1869</v>
      </c>
      <c r="K9478" t="s">
        <v>1870</v>
      </c>
      <c r="L9478" t="s">
        <v>1871</v>
      </c>
      <c r="M9478" t="s">
        <v>1872</v>
      </c>
      <c r="N9478" t="s">
        <v>1873</v>
      </c>
      <c r="O9478" t="s">
        <v>1874</v>
      </c>
      <c r="P9478" t="s">
        <v>1875</v>
      </c>
    </row>
    <row r="9479" spans="1:17">
      <c r="A9479" t="s">
        <v>195</v>
      </c>
      <c r="B9479">
        <v>307</v>
      </c>
      <c r="C9479" t="s">
        <v>194</v>
      </c>
      <c r="D9479">
        <v>575</v>
      </c>
      <c r="E9479" s="3">
        <v>0.59179999999999999</v>
      </c>
      <c r="F9479" s="3">
        <v>5.4600000000000003E-2</v>
      </c>
      <c r="G9479" s="3">
        <v>2.0299999999999999E-2</v>
      </c>
      <c r="H9479" s="3">
        <v>8.3000000000000001E-3</v>
      </c>
      <c r="I9479" s="3">
        <v>1.8200000000000001E-2</v>
      </c>
      <c r="J9479" s="3">
        <v>8.7300000000000003E-2</v>
      </c>
      <c r="K9479" s="3">
        <v>0.1133</v>
      </c>
      <c r="L9479" s="3">
        <v>7.2800000000000004E-2</v>
      </c>
      <c r="M9479" s="3">
        <v>3.6999999999999998E-2</v>
      </c>
      <c r="N9479" s="3">
        <v>3.5000000000000003E-2</v>
      </c>
      <c r="O9479" s="3">
        <v>1E-3</v>
      </c>
      <c r="P9479" s="3">
        <v>0.1691</v>
      </c>
    </row>
    <row r="9480" spans="1:17">
      <c r="A9480" t="s">
        <v>199</v>
      </c>
      <c r="B9480">
        <v>268</v>
      </c>
      <c r="C9480" t="s">
        <v>194</v>
      </c>
      <c r="D9480">
        <v>575</v>
      </c>
      <c r="E9480" s="3">
        <v>0.73440000000000005</v>
      </c>
      <c r="F9480" s="3">
        <v>1.7600000000000001E-2</v>
      </c>
      <c r="G9480" s="3">
        <v>2.47E-2</v>
      </c>
      <c r="H9480" s="3">
        <v>6.4999999999999997E-3</v>
      </c>
      <c r="I9480" s="3">
        <v>8.3000000000000001E-3</v>
      </c>
      <c r="J9480" s="3">
        <v>9.6699999999999994E-2</v>
      </c>
      <c r="K9480" s="3">
        <v>7.0800000000000002E-2</v>
      </c>
      <c r="L9480" s="3">
        <v>0.1032</v>
      </c>
      <c r="M9480" s="3">
        <v>1.55E-2</v>
      </c>
      <c r="N9480" s="3">
        <v>2.6800000000000001E-2</v>
      </c>
      <c r="O9480" s="3">
        <v>5.4000000000000003E-3</v>
      </c>
      <c r="P9480" s="3">
        <v>0.126</v>
      </c>
    </row>
    <row r="9481" spans="1:17">
      <c r="A9481" t="s">
        <v>200</v>
      </c>
      <c r="B9481">
        <v>575</v>
      </c>
      <c r="C9481" t="s">
        <v>200</v>
      </c>
      <c r="D9481">
        <v>575</v>
      </c>
      <c r="E9481" s="3">
        <v>0.64829999999999999</v>
      </c>
      <c r="F9481" s="3">
        <v>0.04</v>
      </c>
      <c r="G9481" s="3">
        <v>2.1999999999999999E-2</v>
      </c>
      <c r="H9481" s="3">
        <v>7.6E-3</v>
      </c>
      <c r="I9481" s="3">
        <v>1.43E-2</v>
      </c>
      <c r="J9481" s="3">
        <v>9.0999999999999998E-2</v>
      </c>
      <c r="K9481" s="3">
        <v>9.6500000000000002E-2</v>
      </c>
      <c r="L9481" s="3">
        <v>8.48E-2</v>
      </c>
      <c r="M9481" s="3">
        <v>2.8500000000000001E-2</v>
      </c>
      <c r="N9481" s="3">
        <v>3.1800000000000002E-2</v>
      </c>
      <c r="O9481" s="3">
        <v>2.8E-3</v>
      </c>
      <c r="P9481" s="3">
        <v>0.15210000000000001</v>
      </c>
    </row>
    <row r="9483" spans="1:17" ht="45">
      <c r="A9483" s="22" t="s">
        <v>1881</v>
      </c>
    </row>
    <row r="9484" spans="1:17">
      <c r="A9484" t="s">
        <v>185</v>
      </c>
      <c r="B9484" t="s">
        <v>186</v>
      </c>
      <c r="C9484" t="s">
        <v>192</v>
      </c>
      <c r="D9484" t="s">
        <v>184</v>
      </c>
      <c r="E9484" t="s">
        <v>193</v>
      </c>
      <c r="F9484" t="s">
        <v>329</v>
      </c>
      <c r="G9484" t="s">
        <v>274</v>
      </c>
      <c r="H9484" t="s">
        <v>1867</v>
      </c>
      <c r="I9484" t="s">
        <v>1868</v>
      </c>
      <c r="J9484" t="s">
        <v>1738</v>
      </c>
      <c r="K9484" t="s">
        <v>1869</v>
      </c>
      <c r="L9484" t="s">
        <v>1870</v>
      </c>
      <c r="M9484" t="s">
        <v>1871</v>
      </c>
      <c r="N9484" t="s">
        <v>1872</v>
      </c>
      <c r="O9484" t="s">
        <v>1873</v>
      </c>
      <c r="P9484" t="s">
        <v>1874</v>
      </c>
      <c r="Q9484" t="s">
        <v>1875</v>
      </c>
    </row>
    <row r="9485" spans="1:17">
      <c r="A9485" t="s">
        <v>195</v>
      </c>
      <c r="B9485" t="s">
        <v>212</v>
      </c>
      <c r="C9485">
        <v>228</v>
      </c>
      <c r="D9485" t="s">
        <v>194</v>
      </c>
      <c r="E9485">
        <v>575</v>
      </c>
      <c r="F9485" s="3">
        <v>0.54600000000000004</v>
      </c>
      <c r="G9485" s="3">
        <v>5.1900000000000002E-2</v>
      </c>
      <c r="H9485" s="3">
        <v>1.83E-2</v>
      </c>
      <c r="I9485" s="3">
        <v>9.7999999999999997E-3</v>
      </c>
      <c r="J9485" s="3">
        <v>1.66E-2</v>
      </c>
      <c r="K9485" s="3">
        <v>0.10150000000000001</v>
      </c>
      <c r="L9485" s="3">
        <v>0.12920000000000001</v>
      </c>
      <c r="M9485" s="3">
        <v>8.5900000000000004E-2</v>
      </c>
      <c r="N9485" s="3">
        <v>4.6100000000000002E-2</v>
      </c>
      <c r="O9485" s="3">
        <v>3.7999999999999999E-2</v>
      </c>
      <c r="P9485" s="3">
        <v>1.2999999999999999E-3</v>
      </c>
      <c r="Q9485" s="3">
        <v>0.19869999999999999</v>
      </c>
    </row>
    <row r="9486" spans="1:17">
      <c r="A9486" t="s">
        <v>195</v>
      </c>
      <c r="B9486" t="s">
        <v>214</v>
      </c>
      <c r="C9486">
        <v>36</v>
      </c>
      <c r="D9486" t="s">
        <v>194</v>
      </c>
      <c r="E9486">
        <v>575</v>
      </c>
      <c r="F9486" s="3">
        <v>0.8014</v>
      </c>
      <c r="G9486" s="3">
        <v>8.0299999999999996E-2</v>
      </c>
      <c r="H9486" s="3">
        <v>2.0500000000000001E-2</v>
      </c>
      <c r="I9486" s="3">
        <v>4.1999999999999997E-3</v>
      </c>
      <c r="J9486" s="3">
        <v>3.6600000000000001E-2</v>
      </c>
      <c r="K9486" s="3">
        <v>5.8099999999999999E-2</v>
      </c>
      <c r="M9486" s="3">
        <v>1.5900000000000001E-2</v>
      </c>
      <c r="O9486" s="3">
        <v>4.2999999999999997E-2</v>
      </c>
      <c r="Q9486" s="3">
        <v>1.8700000000000001E-2</v>
      </c>
    </row>
    <row r="9487" spans="1:17">
      <c r="A9487" t="s">
        <v>195</v>
      </c>
      <c r="B9487" t="s">
        <v>215</v>
      </c>
      <c r="C9487">
        <v>43</v>
      </c>
      <c r="D9487" t="s">
        <v>194</v>
      </c>
      <c r="E9487">
        <v>575</v>
      </c>
      <c r="F9487" s="3">
        <v>0.75080000000000002</v>
      </c>
      <c r="G9487" s="3">
        <v>5.0200000000000002E-2</v>
      </c>
      <c r="H9487" s="3">
        <v>3.5999999999999997E-2</v>
      </c>
      <c r="J9487" s="3">
        <v>1.2500000000000001E-2</v>
      </c>
      <c r="L9487" s="3">
        <v>0.10009999999999999</v>
      </c>
      <c r="M9487" s="3">
        <v>2.3800000000000002E-2</v>
      </c>
      <c r="O9487" s="3">
        <v>2.3999999999999998E-3</v>
      </c>
      <c r="Q9487" s="3">
        <v>8.1799999999999998E-2</v>
      </c>
    </row>
    <row r="9488" spans="1:17">
      <c r="A9488" t="s">
        <v>199</v>
      </c>
      <c r="B9488" t="s">
        <v>212</v>
      </c>
      <c r="C9488">
        <v>199</v>
      </c>
      <c r="D9488" t="s">
        <v>194</v>
      </c>
      <c r="E9488">
        <v>575</v>
      </c>
      <c r="F9488" s="3">
        <v>0.72340000000000004</v>
      </c>
      <c r="G9488" s="3">
        <v>2.0899999999999998E-2</v>
      </c>
      <c r="H9488" s="3">
        <v>2.5700000000000001E-2</v>
      </c>
      <c r="I9488" s="3">
        <v>8.0999999999999996E-3</v>
      </c>
      <c r="J9488" s="3">
        <v>5.4000000000000003E-3</v>
      </c>
      <c r="K9488" s="3">
        <v>0.1079</v>
      </c>
      <c r="L9488" s="3">
        <v>7.5700000000000003E-2</v>
      </c>
      <c r="M9488" s="3">
        <v>9.74E-2</v>
      </c>
      <c r="N9488" s="3">
        <v>1.9300000000000001E-2</v>
      </c>
      <c r="O9488" s="3">
        <v>3.15E-2</v>
      </c>
      <c r="P9488" s="3">
        <v>3.8999999999999998E-3</v>
      </c>
      <c r="Q9488" s="3">
        <v>0.13009999999999999</v>
      </c>
    </row>
    <row r="9489" spans="1:21">
      <c r="A9489" t="s">
        <v>199</v>
      </c>
      <c r="B9489" t="s">
        <v>214</v>
      </c>
      <c r="C9489">
        <v>30</v>
      </c>
      <c r="D9489" t="s">
        <v>194</v>
      </c>
      <c r="E9489">
        <v>575</v>
      </c>
      <c r="F9489" s="3">
        <v>0.78700000000000003</v>
      </c>
      <c r="H9489" s="3">
        <v>1.26E-2</v>
      </c>
      <c r="J9489" s="3">
        <v>2.53E-2</v>
      </c>
      <c r="K9489" s="3">
        <v>1.44E-2</v>
      </c>
      <c r="L9489" s="3">
        <v>7.4899999999999994E-2</v>
      </c>
      <c r="M9489" s="3">
        <v>0.1055</v>
      </c>
      <c r="O9489" s="3">
        <v>1.5299999999999999E-2</v>
      </c>
      <c r="Q9489" s="3">
        <v>0.14330000000000001</v>
      </c>
    </row>
    <row r="9490" spans="1:21">
      <c r="A9490" t="s">
        <v>199</v>
      </c>
      <c r="B9490" t="s">
        <v>215</v>
      </c>
      <c r="C9490">
        <v>39</v>
      </c>
      <c r="D9490" t="s">
        <v>194</v>
      </c>
      <c r="E9490">
        <v>575</v>
      </c>
      <c r="F9490" s="3">
        <v>0.76980000000000004</v>
      </c>
      <c r="G9490" s="3">
        <v>8.8999999999999999E-3</v>
      </c>
      <c r="H9490" s="3">
        <v>0.03</v>
      </c>
      <c r="J9490" s="3">
        <v>1.4E-2</v>
      </c>
      <c r="K9490" s="3">
        <v>9.2200000000000004E-2</v>
      </c>
      <c r="L9490" s="3">
        <v>2.4299999999999999E-2</v>
      </c>
      <c r="M9490" s="3">
        <v>0.15010000000000001</v>
      </c>
      <c r="P9490" s="3">
        <v>2.4299999999999999E-2</v>
      </c>
      <c r="Q9490" s="3">
        <v>7.22E-2</v>
      </c>
    </row>
    <row r="9491" spans="1:21">
      <c r="A9491" t="s">
        <v>200</v>
      </c>
      <c r="B9491" t="s">
        <v>200</v>
      </c>
      <c r="C9491">
        <v>575</v>
      </c>
      <c r="D9491" t="s">
        <v>200</v>
      </c>
      <c r="E9491">
        <v>575</v>
      </c>
      <c r="F9491" s="3">
        <v>0.64829999999999999</v>
      </c>
      <c r="G9491" s="3">
        <v>0.04</v>
      </c>
      <c r="H9491" s="3">
        <v>2.1999999999999999E-2</v>
      </c>
      <c r="I9491" s="3">
        <v>7.6E-3</v>
      </c>
      <c r="J9491" s="3">
        <v>1.43E-2</v>
      </c>
      <c r="K9491" s="3">
        <v>9.0999999999999998E-2</v>
      </c>
      <c r="L9491" s="3">
        <v>9.6500000000000002E-2</v>
      </c>
      <c r="M9491" s="3">
        <v>8.48E-2</v>
      </c>
      <c r="N9491" s="3">
        <v>2.8500000000000001E-2</v>
      </c>
      <c r="O9491" s="3">
        <v>3.1800000000000002E-2</v>
      </c>
      <c r="P9491" s="3">
        <v>2.8E-3</v>
      </c>
      <c r="Q9491" s="3">
        <v>0.15210000000000001</v>
      </c>
    </row>
    <row r="9493" spans="1:21" ht="45">
      <c r="A9493" s="22" t="s">
        <v>1882</v>
      </c>
    </row>
    <row r="9494" spans="1:21">
      <c r="A9494" t="s">
        <v>185</v>
      </c>
      <c r="B9494" t="s">
        <v>186</v>
      </c>
      <c r="C9494" t="s">
        <v>192</v>
      </c>
      <c r="D9494" t="s">
        <v>184</v>
      </c>
      <c r="E9494" t="s">
        <v>193</v>
      </c>
      <c r="F9494" t="s">
        <v>329</v>
      </c>
      <c r="G9494" t="s">
        <v>274</v>
      </c>
      <c r="H9494" t="s">
        <v>1867</v>
      </c>
      <c r="I9494" t="s">
        <v>1868</v>
      </c>
      <c r="J9494" t="s">
        <v>1738</v>
      </c>
      <c r="K9494" t="s">
        <v>1869</v>
      </c>
      <c r="L9494" t="s">
        <v>1870</v>
      </c>
      <c r="M9494" t="s">
        <v>1871</v>
      </c>
      <c r="N9494" t="s">
        <v>1872</v>
      </c>
      <c r="O9494" t="s">
        <v>1873</v>
      </c>
      <c r="P9494" t="s">
        <v>1874</v>
      </c>
      <c r="Q9494" t="s">
        <v>1875</v>
      </c>
    </row>
    <row r="9495" spans="1:21">
      <c r="A9495" t="s">
        <v>195</v>
      </c>
      <c r="B9495" t="s">
        <v>217</v>
      </c>
      <c r="C9495">
        <v>146</v>
      </c>
      <c r="D9495" t="s">
        <v>194</v>
      </c>
      <c r="E9495">
        <v>575</v>
      </c>
      <c r="F9495" s="3">
        <v>0.54469999999999996</v>
      </c>
      <c r="G9495" s="3">
        <v>4.7100000000000003E-2</v>
      </c>
      <c r="H9495" s="3">
        <v>1.6E-2</v>
      </c>
      <c r="I9495" s="3">
        <v>4.1000000000000003E-3</v>
      </c>
      <c r="J9495" s="3">
        <v>1.4200000000000001E-2</v>
      </c>
      <c r="K9495" s="3">
        <v>6.2399999999999997E-2</v>
      </c>
      <c r="L9495" s="3">
        <v>7.6899999999999996E-2</v>
      </c>
      <c r="M9495" s="3">
        <v>0.12889999999999999</v>
      </c>
      <c r="N9495" s="3">
        <v>1.43E-2</v>
      </c>
      <c r="O9495" s="3">
        <v>4.6699999999999998E-2</v>
      </c>
      <c r="Q9495" s="3">
        <v>0.22</v>
      </c>
    </row>
    <row r="9496" spans="1:21">
      <c r="A9496" t="s">
        <v>195</v>
      </c>
      <c r="B9496" t="s">
        <v>219</v>
      </c>
      <c r="C9496">
        <v>109</v>
      </c>
      <c r="D9496" t="s">
        <v>194</v>
      </c>
      <c r="E9496">
        <v>575</v>
      </c>
      <c r="F9496" s="3">
        <v>0.64610000000000001</v>
      </c>
      <c r="G9496" s="3">
        <v>6.1400000000000003E-2</v>
      </c>
      <c r="H9496" s="3">
        <v>1.54E-2</v>
      </c>
      <c r="I9496" s="3">
        <v>1.8499999999999999E-2</v>
      </c>
      <c r="K9496" s="3">
        <v>0.11840000000000001</v>
      </c>
      <c r="L9496" s="3">
        <v>0.1757</v>
      </c>
      <c r="M9496" s="3">
        <v>2.3699999999999999E-2</v>
      </c>
      <c r="N9496" s="3">
        <v>3.6600000000000001E-2</v>
      </c>
      <c r="O9496" s="3">
        <v>2.76E-2</v>
      </c>
      <c r="P9496" s="3">
        <v>3.0999999999999999E-3</v>
      </c>
      <c r="Q9496" s="3">
        <v>0.10100000000000001</v>
      </c>
    </row>
    <row r="9497" spans="1:21">
      <c r="A9497" t="s">
        <v>195</v>
      </c>
      <c r="B9497" t="s">
        <v>220</v>
      </c>
      <c r="C9497">
        <v>51</v>
      </c>
      <c r="D9497" t="s">
        <v>194</v>
      </c>
      <c r="E9497">
        <v>575</v>
      </c>
      <c r="F9497" s="3">
        <v>0.60909999999999997</v>
      </c>
      <c r="G9497" s="3">
        <v>6.1100000000000002E-2</v>
      </c>
      <c r="H9497" s="3">
        <v>3.9699999999999999E-2</v>
      </c>
      <c r="J9497" s="3">
        <v>6.1499999999999999E-2</v>
      </c>
      <c r="K9497" s="3">
        <v>9.2299999999999993E-2</v>
      </c>
      <c r="L9497" s="3">
        <v>8.9700000000000002E-2</v>
      </c>
      <c r="M9497" s="3">
        <v>2.3099999999999999E-2</v>
      </c>
      <c r="N9497" s="3">
        <v>9.4E-2</v>
      </c>
      <c r="O9497" s="3">
        <v>1.9699999999999999E-2</v>
      </c>
      <c r="Q9497" s="3">
        <v>0.1673</v>
      </c>
    </row>
    <row r="9498" spans="1:21">
      <c r="A9498" t="s">
        <v>199</v>
      </c>
      <c r="B9498" t="s">
        <v>217</v>
      </c>
      <c r="C9498">
        <v>158</v>
      </c>
      <c r="D9498" t="s">
        <v>194</v>
      </c>
      <c r="E9498">
        <v>575</v>
      </c>
      <c r="F9498" s="3">
        <v>0.70960000000000001</v>
      </c>
      <c r="G9498" s="3">
        <v>2.7300000000000001E-2</v>
      </c>
      <c r="H9498" s="3">
        <v>3.8300000000000001E-2</v>
      </c>
      <c r="I9498" s="3">
        <v>8.3000000000000001E-3</v>
      </c>
      <c r="J9498" s="3">
        <v>4.7999999999999996E-3</v>
      </c>
      <c r="K9498" s="3">
        <v>0.13300000000000001</v>
      </c>
      <c r="L9498" s="3">
        <v>9.64E-2</v>
      </c>
      <c r="M9498" s="3">
        <v>0.1326</v>
      </c>
      <c r="N9498" s="3">
        <v>8.8000000000000005E-3</v>
      </c>
      <c r="O9498" s="3">
        <v>2.1299999999999999E-2</v>
      </c>
      <c r="P9498" s="3">
        <v>8.9999999999999993E-3</v>
      </c>
      <c r="Q9498" s="3">
        <v>0.1225</v>
      </c>
    </row>
    <row r="9499" spans="1:21">
      <c r="A9499" t="s">
        <v>199</v>
      </c>
      <c r="B9499" t="s">
        <v>219</v>
      </c>
      <c r="C9499">
        <v>72</v>
      </c>
      <c r="D9499" t="s">
        <v>194</v>
      </c>
      <c r="E9499">
        <v>575</v>
      </c>
      <c r="F9499" s="3">
        <v>0.68049999999999999</v>
      </c>
      <c r="G9499" s="3">
        <v>4.1999999999999997E-3</v>
      </c>
      <c r="H9499" s="3">
        <v>1.04E-2</v>
      </c>
      <c r="I9499" s="3">
        <v>8.3000000000000001E-3</v>
      </c>
      <c r="K9499" s="3">
        <v>8.7300000000000003E-2</v>
      </c>
      <c r="L9499" s="3">
        <v>6.1899999999999997E-2</v>
      </c>
      <c r="M9499" s="3">
        <v>9.6100000000000005E-2</v>
      </c>
      <c r="N9499" s="3">
        <v>4.8500000000000001E-2</v>
      </c>
      <c r="O9499" s="3">
        <v>6.3700000000000007E-2</v>
      </c>
      <c r="P9499" s="3">
        <v>5.9999999999999995E-4</v>
      </c>
      <c r="Q9499" s="3">
        <v>0.1711</v>
      </c>
    </row>
    <row r="9500" spans="1:21">
      <c r="A9500" t="s">
        <v>199</v>
      </c>
      <c r="B9500" t="s">
        <v>220</v>
      </c>
      <c r="C9500">
        <v>38</v>
      </c>
      <c r="D9500" t="s">
        <v>194</v>
      </c>
      <c r="E9500">
        <v>575</v>
      </c>
      <c r="F9500" s="3">
        <v>0.8548</v>
      </c>
      <c r="G9500" s="3">
        <v>2.8999999999999998E-3</v>
      </c>
      <c r="J9500" s="3">
        <v>2.5899999999999999E-2</v>
      </c>
      <c r="K9500" s="3">
        <v>2.8999999999999998E-3</v>
      </c>
      <c r="L9500" s="3">
        <v>7.1999999999999998E-3</v>
      </c>
      <c r="M9500" s="3">
        <v>2.69E-2</v>
      </c>
      <c r="N9500" s="3">
        <v>3.3999999999999998E-3</v>
      </c>
      <c r="O9500" s="3">
        <v>7.6E-3</v>
      </c>
      <c r="Q9500" s="3">
        <v>9.35E-2</v>
      </c>
    </row>
    <row r="9501" spans="1:21">
      <c r="A9501" t="s">
        <v>200</v>
      </c>
      <c r="B9501" t="s">
        <v>200</v>
      </c>
      <c r="C9501">
        <v>575</v>
      </c>
      <c r="D9501" t="s">
        <v>200</v>
      </c>
      <c r="E9501">
        <v>575</v>
      </c>
      <c r="F9501" s="3">
        <v>0.64829999999999999</v>
      </c>
      <c r="G9501" s="3">
        <v>0.04</v>
      </c>
      <c r="H9501" s="3">
        <v>2.1999999999999999E-2</v>
      </c>
      <c r="I9501" s="3">
        <v>7.6E-3</v>
      </c>
      <c r="J9501" s="3">
        <v>1.43E-2</v>
      </c>
      <c r="K9501" s="3">
        <v>9.0999999999999998E-2</v>
      </c>
      <c r="L9501" s="3">
        <v>9.6500000000000002E-2</v>
      </c>
      <c r="M9501" s="3">
        <v>8.48E-2</v>
      </c>
      <c r="N9501" s="3">
        <v>2.8500000000000001E-2</v>
      </c>
      <c r="O9501" s="3">
        <v>3.1800000000000002E-2</v>
      </c>
      <c r="P9501" s="3">
        <v>2.8E-3</v>
      </c>
      <c r="Q9501" s="3">
        <v>0.15210000000000001</v>
      </c>
    </row>
    <row r="9503" spans="1:21" ht="45">
      <c r="A9503" s="22" t="s">
        <v>1883</v>
      </c>
    </row>
    <row r="9504" spans="1:21">
      <c r="A9504" t="s">
        <v>185</v>
      </c>
      <c r="B9504" t="s">
        <v>186</v>
      </c>
      <c r="C9504" t="s">
        <v>192</v>
      </c>
      <c r="D9504" t="s">
        <v>184</v>
      </c>
      <c r="E9504" t="s">
        <v>193</v>
      </c>
      <c r="F9504" t="s">
        <v>1884</v>
      </c>
      <c r="G9504" t="s">
        <v>257</v>
      </c>
      <c r="H9504" t="s">
        <v>1885</v>
      </c>
      <c r="I9504" t="s">
        <v>1886</v>
      </c>
      <c r="J9504" t="s">
        <v>1887</v>
      </c>
      <c r="K9504" t="s">
        <v>1888</v>
      </c>
      <c r="L9504" t="s">
        <v>329</v>
      </c>
      <c r="M9504" t="s">
        <v>274</v>
      </c>
      <c r="N9504" t="s">
        <v>664</v>
      </c>
      <c r="O9504" t="s">
        <v>1889</v>
      </c>
      <c r="P9504" t="s">
        <v>1890</v>
      </c>
      <c r="Q9504" t="s">
        <v>1891</v>
      </c>
      <c r="R9504" t="s">
        <v>1892</v>
      </c>
      <c r="S9504" t="s">
        <v>1893</v>
      </c>
      <c r="T9504" t="s">
        <v>1894</v>
      </c>
      <c r="U9504" t="s">
        <v>1895</v>
      </c>
    </row>
    <row r="9505" spans="1:21">
      <c r="A9505" t="s">
        <v>195</v>
      </c>
      <c r="B9505" t="s">
        <v>222</v>
      </c>
      <c r="C9505">
        <v>246</v>
      </c>
      <c r="D9505" t="s">
        <v>194</v>
      </c>
      <c r="E9505">
        <v>2667</v>
      </c>
      <c r="F9505" s="3">
        <v>2.1399999999999999E-2</v>
      </c>
      <c r="G9505" s="3">
        <v>0.50490000000000002</v>
      </c>
      <c r="H9505" s="3">
        <v>0.1242</v>
      </c>
      <c r="I9505" s="3">
        <v>0.23350000000000001</v>
      </c>
      <c r="J9505" s="3">
        <v>0.1542</v>
      </c>
      <c r="K9505" s="3">
        <v>7.4700000000000003E-2</v>
      </c>
      <c r="L9505" s="3">
        <v>0.13980000000000001</v>
      </c>
      <c r="O9505" s="3">
        <v>0.21290000000000001</v>
      </c>
      <c r="P9505" s="3">
        <v>0.1032</v>
      </c>
      <c r="Q9505" s="3">
        <v>0.1114</v>
      </c>
      <c r="R9505" s="3">
        <v>6.4500000000000002E-2</v>
      </c>
      <c r="S9505" s="3">
        <v>2.3099999999999999E-2</v>
      </c>
      <c r="T9505" s="3">
        <v>2.1100000000000001E-2</v>
      </c>
      <c r="U9505" s="3">
        <v>7.9600000000000004E-2</v>
      </c>
    </row>
    <row r="9506" spans="1:21">
      <c r="A9506" t="s">
        <v>195</v>
      </c>
      <c r="B9506" t="s">
        <v>224</v>
      </c>
      <c r="C9506">
        <v>938</v>
      </c>
      <c r="D9506" t="s">
        <v>194</v>
      </c>
      <c r="E9506">
        <v>2667</v>
      </c>
      <c r="F9506" s="3">
        <v>2.9600000000000001E-2</v>
      </c>
      <c r="G9506" s="3">
        <v>0.34860000000000002</v>
      </c>
      <c r="H9506" s="3">
        <v>0.12529999999999999</v>
      </c>
      <c r="I9506" s="3">
        <v>0.2903</v>
      </c>
      <c r="J9506" s="3">
        <v>0.16539999999999999</v>
      </c>
      <c r="K9506" s="3">
        <v>7.51E-2</v>
      </c>
      <c r="L9506" s="3">
        <v>0.16170000000000001</v>
      </c>
      <c r="M9506" s="3">
        <v>2.5999999999999999E-3</v>
      </c>
      <c r="O9506" s="3">
        <v>0.28549999999999998</v>
      </c>
      <c r="P9506" s="3">
        <v>0.17369999999999999</v>
      </c>
      <c r="Q9506" s="3">
        <v>0.15720000000000001</v>
      </c>
      <c r="R9506" s="3">
        <v>7.3400000000000007E-2</v>
      </c>
      <c r="S9506" s="3">
        <v>3.0700000000000002E-2</v>
      </c>
      <c r="T9506" s="3">
        <v>3.5700000000000003E-2</v>
      </c>
      <c r="U9506" s="3">
        <v>7.85E-2</v>
      </c>
    </row>
    <row r="9507" spans="1:21">
      <c r="A9507" t="s">
        <v>199</v>
      </c>
      <c r="B9507" t="s">
        <v>222</v>
      </c>
      <c r="C9507">
        <v>388</v>
      </c>
      <c r="D9507" t="s">
        <v>194</v>
      </c>
      <c r="E9507">
        <v>2667</v>
      </c>
      <c r="F9507" s="3">
        <v>0.1971</v>
      </c>
      <c r="G9507" s="3">
        <v>0.26269999999999999</v>
      </c>
      <c r="H9507" s="3">
        <v>0.31019999999999998</v>
      </c>
      <c r="I9507" s="3">
        <v>0.54379999999999995</v>
      </c>
      <c r="J9507" s="3">
        <v>0.36020000000000002</v>
      </c>
      <c r="K9507" s="3">
        <v>0.24840000000000001</v>
      </c>
      <c r="L9507" s="3">
        <v>8.3900000000000002E-2</v>
      </c>
      <c r="N9507" s="3">
        <v>4.0000000000000002E-4</v>
      </c>
      <c r="O9507" s="3">
        <v>0.3533</v>
      </c>
      <c r="P9507" s="3">
        <v>0.3019</v>
      </c>
      <c r="Q9507" s="3">
        <v>0.37519999999999998</v>
      </c>
      <c r="R9507" s="3">
        <v>0.24859999999999999</v>
      </c>
      <c r="S9507" s="3">
        <v>0.14460000000000001</v>
      </c>
      <c r="T9507" s="3">
        <v>0.19670000000000001</v>
      </c>
      <c r="U9507" s="3">
        <v>0.2248</v>
      </c>
    </row>
    <row r="9508" spans="1:21">
      <c r="A9508" t="s">
        <v>199</v>
      </c>
      <c r="B9508" t="s">
        <v>224</v>
      </c>
      <c r="C9508">
        <v>1095</v>
      </c>
      <c r="D9508" t="s">
        <v>194</v>
      </c>
      <c r="E9508">
        <v>2667</v>
      </c>
      <c r="F9508" s="3">
        <v>0.13850000000000001</v>
      </c>
      <c r="G9508" s="3">
        <v>0.20880000000000001</v>
      </c>
      <c r="H9508" s="3">
        <v>0.26100000000000001</v>
      </c>
      <c r="I9508" s="3">
        <v>0.55469999999999997</v>
      </c>
      <c r="J9508" s="3">
        <v>0.29389999999999999</v>
      </c>
      <c r="K9508" s="3">
        <v>0.2155</v>
      </c>
      <c r="L9508" s="3">
        <v>0.11700000000000001</v>
      </c>
      <c r="N9508" s="3">
        <v>2.5000000000000001E-3</v>
      </c>
      <c r="O9508" s="3">
        <v>0.37109999999999999</v>
      </c>
      <c r="P9508" s="3">
        <v>0.29920000000000002</v>
      </c>
      <c r="Q9508" s="3">
        <v>0.39850000000000002</v>
      </c>
      <c r="R9508" s="3">
        <v>0.14510000000000001</v>
      </c>
      <c r="S9508" s="3">
        <v>9.8500000000000004E-2</v>
      </c>
      <c r="T9508" s="3">
        <v>0.14940000000000001</v>
      </c>
      <c r="U9508" s="3">
        <v>0.1971</v>
      </c>
    </row>
    <row r="9509" spans="1:21">
      <c r="A9509" t="s">
        <v>200</v>
      </c>
      <c r="B9509" t="s">
        <v>200</v>
      </c>
      <c r="C9509">
        <v>2667</v>
      </c>
      <c r="D9509" t="s">
        <v>200</v>
      </c>
      <c r="E9509">
        <v>2667</v>
      </c>
      <c r="F9509" s="3">
        <v>9.9099999999999994E-2</v>
      </c>
      <c r="G9509" s="3">
        <v>0.29659999999999997</v>
      </c>
      <c r="H9509" s="3">
        <v>0.20880000000000001</v>
      </c>
      <c r="I9509" s="3">
        <v>0.4294</v>
      </c>
      <c r="J9509" s="3">
        <v>0.2467</v>
      </c>
      <c r="K9509" s="3">
        <v>0.15859999999999999</v>
      </c>
      <c r="L9509" s="3">
        <v>0.129</v>
      </c>
      <c r="M9509" s="3">
        <v>8.9999999999999998E-4</v>
      </c>
      <c r="N9509" s="3">
        <v>1E-3</v>
      </c>
      <c r="O9509" s="3">
        <v>0.32229999999999998</v>
      </c>
      <c r="P9509" s="3">
        <v>0.2364</v>
      </c>
      <c r="Q9509" s="3">
        <v>0.28249999999999997</v>
      </c>
      <c r="R9509" s="3">
        <v>0.12970000000000001</v>
      </c>
      <c r="S9509" s="3">
        <v>7.5300000000000006E-2</v>
      </c>
      <c r="T9509" s="3">
        <v>0.1053</v>
      </c>
      <c r="U9509" s="3">
        <v>0.1492</v>
      </c>
    </row>
    <row r="9511" spans="1:21" ht="45">
      <c r="A9511" s="22" t="s">
        <v>1896</v>
      </c>
    </row>
    <row r="9512" spans="1:21">
      <c r="A9512" t="s">
        <v>185</v>
      </c>
      <c r="B9512" t="s">
        <v>186</v>
      </c>
      <c r="C9512" t="s">
        <v>192</v>
      </c>
      <c r="D9512" t="s">
        <v>184</v>
      </c>
      <c r="E9512" t="s">
        <v>193</v>
      </c>
      <c r="F9512" t="s">
        <v>1884</v>
      </c>
      <c r="G9512" t="s">
        <v>257</v>
      </c>
      <c r="H9512" t="s">
        <v>1885</v>
      </c>
      <c r="I9512" t="s">
        <v>1886</v>
      </c>
      <c r="J9512" t="s">
        <v>1887</v>
      </c>
      <c r="K9512" t="s">
        <v>1888</v>
      </c>
      <c r="L9512" t="s">
        <v>329</v>
      </c>
      <c r="M9512" t="s">
        <v>274</v>
      </c>
      <c r="N9512" t="s">
        <v>664</v>
      </c>
      <c r="O9512" t="s">
        <v>1889</v>
      </c>
      <c r="P9512" t="s">
        <v>1890</v>
      </c>
      <c r="Q9512" t="s">
        <v>1891</v>
      </c>
      <c r="R9512" t="s">
        <v>1892</v>
      </c>
      <c r="S9512" t="s">
        <v>1893</v>
      </c>
      <c r="T9512" t="s">
        <v>1894</v>
      </c>
      <c r="U9512" t="s">
        <v>1895</v>
      </c>
    </row>
    <row r="9513" spans="1:21">
      <c r="A9513" t="s">
        <v>195</v>
      </c>
      <c r="B9513" t="s">
        <v>229</v>
      </c>
      <c r="C9513">
        <v>130</v>
      </c>
      <c r="D9513" t="s">
        <v>194</v>
      </c>
      <c r="E9513">
        <v>2667</v>
      </c>
      <c r="F9513" s="3">
        <v>4.3400000000000001E-2</v>
      </c>
      <c r="G9513" s="3">
        <v>0.3901</v>
      </c>
      <c r="H9513" s="3">
        <v>0.17749999999999999</v>
      </c>
      <c r="I9513" s="3">
        <v>0.33379999999999999</v>
      </c>
      <c r="J9513" s="3">
        <v>0.25019999999999998</v>
      </c>
      <c r="K9513" s="3">
        <v>4.6800000000000001E-2</v>
      </c>
      <c r="L9513" s="3">
        <v>0.13270000000000001</v>
      </c>
      <c r="O9513" s="3">
        <v>0.31809999999999999</v>
      </c>
      <c r="P9513" s="3">
        <v>0.18709999999999999</v>
      </c>
      <c r="Q9513" s="3">
        <v>0.2172</v>
      </c>
      <c r="R9513" s="3">
        <v>0.16270000000000001</v>
      </c>
      <c r="S9513" s="3">
        <v>3.0200000000000001E-2</v>
      </c>
      <c r="T9513" s="3">
        <v>4.8599999999999997E-2</v>
      </c>
      <c r="U9513" s="3">
        <v>9.5600000000000004E-2</v>
      </c>
    </row>
    <row r="9514" spans="1:21">
      <c r="A9514" t="s">
        <v>195</v>
      </c>
      <c r="B9514" t="s">
        <v>230</v>
      </c>
      <c r="C9514">
        <v>484</v>
      </c>
      <c r="D9514" t="s">
        <v>194</v>
      </c>
      <c r="E9514">
        <v>2667</v>
      </c>
      <c r="F9514" s="3">
        <v>2.4400000000000002E-2</v>
      </c>
      <c r="G9514" s="3">
        <v>0.32879999999999998</v>
      </c>
      <c r="H9514" s="3">
        <v>0.14610000000000001</v>
      </c>
      <c r="I9514" s="3">
        <v>0.25330000000000003</v>
      </c>
      <c r="J9514" s="3">
        <v>0.17829999999999999</v>
      </c>
      <c r="K9514" s="3">
        <v>0.08</v>
      </c>
      <c r="L9514" s="3">
        <v>0.2077</v>
      </c>
      <c r="O9514" s="3">
        <v>0.33989999999999998</v>
      </c>
      <c r="P9514" s="3">
        <v>0.2102</v>
      </c>
      <c r="Q9514" s="3">
        <v>0.1676</v>
      </c>
      <c r="R9514" s="3">
        <v>7.5300000000000006E-2</v>
      </c>
      <c r="S9514" s="3">
        <v>4.1399999999999999E-2</v>
      </c>
      <c r="T9514" s="3">
        <v>3.0800000000000001E-2</v>
      </c>
      <c r="U9514" s="3">
        <v>9.4399999999999998E-2</v>
      </c>
    </row>
    <row r="9515" spans="1:21">
      <c r="A9515" t="s">
        <v>195</v>
      </c>
      <c r="B9515" t="s">
        <v>231</v>
      </c>
      <c r="C9515">
        <v>304</v>
      </c>
      <c r="D9515" t="s">
        <v>194</v>
      </c>
      <c r="E9515">
        <v>2667</v>
      </c>
      <c r="F9515" s="3">
        <v>2.69E-2</v>
      </c>
      <c r="G9515" s="3">
        <v>0.32050000000000001</v>
      </c>
      <c r="H9515" s="3">
        <v>9.9400000000000002E-2</v>
      </c>
      <c r="I9515" s="3">
        <v>0.34599999999999997</v>
      </c>
      <c r="J9515" s="3">
        <v>0.14269999999999999</v>
      </c>
      <c r="K9515" s="3">
        <v>0.1241</v>
      </c>
      <c r="L9515" s="3">
        <v>0.11269999999999999</v>
      </c>
      <c r="O9515" s="3">
        <v>0.28110000000000002</v>
      </c>
      <c r="P9515" s="3">
        <v>0.12189999999999999</v>
      </c>
      <c r="Q9515" s="3">
        <v>0.14699999999999999</v>
      </c>
      <c r="R9515" s="3">
        <v>6.6699999999999995E-2</v>
      </c>
      <c r="S9515" s="3">
        <v>2.0299999999999999E-2</v>
      </c>
      <c r="T9515" s="3">
        <v>3.7699999999999997E-2</v>
      </c>
      <c r="U9515" s="3">
        <v>7.6100000000000001E-2</v>
      </c>
    </row>
    <row r="9516" spans="1:21">
      <c r="A9516" t="s">
        <v>195</v>
      </c>
      <c r="B9516" t="s">
        <v>232</v>
      </c>
      <c r="C9516">
        <v>266</v>
      </c>
      <c r="D9516" t="s">
        <v>194</v>
      </c>
      <c r="E9516">
        <v>2667</v>
      </c>
      <c r="F9516" s="3">
        <v>2.3300000000000001E-2</v>
      </c>
      <c r="G9516" s="3">
        <v>0.56330000000000002</v>
      </c>
      <c r="H9516" s="3">
        <v>7.7700000000000005E-2</v>
      </c>
      <c r="I9516" s="3">
        <v>0.2014</v>
      </c>
      <c r="J9516" s="3">
        <v>9.4500000000000001E-2</v>
      </c>
      <c r="K9516" s="3">
        <v>0.03</v>
      </c>
      <c r="L9516" s="3">
        <v>0.128</v>
      </c>
      <c r="M9516" s="3">
        <v>9.2999999999999992E-3</v>
      </c>
      <c r="O9516" s="3">
        <v>8.4900000000000003E-2</v>
      </c>
      <c r="P9516" s="3">
        <v>7.5999999999999998E-2</v>
      </c>
      <c r="Q9516" s="3">
        <v>5.5500000000000001E-2</v>
      </c>
      <c r="R9516" s="3">
        <v>4.3E-3</v>
      </c>
      <c r="S9516" s="3">
        <v>1.44E-2</v>
      </c>
      <c r="T9516" s="3">
        <v>1.7100000000000001E-2</v>
      </c>
      <c r="U9516" s="3">
        <v>4.07E-2</v>
      </c>
    </row>
    <row r="9517" spans="1:21">
      <c r="A9517" t="s">
        <v>199</v>
      </c>
      <c r="B9517" t="s">
        <v>229</v>
      </c>
      <c r="C9517">
        <v>150</v>
      </c>
      <c r="D9517" t="s">
        <v>194</v>
      </c>
      <c r="E9517">
        <v>2667</v>
      </c>
      <c r="F9517" s="3">
        <v>0.25769999999999998</v>
      </c>
      <c r="G9517" s="3">
        <v>0.15329999999999999</v>
      </c>
      <c r="H9517" s="3">
        <v>0.40660000000000002</v>
      </c>
      <c r="I9517" s="3">
        <v>0.65720000000000001</v>
      </c>
      <c r="J9517" s="3">
        <v>0.41320000000000001</v>
      </c>
      <c r="K9517" s="3">
        <v>0.29949999999999999</v>
      </c>
      <c r="L9517" s="3">
        <v>8.72E-2</v>
      </c>
      <c r="O9517" s="3">
        <v>0.45040000000000002</v>
      </c>
      <c r="P9517" s="3">
        <v>0.45240000000000002</v>
      </c>
      <c r="Q9517" s="3">
        <v>0.55789999999999995</v>
      </c>
      <c r="R9517" s="3">
        <v>0.33229999999999998</v>
      </c>
      <c r="S9517" s="3">
        <v>0.2029</v>
      </c>
      <c r="T9517" s="3">
        <v>0.28470000000000001</v>
      </c>
      <c r="U9517" s="3">
        <v>0.36930000000000002</v>
      </c>
    </row>
    <row r="9518" spans="1:21">
      <c r="A9518" t="s">
        <v>199</v>
      </c>
      <c r="B9518" t="s">
        <v>230</v>
      </c>
      <c r="C9518">
        <v>699</v>
      </c>
      <c r="D9518" t="s">
        <v>194</v>
      </c>
      <c r="E9518">
        <v>2667</v>
      </c>
      <c r="F9518" s="3">
        <v>0.18160000000000001</v>
      </c>
      <c r="G9518" s="3">
        <v>0.15260000000000001</v>
      </c>
      <c r="H9518" s="3">
        <v>0.29530000000000001</v>
      </c>
      <c r="I9518" s="3">
        <v>0.62190000000000001</v>
      </c>
      <c r="J9518" s="3">
        <v>0.34749999999999998</v>
      </c>
      <c r="K9518" s="3">
        <v>0.26090000000000002</v>
      </c>
      <c r="L9518" s="3">
        <v>8.5099999999999995E-2</v>
      </c>
      <c r="N9518" s="3">
        <v>2.9999999999999997E-4</v>
      </c>
      <c r="O9518" s="3">
        <v>0.4279</v>
      </c>
      <c r="P9518" s="3">
        <v>0.33300000000000002</v>
      </c>
      <c r="Q9518" s="3">
        <v>0.4461</v>
      </c>
      <c r="R9518" s="3">
        <v>0.16719999999999999</v>
      </c>
      <c r="S9518" s="3">
        <v>0.1144</v>
      </c>
      <c r="T9518" s="3">
        <v>0.18049999999999999</v>
      </c>
      <c r="U9518" s="3">
        <v>0.21290000000000001</v>
      </c>
    </row>
    <row r="9519" spans="1:21">
      <c r="A9519" t="s">
        <v>199</v>
      </c>
      <c r="B9519" t="s">
        <v>231</v>
      </c>
      <c r="C9519">
        <v>395</v>
      </c>
      <c r="D9519" t="s">
        <v>194</v>
      </c>
      <c r="E9519">
        <v>2667</v>
      </c>
      <c r="F9519" s="3">
        <v>9.2799999999999994E-2</v>
      </c>
      <c r="G9519" s="3">
        <v>0.29189999999999999</v>
      </c>
      <c r="H9519" s="3">
        <v>0.1658</v>
      </c>
      <c r="I9519" s="3">
        <v>0.44359999999999999</v>
      </c>
      <c r="J9519" s="3">
        <v>0.25659999999999999</v>
      </c>
      <c r="K9519" s="3">
        <v>0.16569999999999999</v>
      </c>
      <c r="L9519" s="3">
        <v>0.15040000000000001</v>
      </c>
      <c r="N9519" s="3">
        <v>3.5000000000000001E-3</v>
      </c>
      <c r="O9519" s="3">
        <v>0.29480000000000001</v>
      </c>
      <c r="P9519" s="3">
        <v>0.1749</v>
      </c>
      <c r="Q9519" s="3">
        <v>0.28639999999999999</v>
      </c>
      <c r="R9519" s="3">
        <v>0.1573</v>
      </c>
      <c r="S9519" s="3">
        <v>7.9799999999999996E-2</v>
      </c>
      <c r="T9519" s="3">
        <v>0.11459999999999999</v>
      </c>
      <c r="U9519" s="3">
        <v>0.124</v>
      </c>
    </row>
    <row r="9520" spans="1:21">
      <c r="A9520" t="s">
        <v>199</v>
      </c>
      <c r="B9520" t="s">
        <v>232</v>
      </c>
      <c r="C9520">
        <v>239</v>
      </c>
      <c r="D9520" t="s">
        <v>194</v>
      </c>
      <c r="E9520">
        <v>2667</v>
      </c>
      <c r="F9520" s="3">
        <v>4.8500000000000001E-2</v>
      </c>
      <c r="G9520" s="3">
        <v>0.42799999999999999</v>
      </c>
      <c r="H9520" s="3">
        <v>0.20449999999999999</v>
      </c>
      <c r="I9520" s="3">
        <v>0.36309999999999998</v>
      </c>
      <c r="J9520" s="3">
        <v>0.17899999999999999</v>
      </c>
      <c r="K9520" s="3">
        <v>0.1147</v>
      </c>
      <c r="L9520" s="3">
        <v>0.1406</v>
      </c>
      <c r="N9520" s="3">
        <v>6.3E-3</v>
      </c>
      <c r="O9520" s="3">
        <v>0.18229999999999999</v>
      </c>
      <c r="P9520" s="3">
        <v>0.1845</v>
      </c>
      <c r="Q9520" s="3">
        <v>0.17929999999999999</v>
      </c>
      <c r="R9520" s="3">
        <v>5.7700000000000001E-2</v>
      </c>
      <c r="S9520" s="3">
        <v>4.7E-2</v>
      </c>
      <c r="T9520" s="3">
        <v>4.2999999999999997E-2</v>
      </c>
      <c r="U9520" s="3">
        <v>0.1008</v>
      </c>
    </row>
    <row r="9521" spans="1:21">
      <c r="A9521" t="s">
        <v>200</v>
      </c>
      <c r="B9521" t="s">
        <v>200</v>
      </c>
      <c r="C9521">
        <v>2667</v>
      </c>
      <c r="D9521" t="s">
        <v>200</v>
      </c>
      <c r="E9521">
        <v>2667</v>
      </c>
      <c r="F9521" s="3">
        <v>9.9099999999999994E-2</v>
      </c>
      <c r="G9521" s="3">
        <v>0.29659999999999997</v>
      </c>
      <c r="H9521" s="3">
        <v>0.20880000000000001</v>
      </c>
      <c r="I9521" s="3">
        <v>0.4294</v>
      </c>
      <c r="J9521" s="3">
        <v>0.2467</v>
      </c>
      <c r="K9521" s="3">
        <v>0.15859999999999999</v>
      </c>
      <c r="L9521" s="3">
        <v>0.129</v>
      </c>
      <c r="M9521" s="3">
        <v>8.9999999999999998E-4</v>
      </c>
      <c r="N9521" s="3">
        <v>1E-3</v>
      </c>
      <c r="O9521" s="3">
        <v>0.32229999999999998</v>
      </c>
      <c r="P9521" s="3">
        <v>0.2364</v>
      </c>
      <c r="Q9521" s="3">
        <v>0.28249999999999997</v>
      </c>
      <c r="R9521" s="3">
        <v>0.12970000000000001</v>
      </c>
      <c r="S9521" s="3">
        <v>7.5300000000000006E-2</v>
      </c>
      <c r="T9521" s="3">
        <v>0.1053</v>
      </c>
      <c r="U9521" s="3">
        <v>0.1492</v>
      </c>
    </row>
    <row r="9523" spans="1:21" ht="45">
      <c r="A9523" s="22" t="s">
        <v>1897</v>
      </c>
    </row>
    <row r="9524" spans="1:21">
      <c r="A9524" t="s">
        <v>185</v>
      </c>
      <c r="B9524" t="s">
        <v>186</v>
      </c>
      <c r="C9524" t="s">
        <v>192</v>
      </c>
      <c r="D9524" t="s">
        <v>184</v>
      </c>
      <c r="E9524" t="s">
        <v>193</v>
      </c>
      <c r="F9524" t="s">
        <v>1884</v>
      </c>
      <c r="G9524" t="s">
        <v>257</v>
      </c>
      <c r="H9524" t="s">
        <v>1885</v>
      </c>
      <c r="I9524" t="s">
        <v>1886</v>
      </c>
      <c r="J9524" t="s">
        <v>1887</v>
      </c>
      <c r="K9524" t="s">
        <v>1888</v>
      </c>
      <c r="L9524" t="s">
        <v>329</v>
      </c>
      <c r="M9524" t="s">
        <v>274</v>
      </c>
      <c r="N9524" t="s">
        <v>664</v>
      </c>
      <c r="O9524" t="s">
        <v>1889</v>
      </c>
      <c r="P9524" t="s">
        <v>1890</v>
      </c>
      <c r="Q9524" t="s">
        <v>1891</v>
      </c>
      <c r="R9524" t="s">
        <v>1892</v>
      </c>
      <c r="S9524" t="s">
        <v>1893</v>
      </c>
      <c r="T9524" t="s">
        <v>1894</v>
      </c>
      <c r="U9524" t="s">
        <v>1895</v>
      </c>
    </row>
    <row r="9525" spans="1:21">
      <c r="A9525" t="s">
        <v>195</v>
      </c>
      <c r="B9525" t="s">
        <v>196</v>
      </c>
      <c r="C9525">
        <v>411</v>
      </c>
      <c r="D9525" t="s">
        <v>194</v>
      </c>
      <c r="E9525">
        <v>2667</v>
      </c>
      <c r="F9525" s="3">
        <v>1.49E-2</v>
      </c>
      <c r="G9525" s="3">
        <v>0.3306</v>
      </c>
      <c r="H9525" s="3">
        <v>7.7399999999999997E-2</v>
      </c>
      <c r="I9525" s="3">
        <v>0.21690000000000001</v>
      </c>
      <c r="J9525" s="3">
        <v>6.2E-2</v>
      </c>
      <c r="K9525" s="3">
        <v>3.8899999999999997E-2</v>
      </c>
      <c r="L9525" s="3">
        <v>0.35220000000000001</v>
      </c>
      <c r="O9525" s="3">
        <v>0.1167</v>
      </c>
      <c r="P9525" s="3">
        <v>3.7699999999999997E-2</v>
      </c>
      <c r="Q9525" s="3">
        <v>7.7200000000000005E-2</v>
      </c>
      <c r="R9525" s="3">
        <v>3.9800000000000002E-2</v>
      </c>
      <c r="S9525" s="3">
        <v>1.5299999999999999E-2</v>
      </c>
      <c r="T9525" s="3">
        <v>1.8200000000000001E-2</v>
      </c>
      <c r="U9525" s="3">
        <v>4.0000000000000001E-3</v>
      </c>
    </row>
    <row r="9526" spans="1:21">
      <c r="A9526" t="s">
        <v>195</v>
      </c>
      <c r="B9526" t="s">
        <v>198</v>
      </c>
      <c r="C9526">
        <v>752</v>
      </c>
      <c r="D9526" t="s">
        <v>194</v>
      </c>
      <c r="E9526">
        <v>2667</v>
      </c>
      <c r="F9526" s="3">
        <v>3.2399999999999998E-2</v>
      </c>
      <c r="G9526" s="3">
        <v>0.40639999999999998</v>
      </c>
      <c r="H9526" s="3">
        <v>0.1426</v>
      </c>
      <c r="I9526" s="3">
        <v>0.2999</v>
      </c>
      <c r="J9526" s="3">
        <v>0.2001</v>
      </c>
      <c r="K9526" s="3">
        <v>8.8700000000000001E-2</v>
      </c>
      <c r="L9526" s="3">
        <v>8.48E-2</v>
      </c>
      <c r="M9526" s="3">
        <v>2.7000000000000001E-3</v>
      </c>
      <c r="O9526" s="3">
        <v>0.32500000000000001</v>
      </c>
      <c r="P9526" s="3">
        <v>0.19900000000000001</v>
      </c>
      <c r="Q9526" s="3">
        <v>0.17219999999999999</v>
      </c>
      <c r="R9526" s="3">
        <v>8.3199999999999996E-2</v>
      </c>
      <c r="S9526" s="3">
        <v>3.4000000000000002E-2</v>
      </c>
      <c r="T9526" s="3">
        <v>3.7499999999999999E-2</v>
      </c>
      <c r="U9526" s="3">
        <v>0.1065</v>
      </c>
    </row>
    <row r="9527" spans="1:21">
      <c r="A9527" t="s">
        <v>199</v>
      </c>
      <c r="B9527" t="s">
        <v>196</v>
      </c>
      <c r="C9527">
        <v>523</v>
      </c>
      <c r="D9527" t="s">
        <v>194</v>
      </c>
      <c r="E9527">
        <v>2667</v>
      </c>
      <c r="F9527" s="3">
        <v>7.0499999999999993E-2</v>
      </c>
      <c r="G9527" s="3">
        <v>0.1741</v>
      </c>
      <c r="H9527" s="3">
        <v>0.18</v>
      </c>
      <c r="I9527" s="3">
        <v>0.43509999999999999</v>
      </c>
      <c r="J9527" s="3">
        <v>0.19</v>
      </c>
      <c r="K9527" s="3">
        <v>0.11940000000000001</v>
      </c>
      <c r="L9527" s="3">
        <v>0.30790000000000001</v>
      </c>
      <c r="N9527" s="3">
        <v>5.1000000000000004E-3</v>
      </c>
      <c r="O9527" s="3">
        <v>0.22370000000000001</v>
      </c>
      <c r="P9527" s="3">
        <v>0.2132</v>
      </c>
      <c r="Q9527" s="3">
        <v>0.18099999999999999</v>
      </c>
      <c r="R9527" s="3">
        <v>6.2899999999999998E-2</v>
      </c>
      <c r="S9527" s="3">
        <v>3.7699999999999997E-2</v>
      </c>
      <c r="T9527" s="3">
        <v>5.3900000000000003E-2</v>
      </c>
      <c r="U9527" s="3">
        <v>8.72E-2</v>
      </c>
    </row>
    <row r="9528" spans="1:21">
      <c r="A9528" t="s">
        <v>199</v>
      </c>
      <c r="B9528" t="s">
        <v>198</v>
      </c>
      <c r="C9528">
        <v>942</v>
      </c>
      <c r="D9528" t="s">
        <v>194</v>
      </c>
      <c r="E9528">
        <v>2667</v>
      </c>
      <c r="F9528" s="3">
        <v>0.17610000000000001</v>
      </c>
      <c r="G9528" s="3">
        <v>0.2366</v>
      </c>
      <c r="H9528" s="3">
        <v>0.29820000000000002</v>
      </c>
      <c r="I9528" s="3">
        <v>0.57840000000000003</v>
      </c>
      <c r="J9528" s="3">
        <v>0.34279999999999999</v>
      </c>
      <c r="K9528" s="3">
        <v>0.25</v>
      </c>
      <c r="L9528" s="3">
        <v>6.0900000000000003E-2</v>
      </c>
      <c r="N9528" s="3">
        <v>1.1000000000000001E-3</v>
      </c>
      <c r="O9528" s="3">
        <v>0.39800000000000002</v>
      </c>
      <c r="P9528" s="3">
        <v>0.32</v>
      </c>
      <c r="Q9528" s="3">
        <v>0.44</v>
      </c>
      <c r="R9528" s="3">
        <v>0.20269999999999999</v>
      </c>
      <c r="S9528" s="3">
        <v>0.12970000000000001</v>
      </c>
      <c r="T9528" s="3">
        <v>0.18909999999999999</v>
      </c>
      <c r="U9528" s="3">
        <v>0.2329</v>
      </c>
    </row>
    <row r="9529" spans="1:21">
      <c r="A9529" t="s">
        <v>200</v>
      </c>
      <c r="B9529" t="s">
        <v>200</v>
      </c>
      <c r="C9529">
        <v>2667</v>
      </c>
      <c r="D9529" t="s">
        <v>200</v>
      </c>
      <c r="E9529">
        <v>2667</v>
      </c>
      <c r="F9529" s="3">
        <v>9.9099999999999994E-2</v>
      </c>
      <c r="G9529" s="3">
        <v>0.29659999999999997</v>
      </c>
      <c r="H9529" s="3">
        <v>0.20880000000000001</v>
      </c>
      <c r="I9529" s="3">
        <v>0.4294</v>
      </c>
      <c r="J9529" s="3">
        <v>0.2467</v>
      </c>
      <c r="K9529" s="3">
        <v>0.15859999999999999</v>
      </c>
      <c r="L9529" s="3">
        <v>0.129</v>
      </c>
      <c r="M9529" s="3">
        <v>8.9999999999999998E-4</v>
      </c>
      <c r="N9529" s="3">
        <v>1E-3</v>
      </c>
      <c r="O9529" s="3">
        <v>0.32229999999999998</v>
      </c>
      <c r="P9529" s="3">
        <v>0.2364</v>
      </c>
      <c r="Q9529" s="3">
        <v>0.28249999999999997</v>
      </c>
      <c r="R9529" s="3">
        <v>0.12970000000000001</v>
      </c>
      <c r="S9529" s="3">
        <v>7.5300000000000006E-2</v>
      </c>
      <c r="T9529" s="3">
        <v>0.1053</v>
      </c>
      <c r="U9529" s="3">
        <v>0.1492</v>
      </c>
    </row>
    <row r="9531" spans="1:21" ht="45">
      <c r="A9531" s="22" t="s">
        <v>1898</v>
      </c>
    </row>
    <row r="9532" spans="1:21">
      <c r="A9532" t="s">
        <v>185</v>
      </c>
      <c r="B9532" t="s">
        <v>186</v>
      </c>
      <c r="C9532" t="s">
        <v>192</v>
      </c>
      <c r="D9532" t="s">
        <v>184</v>
      </c>
      <c r="E9532" t="s">
        <v>193</v>
      </c>
      <c r="F9532" t="s">
        <v>1884</v>
      </c>
      <c r="G9532" t="s">
        <v>257</v>
      </c>
      <c r="H9532" t="s">
        <v>1885</v>
      </c>
      <c r="I9532" t="s">
        <v>1886</v>
      </c>
      <c r="J9532" t="s">
        <v>1887</v>
      </c>
      <c r="K9532" t="s">
        <v>1888</v>
      </c>
      <c r="L9532" t="s">
        <v>329</v>
      </c>
      <c r="M9532" t="s">
        <v>274</v>
      </c>
      <c r="N9532" t="s">
        <v>664</v>
      </c>
      <c r="O9532" t="s">
        <v>1889</v>
      </c>
      <c r="P9532" t="s">
        <v>1890</v>
      </c>
      <c r="Q9532" t="s">
        <v>1891</v>
      </c>
      <c r="R9532" t="s">
        <v>1892</v>
      </c>
      <c r="S9532" t="s">
        <v>1893</v>
      </c>
      <c r="T9532" t="s">
        <v>1894</v>
      </c>
      <c r="U9532" t="s">
        <v>1895</v>
      </c>
    </row>
    <row r="9533" spans="1:21">
      <c r="A9533" t="s">
        <v>195</v>
      </c>
      <c r="B9533" t="s">
        <v>202</v>
      </c>
      <c r="C9533">
        <v>530</v>
      </c>
      <c r="D9533" t="s">
        <v>194</v>
      </c>
      <c r="E9533">
        <v>2667</v>
      </c>
      <c r="F9533" s="3">
        <v>3.4700000000000002E-2</v>
      </c>
      <c r="G9533" s="3">
        <v>0.39900000000000002</v>
      </c>
      <c r="H9533" s="3">
        <v>0.11550000000000001</v>
      </c>
      <c r="I9533" s="3">
        <v>0.25750000000000001</v>
      </c>
      <c r="J9533" s="3">
        <v>0.1603</v>
      </c>
      <c r="K9533" s="3">
        <v>7.2400000000000006E-2</v>
      </c>
      <c r="L9533" s="3">
        <v>0.15579999999999999</v>
      </c>
      <c r="M9533" s="3">
        <v>3.0999999999999999E-3</v>
      </c>
      <c r="O9533" s="3">
        <v>0.25979999999999998</v>
      </c>
      <c r="P9533" s="3">
        <v>0.14499999999999999</v>
      </c>
      <c r="Q9533" s="3">
        <v>0.12690000000000001</v>
      </c>
      <c r="R9533" s="3">
        <v>4.9799999999999997E-2</v>
      </c>
      <c r="S9533" s="3">
        <v>3.1699999999999999E-2</v>
      </c>
      <c r="T9533" s="3">
        <v>4.0300000000000002E-2</v>
      </c>
      <c r="U9533" s="3">
        <v>5.74E-2</v>
      </c>
    </row>
    <row r="9534" spans="1:21">
      <c r="A9534" t="s">
        <v>195</v>
      </c>
      <c r="B9534" t="s">
        <v>204</v>
      </c>
      <c r="C9534">
        <v>300</v>
      </c>
      <c r="D9534" t="s">
        <v>194</v>
      </c>
      <c r="E9534">
        <v>2667</v>
      </c>
      <c r="F9534" s="3">
        <v>1.2200000000000001E-2</v>
      </c>
      <c r="G9534" s="3">
        <v>0.3301</v>
      </c>
      <c r="H9534" s="3">
        <v>0.16639999999999999</v>
      </c>
      <c r="I9534" s="3">
        <v>0.34279999999999999</v>
      </c>
      <c r="J9534" s="3">
        <v>0.23699999999999999</v>
      </c>
      <c r="K9534" s="3">
        <v>0.1074</v>
      </c>
      <c r="L9534" s="3">
        <v>0.14760000000000001</v>
      </c>
      <c r="O9534" s="3">
        <v>0.27400000000000002</v>
      </c>
      <c r="P9534" s="3">
        <v>0.22550000000000001</v>
      </c>
      <c r="Q9534" s="3">
        <v>0.19639999999999999</v>
      </c>
      <c r="R9534" s="3">
        <v>0.14069999999999999</v>
      </c>
      <c r="S9534" s="3">
        <v>7.7999999999999996E-3</v>
      </c>
      <c r="T9534" s="3">
        <v>1.6199999999999999E-2</v>
      </c>
      <c r="U9534" s="3">
        <v>0.13</v>
      </c>
    </row>
    <row r="9535" spans="1:21">
      <c r="A9535" t="s">
        <v>195</v>
      </c>
      <c r="B9535" t="s">
        <v>205</v>
      </c>
      <c r="C9535">
        <v>333</v>
      </c>
      <c r="D9535" t="s">
        <v>194</v>
      </c>
      <c r="E9535">
        <v>2667</v>
      </c>
      <c r="F9535" s="3">
        <v>1.9599999999999999E-2</v>
      </c>
      <c r="G9535" s="3">
        <v>0.41370000000000001</v>
      </c>
      <c r="H9535" s="3">
        <v>0.106</v>
      </c>
      <c r="I9535" s="3">
        <v>0.2707</v>
      </c>
      <c r="J9535" s="3">
        <v>5.9900000000000002E-2</v>
      </c>
      <c r="K9535" s="3">
        <v>3.8699999999999998E-2</v>
      </c>
      <c r="L9535" s="3">
        <v>0.17219999999999999</v>
      </c>
      <c r="O9535" s="3">
        <v>0.30780000000000002</v>
      </c>
      <c r="P9535" s="3">
        <v>9.7500000000000003E-2</v>
      </c>
      <c r="Q9535" s="3">
        <v>0.16300000000000001</v>
      </c>
      <c r="R9535" s="3">
        <v>6.6000000000000003E-2</v>
      </c>
      <c r="S9535" s="3">
        <v>4.99E-2</v>
      </c>
      <c r="T9535" s="3">
        <v>2.0199999999999999E-2</v>
      </c>
      <c r="U9535" s="3">
        <v>0.1022</v>
      </c>
    </row>
    <row r="9536" spans="1:21">
      <c r="A9536" t="s">
        <v>199</v>
      </c>
      <c r="B9536" t="s">
        <v>202</v>
      </c>
      <c r="C9536">
        <v>537</v>
      </c>
      <c r="D9536" t="s">
        <v>194</v>
      </c>
      <c r="E9536">
        <v>2667</v>
      </c>
      <c r="F9536" s="3">
        <v>0.2331</v>
      </c>
      <c r="G9536" s="3">
        <v>0.1547</v>
      </c>
      <c r="H9536" s="3">
        <v>0.38519999999999999</v>
      </c>
      <c r="I9536" s="3">
        <v>0.62909999999999999</v>
      </c>
      <c r="J9536" s="3">
        <v>0.41260000000000002</v>
      </c>
      <c r="K9536" s="3">
        <v>0.3175</v>
      </c>
      <c r="L9536" s="3">
        <v>9.8500000000000004E-2</v>
      </c>
      <c r="N9536" s="3">
        <v>1.5E-3</v>
      </c>
      <c r="O9536" s="3">
        <v>0.40450000000000003</v>
      </c>
      <c r="P9536" s="3">
        <v>0.39760000000000001</v>
      </c>
      <c r="Q9536" s="3">
        <v>0.49440000000000001</v>
      </c>
      <c r="R9536" s="3">
        <v>0.2455</v>
      </c>
      <c r="S9536" s="3">
        <v>0.16589999999999999</v>
      </c>
      <c r="T9536" s="3">
        <v>0.23960000000000001</v>
      </c>
      <c r="U9536" s="3">
        <v>0.28620000000000001</v>
      </c>
    </row>
    <row r="9537" spans="1:21">
      <c r="A9537" t="s">
        <v>199</v>
      </c>
      <c r="B9537" t="s">
        <v>204</v>
      </c>
      <c r="C9537">
        <v>426</v>
      </c>
      <c r="D9537" t="s">
        <v>194</v>
      </c>
      <c r="E9537">
        <v>2667</v>
      </c>
      <c r="F9537" s="3">
        <v>2.6499999999999999E-2</v>
      </c>
      <c r="G9537" s="3">
        <v>0.32519999999999999</v>
      </c>
      <c r="H9537" s="3">
        <v>0.129</v>
      </c>
      <c r="I9537" s="3">
        <v>0.42959999999999998</v>
      </c>
      <c r="J9537" s="3">
        <v>0.18160000000000001</v>
      </c>
      <c r="K9537" s="3">
        <v>5.6800000000000003E-2</v>
      </c>
      <c r="L9537" s="3">
        <v>0.153</v>
      </c>
      <c r="N9537" s="3">
        <v>4.0000000000000001E-3</v>
      </c>
      <c r="O9537" s="3">
        <v>0.29260000000000003</v>
      </c>
      <c r="P9537" s="3">
        <v>0.1053</v>
      </c>
      <c r="Q9537" s="3">
        <v>0.251</v>
      </c>
      <c r="R9537" s="3">
        <v>5.5399999999999998E-2</v>
      </c>
      <c r="S9537" s="3">
        <v>1.8100000000000002E-2</v>
      </c>
      <c r="T9537" s="3">
        <v>4.4699999999999997E-2</v>
      </c>
      <c r="U9537" s="3">
        <v>4.7199999999999999E-2</v>
      </c>
    </row>
    <row r="9538" spans="1:21">
      <c r="A9538" t="s">
        <v>199</v>
      </c>
      <c r="B9538" t="s">
        <v>205</v>
      </c>
      <c r="C9538">
        <v>502</v>
      </c>
      <c r="D9538" t="s">
        <v>194</v>
      </c>
      <c r="E9538">
        <v>2667</v>
      </c>
      <c r="F9538" s="3">
        <v>1.8599999999999998E-2</v>
      </c>
      <c r="G9538" s="3">
        <v>0.37269999999999998</v>
      </c>
      <c r="H9538" s="3">
        <v>3.7100000000000001E-2</v>
      </c>
      <c r="I9538" s="3">
        <v>0.40210000000000001</v>
      </c>
      <c r="J9538" s="3">
        <v>9.9000000000000005E-2</v>
      </c>
      <c r="K9538" s="3">
        <v>7.6200000000000004E-2</v>
      </c>
      <c r="L9538" s="3">
        <v>8.5900000000000004E-2</v>
      </c>
      <c r="N9538" s="3">
        <v>6.9999999999999999E-4</v>
      </c>
      <c r="O9538" s="3">
        <v>0.30309999999999998</v>
      </c>
      <c r="P9538" s="3">
        <v>0.15890000000000001</v>
      </c>
      <c r="Q9538" s="3">
        <v>0.1694</v>
      </c>
      <c r="R9538" s="3">
        <v>5.8400000000000001E-2</v>
      </c>
      <c r="S9538" s="3">
        <v>2.1299999999999999E-2</v>
      </c>
      <c r="T9538" s="3">
        <v>1.78E-2</v>
      </c>
      <c r="U9538" s="3">
        <v>8.6499999999999994E-2</v>
      </c>
    </row>
    <row r="9539" spans="1:21">
      <c r="A9539" t="s">
        <v>200</v>
      </c>
      <c r="B9539" t="s">
        <v>200</v>
      </c>
      <c r="C9539">
        <v>2667</v>
      </c>
      <c r="D9539" t="s">
        <v>200</v>
      </c>
      <c r="E9539">
        <v>2667</v>
      </c>
      <c r="F9539" s="3">
        <v>9.9099999999999994E-2</v>
      </c>
      <c r="G9539" s="3">
        <v>0.29659999999999997</v>
      </c>
      <c r="H9539" s="3">
        <v>0.20880000000000001</v>
      </c>
      <c r="I9539" s="3">
        <v>0.4294</v>
      </c>
      <c r="J9539" s="3">
        <v>0.2467</v>
      </c>
      <c r="K9539" s="3">
        <v>0.15859999999999999</v>
      </c>
      <c r="L9539" s="3">
        <v>0.129</v>
      </c>
      <c r="M9539" s="3">
        <v>8.9999999999999998E-4</v>
      </c>
      <c r="N9539" s="3">
        <v>1E-3</v>
      </c>
      <c r="O9539" s="3">
        <v>0.32229999999999998</v>
      </c>
      <c r="P9539" s="3">
        <v>0.2364</v>
      </c>
      <c r="Q9539" s="3">
        <v>0.28249999999999997</v>
      </c>
      <c r="R9539" s="3">
        <v>0.12970000000000001</v>
      </c>
      <c r="S9539" s="3">
        <v>7.5300000000000006E-2</v>
      </c>
      <c r="T9539" s="3">
        <v>0.1053</v>
      </c>
      <c r="U9539" s="3">
        <v>0.1492</v>
      </c>
    </row>
    <row r="9541" spans="1:21" ht="45">
      <c r="A9541" s="22" t="s">
        <v>1899</v>
      </c>
    </row>
    <row r="9542" spans="1:21">
      <c r="A9542" t="s">
        <v>185</v>
      </c>
      <c r="B9542" t="s">
        <v>186</v>
      </c>
      <c r="C9542" t="s">
        <v>192</v>
      </c>
      <c r="D9542" t="s">
        <v>184</v>
      </c>
      <c r="E9542" t="s">
        <v>193</v>
      </c>
      <c r="F9542" t="s">
        <v>1884</v>
      </c>
      <c r="G9542" t="s">
        <v>257</v>
      </c>
      <c r="H9542" t="s">
        <v>1885</v>
      </c>
      <c r="I9542" t="s">
        <v>1886</v>
      </c>
      <c r="J9542" t="s">
        <v>1887</v>
      </c>
      <c r="K9542" t="s">
        <v>1888</v>
      </c>
      <c r="L9542" t="s">
        <v>329</v>
      </c>
      <c r="M9542" t="s">
        <v>274</v>
      </c>
      <c r="N9542" t="s">
        <v>664</v>
      </c>
      <c r="O9542" t="s">
        <v>1889</v>
      </c>
      <c r="P9542" t="s">
        <v>1890</v>
      </c>
      <c r="Q9542" t="s">
        <v>1891</v>
      </c>
      <c r="R9542" t="s">
        <v>1892</v>
      </c>
      <c r="S9542" t="s">
        <v>1893</v>
      </c>
      <c r="T9542" t="s">
        <v>1894</v>
      </c>
      <c r="U9542" t="s">
        <v>1895</v>
      </c>
    </row>
    <row r="9543" spans="1:21">
      <c r="A9543" t="s">
        <v>195</v>
      </c>
      <c r="B9543" t="s">
        <v>207</v>
      </c>
      <c r="C9543">
        <v>320</v>
      </c>
      <c r="D9543" t="s">
        <v>194</v>
      </c>
      <c r="E9543">
        <v>2667</v>
      </c>
      <c r="F9543" s="3">
        <v>2.12E-2</v>
      </c>
      <c r="G9543" s="3">
        <v>0.50070000000000003</v>
      </c>
      <c r="H9543" s="3">
        <v>5.0799999999999998E-2</v>
      </c>
      <c r="I9543" s="3">
        <v>0.15010000000000001</v>
      </c>
      <c r="J9543" s="3">
        <v>7.1300000000000002E-2</v>
      </c>
      <c r="K9543" s="3">
        <v>6.4000000000000001E-2</v>
      </c>
      <c r="L9543" s="3">
        <v>0.1673</v>
      </c>
      <c r="M9543" s="3">
        <v>7.7000000000000002E-3</v>
      </c>
      <c r="O9543" s="3">
        <v>0.18609999999999999</v>
      </c>
      <c r="P9543" s="3">
        <v>7.1800000000000003E-2</v>
      </c>
      <c r="Q9543" s="3">
        <v>5.1999999999999998E-2</v>
      </c>
      <c r="R9543" s="3">
        <v>9.2999999999999992E-3</v>
      </c>
      <c r="S9543" s="3">
        <v>5.4000000000000003E-3</v>
      </c>
      <c r="T9543" s="3">
        <v>2.01E-2</v>
      </c>
      <c r="U9543" s="3">
        <v>1.83E-2</v>
      </c>
    </row>
    <row r="9544" spans="1:21">
      <c r="A9544" t="s">
        <v>195</v>
      </c>
      <c r="B9544" t="s">
        <v>209</v>
      </c>
      <c r="C9544">
        <v>864</v>
      </c>
      <c r="D9544" t="s">
        <v>194</v>
      </c>
      <c r="E9544">
        <v>2667</v>
      </c>
      <c r="F9544" s="3">
        <v>2.98E-2</v>
      </c>
      <c r="G9544" s="3">
        <v>0.34639999999999999</v>
      </c>
      <c r="H9544" s="3">
        <v>0.1507</v>
      </c>
      <c r="I9544" s="3">
        <v>0.32050000000000001</v>
      </c>
      <c r="J9544" s="3">
        <v>0.1943</v>
      </c>
      <c r="K9544" s="3">
        <v>7.8799999999999995E-2</v>
      </c>
      <c r="L9544" s="3">
        <v>0.1527</v>
      </c>
      <c r="O9544" s="3">
        <v>0.2964</v>
      </c>
      <c r="P9544" s="3">
        <v>0.1862</v>
      </c>
      <c r="Q9544" s="3">
        <v>0.17879999999999999</v>
      </c>
      <c r="R9544" s="3">
        <v>9.2700000000000005E-2</v>
      </c>
      <c r="S9544" s="3">
        <v>3.6999999999999998E-2</v>
      </c>
      <c r="T9544" s="3">
        <v>3.6400000000000002E-2</v>
      </c>
      <c r="U9544" s="3">
        <v>9.9699999999999997E-2</v>
      </c>
    </row>
    <row r="9545" spans="1:21">
      <c r="A9545" t="s">
        <v>199</v>
      </c>
      <c r="B9545" t="s">
        <v>207</v>
      </c>
      <c r="C9545">
        <v>283</v>
      </c>
      <c r="D9545" t="s">
        <v>194</v>
      </c>
      <c r="E9545">
        <v>2667</v>
      </c>
      <c r="F9545" s="3">
        <v>0.16400000000000001</v>
      </c>
      <c r="G9545" s="3">
        <v>0.2361</v>
      </c>
      <c r="H9545" s="3">
        <v>0.30180000000000001</v>
      </c>
      <c r="I9545" s="3">
        <v>0.52939999999999998</v>
      </c>
      <c r="J9545" s="3">
        <v>0.2923</v>
      </c>
      <c r="K9545" s="3">
        <v>0.28920000000000001</v>
      </c>
      <c r="L9545" s="3">
        <v>0.1104</v>
      </c>
      <c r="N9545" s="3">
        <v>1E-3</v>
      </c>
      <c r="O9545" s="3">
        <v>0.36530000000000001</v>
      </c>
      <c r="P9545" s="3">
        <v>0.27210000000000001</v>
      </c>
      <c r="Q9545" s="3">
        <v>0.29809999999999998</v>
      </c>
      <c r="R9545" s="3">
        <v>0.192</v>
      </c>
      <c r="S9545" s="3">
        <v>0.11840000000000001</v>
      </c>
      <c r="T9545" s="3">
        <v>0.1812</v>
      </c>
      <c r="U9545" s="3">
        <v>0.20430000000000001</v>
      </c>
    </row>
    <row r="9546" spans="1:21">
      <c r="A9546" t="s">
        <v>199</v>
      </c>
      <c r="B9546" t="s">
        <v>209</v>
      </c>
      <c r="C9546">
        <v>1200</v>
      </c>
      <c r="D9546" t="s">
        <v>194</v>
      </c>
      <c r="E9546">
        <v>2667</v>
      </c>
      <c r="F9546" s="3">
        <v>0.1552</v>
      </c>
      <c r="G9546" s="3">
        <v>0.22359999999999999</v>
      </c>
      <c r="H9546" s="3">
        <v>0.27229999999999999</v>
      </c>
      <c r="I9546" s="3">
        <v>0.55449999999999999</v>
      </c>
      <c r="J9546" s="3">
        <v>0.317</v>
      </c>
      <c r="K9546" s="3">
        <v>0.21659999999999999</v>
      </c>
      <c r="L9546" s="3">
        <v>0.1065</v>
      </c>
      <c r="N9546" s="3">
        <v>2E-3</v>
      </c>
      <c r="O9546" s="3">
        <v>0.36580000000000001</v>
      </c>
      <c r="P9546" s="3">
        <v>0.3039</v>
      </c>
      <c r="Q9546" s="3">
        <v>0.40439999999999998</v>
      </c>
      <c r="R9546" s="3">
        <v>0.17430000000000001</v>
      </c>
      <c r="S9546" s="3">
        <v>0.11169999999999999</v>
      </c>
      <c r="T9546" s="3">
        <v>0.1613</v>
      </c>
      <c r="U9546" s="3">
        <v>0.20569999999999999</v>
      </c>
    </row>
    <row r="9547" spans="1:21">
      <c r="A9547" t="s">
        <v>200</v>
      </c>
      <c r="B9547" t="s">
        <v>200</v>
      </c>
      <c r="C9547">
        <v>2667</v>
      </c>
      <c r="D9547" t="s">
        <v>200</v>
      </c>
      <c r="E9547">
        <v>2667</v>
      </c>
      <c r="F9547" s="3">
        <v>9.9099999999999994E-2</v>
      </c>
      <c r="G9547" s="3">
        <v>0.29659999999999997</v>
      </c>
      <c r="H9547" s="3">
        <v>0.20880000000000001</v>
      </c>
      <c r="I9547" s="3">
        <v>0.4294</v>
      </c>
      <c r="J9547" s="3">
        <v>0.2467</v>
      </c>
      <c r="K9547" s="3">
        <v>0.15859999999999999</v>
      </c>
      <c r="L9547" s="3">
        <v>0.129</v>
      </c>
      <c r="M9547" s="3">
        <v>8.9999999999999998E-4</v>
      </c>
      <c r="N9547" s="3">
        <v>1E-3</v>
      </c>
      <c r="O9547" s="3">
        <v>0.32229999999999998</v>
      </c>
      <c r="P9547" s="3">
        <v>0.2364</v>
      </c>
      <c r="Q9547" s="3">
        <v>0.28249999999999997</v>
      </c>
      <c r="R9547" s="3">
        <v>0.12970000000000001</v>
      </c>
      <c r="S9547" s="3">
        <v>7.5300000000000006E-2</v>
      </c>
      <c r="T9547" s="3">
        <v>0.1053</v>
      </c>
      <c r="U9547" s="3">
        <v>0.1492</v>
      </c>
    </row>
    <row r="9549" spans="1:21" ht="45">
      <c r="A9549" s="22" t="s">
        <v>1900</v>
      </c>
    </row>
    <row r="9550" spans="1:21">
      <c r="A9550" t="s">
        <v>185</v>
      </c>
      <c r="B9550" t="s">
        <v>192</v>
      </c>
      <c r="C9550" t="s">
        <v>184</v>
      </c>
      <c r="D9550" t="s">
        <v>193</v>
      </c>
      <c r="E9550" t="s">
        <v>1884</v>
      </c>
      <c r="F9550" t="s">
        <v>257</v>
      </c>
      <c r="G9550" t="s">
        <v>1885</v>
      </c>
      <c r="H9550" t="s">
        <v>1886</v>
      </c>
      <c r="I9550" t="s">
        <v>1887</v>
      </c>
      <c r="J9550" t="s">
        <v>1888</v>
      </c>
      <c r="K9550" t="s">
        <v>329</v>
      </c>
      <c r="L9550" t="s">
        <v>274</v>
      </c>
      <c r="M9550" t="s">
        <v>664</v>
      </c>
      <c r="N9550" t="s">
        <v>1889</v>
      </c>
      <c r="O9550" t="s">
        <v>1890</v>
      </c>
      <c r="P9550" t="s">
        <v>1891</v>
      </c>
      <c r="Q9550" t="s">
        <v>1892</v>
      </c>
      <c r="R9550" t="s">
        <v>1893</v>
      </c>
      <c r="S9550" t="s">
        <v>1894</v>
      </c>
      <c r="T9550" t="s">
        <v>1895</v>
      </c>
    </row>
    <row r="9551" spans="1:21">
      <c r="A9551" t="s">
        <v>195</v>
      </c>
      <c r="B9551">
        <v>1184</v>
      </c>
      <c r="C9551" t="s">
        <v>194</v>
      </c>
      <c r="D9551">
        <v>2667</v>
      </c>
      <c r="E9551" s="3">
        <v>2.76E-2</v>
      </c>
      <c r="F9551" s="3">
        <v>0.38600000000000001</v>
      </c>
      <c r="G9551" s="3">
        <v>0.125</v>
      </c>
      <c r="H9551" s="3">
        <v>0.2767</v>
      </c>
      <c r="I9551" s="3">
        <v>0.16270000000000001</v>
      </c>
      <c r="J9551" s="3">
        <v>7.4999999999999997E-2</v>
      </c>
      <c r="K9551" s="3">
        <v>0.1565</v>
      </c>
      <c r="L9551" s="3">
        <v>2E-3</v>
      </c>
      <c r="N9551" s="3">
        <v>0.2681</v>
      </c>
      <c r="O9551" s="3">
        <v>0.15679999999999999</v>
      </c>
      <c r="P9551" s="3">
        <v>0.1462</v>
      </c>
      <c r="Q9551" s="3">
        <v>7.1199999999999999E-2</v>
      </c>
      <c r="R9551" s="3">
        <v>2.8899999999999999E-2</v>
      </c>
      <c r="S9551" s="3">
        <v>3.2199999999999999E-2</v>
      </c>
      <c r="T9551" s="3">
        <v>7.8700000000000006E-2</v>
      </c>
    </row>
    <row r="9552" spans="1:21">
      <c r="A9552" t="s">
        <v>199</v>
      </c>
      <c r="B9552">
        <v>1483</v>
      </c>
      <c r="C9552" t="s">
        <v>194</v>
      </c>
      <c r="D9552">
        <v>2667</v>
      </c>
      <c r="E9552" s="3">
        <v>0.15620000000000001</v>
      </c>
      <c r="F9552" s="3">
        <v>0.22509999999999999</v>
      </c>
      <c r="G9552" s="3">
        <v>0.27589999999999998</v>
      </c>
      <c r="H9552" s="3">
        <v>0.5514</v>
      </c>
      <c r="I9552" s="3">
        <v>0.314</v>
      </c>
      <c r="J9552" s="3">
        <v>0.22550000000000001</v>
      </c>
      <c r="K9552" s="3">
        <v>0.107</v>
      </c>
      <c r="M9552" s="3">
        <v>1.9E-3</v>
      </c>
      <c r="N9552" s="3">
        <v>0.36570000000000003</v>
      </c>
      <c r="O9552" s="3">
        <v>0.3</v>
      </c>
      <c r="P9552" s="3">
        <v>0.39140000000000003</v>
      </c>
      <c r="Q9552" s="3">
        <v>0.17649999999999999</v>
      </c>
      <c r="R9552" s="3">
        <v>0.1125</v>
      </c>
      <c r="S9552" s="3">
        <v>0.1638</v>
      </c>
      <c r="T9552" s="3">
        <v>0.20549999999999999</v>
      </c>
    </row>
    <row r="9553" spans="1:21">
      <c r="A9553" t="s">
        <v>200</v>
      </c>
      <c r="B9553">
        <v>2667</v>
      </c>
      <c r="C9553" t="s">
        <v>200</v>
      </c>
      <c r="D9553">
        <v>2667</v>
      </c>
      <c r="E9553" s="3">
        <v>9.9099999999999994E-2</v>
      </c>
      <c r="F9553" s="3">
        <v>0.29659999999999997</v>
      </c>
      <c r="G9553" s="3">
        <v>0.20880000000000001</v>
      </c>
      <c r="H9553" s="3">
        <v>0.4294</v>
      </c>
      <c r="I9553" s="3">
        <v>0.2467</v>
      </c>
      <c r="J9553" s="3">
        <v>0.15859999999999999</v>
      </c>
      <c r="K9553" s="3">
        <v>0.129</v>
      </c>
      <c r="L9553" s="3">
        <v>8.9999999999999998E-4</v>
      </c>
      <c r="M9553" s="3">
        <v>1E-3</v>
      </c>
      <c r="N9553" s="3">
        <v>0.32229999999999998</v>
      </c>
      <c r="O9553" s="3">
        <v>0.2364</v>
      </c>
      <c r="P9553" s="3">
        <v>0.28249999999999997</v>
      </c>
      <c r="Q9553" s="3">
        <v>0.12970000000000001</v>
      </c>
      <c r="R9553" s="3">
        <v>7.5300000000000006E-2</v>
      </c>
      <c r="S9553" s="3">
        <v>0.1053</v>
      </c>
      <c r="T9553" s="3">
        <v>0.1492</v>
      </c>
    </row>
    <row r="9555" spans="1:21" ht="45">
      <c r="A9555" s="22" t="s">
        <v>1901</v>
      </c>
    </row>
    <row r="9556" spans="1:21">
      <c r="A9556" t="s">
        <v>185</v>
      </c>
      <c r="B9556" t="s">
        <v>186</v>
      </c>
      <c r="C9556" t="s">
        <v>192</v>
      </c>
      <c r="D9556" t="s">
        <v>184</v>
      </c>
      <c r="E9556" t="s">
        <v>193</v>
      </c>
      <c r="F9556" t="s">
        <v>1884</v>
      </c>
      <c r="G9556" t="s">
        <v>257</v>
      </c>
      <c r="H9556" t="s">
        <v>1885</v>
      </c>
      <c r="I9556" t="s">
        <v>1886</v>
      </c>
      <c r="J9556" t="s">
        <v>1887</v>
      </c>
      <c r="K9556" t="s">
        <v>1888</v>
      </c>
      <c r="L9556" t="s">
        <v>329</v>
      </c>
      <c r="M9556" t="s">
        <v>274</v>
      </c>
      <c r="N9556" t="s">
        <v>664</v>
      </c>
      <c r="O9556" t="s">
        <v>1889</v>
      </c>
      <c r="P9556" t="s">
        <v>1890</v>
      </c>
      <c r="Q9556" t="s">
        <v>1891</v>
      </c>
      <c r="R9556" t="s">
        <v>1892</v>
      </c>
      <c r="S9556" t="s">
        <v>1893</v>
      </c>
      <c r="T9556" t="s">
        <v>1894</v>
      </c>
      <c r="U9556" t="s">
        <v>1895</v>
      </c>
    </row>
    <row r="9557" spans="1:21">
      <c r="A9557" t="s">
        <v>195</v>
      </c>
      <c r="B9557" t="s">
        <v>212</v>
      </c>
      <c r="C9557">
        <v>868</v>
      </c>
      <c r="D9557" t="s">
        <v>194</v>
      </c>
      <c r="E9557">
        <v>2667</v>
      </c>
      <c r="F9557" s="3">
        <v>2.6499999999999999E-2</v>
      </c>
      <c r="G9557" s="3">
        <v>0.37</v>
      </c>
      <c r="H9557" s="3">
        <v>0.13270000000000001</v>
      </c>
      <c r="I9557" s="3">
        <v>0.2843</v>
      </c>
      <c r="J9557" s="3">
        <v>0.17269999999999999</v>
      </c>
      <c r="K9557" s="3">
        <v>8.2500000000000004E-2</v>
      </c>
      <c r="L9557" s="3">
        <v>0.15570000000000001</v>
      </c>
      <c r="M9557" s="3">
        <v>2.5999999999999999E-3</v>
      </c>
      <c r="O9557" s="3">
        <v>0.28439999999999999</v>
      </c>
      <c r="P9557" s="3">
        <v>0.17660000000000001</v>
      </c>
      <c r="Q9557" s="3">
        <v>0.16750000000000001</v>
      </c>
      <c r="R9557" s="3">
        <v>7.9399999999999998E-2</v>
      </c>
      <c r="S9557" s="3">
        <v>3.3700000000000001E-2</v>
      </c>
      <c r="T9557" s="3">
        <v>3.4599999999999999E-2</v>
      </c>
      <c r="U9557" s="3">
        <v>8.9499999999999996E-2</v>
      </c>
    </row>
    <row r="9558" spans="1:21">
      <c r="A9558" t="s">
        <v>195</v>
      </c>
      <c r="B9558" t="s">
        <v>214</v>
      </c>
      <c r="C9558">
        <v>181</v>
      </c>
      <c r="D9558" t="s">
        <v>194</v>
      </c>
      <c r="E9558">
        <v>2667</v>
      </c>
      <c r="F9558" s="3">
        <v>3.15E-2</v>
      </c>
      <c r="G9558" s="3">
        <v>0.502</v>
      </c>
      <c r="H9558" s="3">
        <v>0.1089</v>
      </c>
      <c r="I9558" s="3">
        <v>0.22819999999999999</v>
      </c>
      <c r="J9558" s="3">
        <v>0.15110000000000001</v>
      </c>
      <c r="K9558" s="3">
        <v>4.6800000000000001E-2</v>
      </c>
      <c r="L9558" s="3">
        <v>9.0499999999999997E-2</v>
      </c>
      <c r="O9558" s="3">
        <v>0.2324</v>
      </c>
      <c r="P9558" s="3">
        <v>7.3099999999999998E-2</v>
      </c>
      <c r="Q9558" s="3">
        <v>6.3399999999999998E-2</v>
      </c>
      <c r="R9558" s="3">
        <v>6.1199999999999997E-2</v>
      </c>
      <c r="S9558" s="3">
        <v>1.23E-2</v>
      </c>
      <c r="T9558" s="3">
        <v>2.24E-2</v>
      </c>
      <c r="U9558" s="3">
        <v>4.3400000000000001E-2</v>
      </c>
    </row>
    <row r="9559" spans="1:21">
      <c r="A9559" t="s">
        <v>195</v>
      </c>
      <c r="B9559" t="s">
        <v>215</v>
      </c>
      <c r="C9559">
        <v>135</v>
      </c>
      <c r="D9559" t="s">
        <v>194</v>
      </c>
      <c r="E9559">
        <v>2667</v>
      </c>
      <c r="F9559" s="3">
        <v>0.03</v>
      </c>
      <c r="G9559" s="3">
        <v>0.29980000000000001</v>
      </c>
      <c r="H9559" s="3">
        <v>8.8300000000000003E-2</v>
      </c>
      <c r="I9559" s="3">
        <v>0.30480000000000002</v>
      </c>
      <c r="J9559" s="3">
        <v>9.6000000000000002E-2</v>
      </c>
      <c r="K9559" s="3">
        <v>6.3799999999999996E-2</v>
      </c>
      <c r="L9559" s="3">
        <v>0.29330000000000001</v>
      </c>
      <c r="O9559" s="3">
        <v>0.19289999999999999</v>
      </c>
      <c r="P9559" s="3">
        <v>0.14530000000000001</v>
      </c>
      <c r="Q9559" s="3">
        <v>0.1196</v>
      </c>
      <c r="R9559" s="3">
        <v>1.7899999999999999E-2</v>
      </c>
      <c r="S9559" s="3">
        <v>1.7899999999999999E-2</v>
      </c>
      <c r="T9559" s="3">
        <v>0.03</v>
      </c>
      <c r="U9559" s="3">
        <v>5.28E-2</v>
      </c>
    </row>
    <row r="9560" spans="1:21">
      <c r="A9560" t="s">
        <v>199</v>
      </c>
      <c r="B9560" t="s">
        <v>212</v>
      </c>
      <c r="C9560">
        <v>1114</v>
      </c>
      <c r="D9560" t="s">
        <v>194</v>
      </c>
      <c r="E9560">
        <v>2667</v>
      </c>
      <c r="F9560" s="3">
        <v>0.15640000000000001</v>
      </c>
      <c r="G9560" s="3">
        <v>0.2213</v>
      </c>
      <c r="H9560" s="3">
        <v>0.27660000000000001</v>
      </c>
      <c r="I9560" s="3">
        <v>0.54549999999999998</v>
      </c>
      <c r="J9560" s="3">
        <v>0.31509999999999999</v>
      </c>
      <c r="K9560" s="3">
        <v>0.2261</v>
      </c>
      <c r="L9560" s="3">
        <v>0.1036</v>
      </c>
      <c r="N9560" s="3">
        <v>2.2000000000000001E-3</v>
      </c>
      <c r="O9560" s="3">
        <v>0.38819999999999999</v>
      </c>
      <c r="P9560" s="3">
        <v>0.29920000000000002</v>
      </c>
      <c r="Q9560" s="3">
        <v>0.38279999999999997</v>
      </c>
      <c r="R9560" s="3">
        <v>0.17749999999999999</v>
      </c>
      <c r="S9560" s="3">
        <v>0.1153</v>
      </c>
      <c r="T9560" s="3">
        <v>0.15820000000000001</v>
      </c>
      <c r="U9560" s="3">
        <v>0.20569999999999999</v>
      </c>
    </row>
    <row r="9561" spans="1:21">
      <c r="A9561" t="s">
        <v>199</v>
      </c>
      <c r="B9561" t="s">
        <v>214</v>
      </c>
      <c r="C9561">
        <v>196</v>
      </c>
      <c r="D9561" t="s">
        <v>194</v>
      </c>
      <c r="E9561">
        <v>2667</v>
      </c>
      <c r="F9561" s="3">
        <v>0.1588</v>
      </c>
      <c r="G9561" s="3">
        <v>0.2676</v>
      </c>
      <c r="H9561" s="3">
        <v>0.32700000000000001</v>
      </c>
      <c r="I9561" s="3">
        <v>0.54900000000000004</v>
      </c>
      <c r="J9561" s="3">
        <v>0.29559999999999997</v>
      </c>
      <c r="K9561" s="3">
        <v>0.1908</v>
      </c>
      <c r="L9561" s="3">
        <v>0.1079</v>
      </c>
      <c r="N9561" s="3">
        <v>8.0000000000000004E-4</v>
      </c>
      <c r="O9561" s="3">
        <v>0.23150000000000001</v>
      </c>
      <c r="P9561" s="3">
        <v>0.23910000000000001</v>
      </c>
      <c r="Q9561" s="3">
        <v>0.4294</v>
      </c>
      <c r="R9561" s="3">
        <v>0.18110000000000001</v>
      </c>
      <c r="S9561" s="3">
        <v>7.6799999999999993E-2</v>
      </c>
      <c r="T9561" s="3">
        <v>0.19600000000000001</v>
      </c>
      <c r="U9561" s="3">
        <v>0.2077</v>
      </c>
    </row>
    <row r="9562" spans="1:21">
      <c r="A9562" t="s">
        <v>199</v>
      </c>
      <c r="B9562" t="s">
        <v>215</v>
      </c>
      <c r="C9562">
        <v>173</v>
      </c>
      <c r="D9562" t="s">
        <v>194</v>
      </c>
      <c r="E9562">
        <v>2667</v>
      </c>
      <c r="F9562" s="3">
        <v>0.14990000000000001</v>
      </c>
      <c r="G9562" s="3">
        <v>0.186</v>
      </c>
      <c r="H9562" s="3">
        <v>0.17979999999999999</v>
      </c>
      <c r="I9562" s="3">
        <v>0.60909999999999997</v>
      </c>
      <c r="J9562" s="3">
        <v>0.33579999999999999</v>
      </c>
      <c r="K9562" s="3">
        <v>0.28000000000000003</v>
      </c>
      <c r="L9562" s="3">
        <v>0.1361</v>
      </c>
      <c r="O9562" s="3">
        <v>0.39500000000000002</v>
      </c>
      <c r="P9562" s="3">
        <v>0.41349999999999998</v>
      </c>
      <c r="Q9562" s="3">
        <v>0.40379999999999999</v>
      </c>
      <c r="R9562" s="3">
        <v>0.159</v>
      </c>
      <c r="S9562" s="3">
        <v>0.14940000000000001</v>
      </c>
      <c r="T9562" s="3">
        <v>0.15840000000000001</v>
      </c>
      <c r="U9562" s="3">
        <v>0.19950000000000001</v>
      </c>
    </row>
    <row r="9563" spans="1:21">
      <c r="A9563" t="s">
        <v>200</v>
      </c>
      <c r="B9563" t="s">
        <v>200</v>
      </c>
      <c r="C9563">
        <v>2667</v>
      </c>
      <c r="D9563" t="s">
        <v>200</v>
      </c>
      <c r="E9563">
        <v>2667</v>
      </c>
      <c r="F9563" s="3">
        <v>9.9099999999999994E-2</v>
      </c>
      <c r="G9563" s="3">
        <v>0.29659999999999997</v>
      </c>
      <c r="H9563" s="3">
        <v>0.20880000000000001</v>
      </c>
      <c r="I9563" s="3">
        <v>0.4294</v>
      </c>
      <c r="J9563" s="3">
        <v>0.2467</v>
      </c>
      <c r="K9563" s="3">
        <v>0.15859999999999999</v>
      </c>
      <c r="L9563" s="3">
        <v>0.129</v>
      </c>
      <c r="M9563" s="3">
        <v>8.9999999999999998E-4</v>
      </c>
      <c r="N9563" s="3">
        <v>1E-3</v>
      </c>
      <c r="O9563" s="3">
        <v>0.32229999999999998</v>
      </c>
      <c r="P9563" s="3">
        <v>0.2364</v>
      </c>
      <c r="Q9563" s="3">
        <v>0.28249999999999997</v>
      </c>
      <c r="R9563" s="3">
        <v>0.12970000000000001</v>
      </c>
      <c r="S9563" s="3">
        <v>7.5300000000000006E-2</v>
      </c>
      <c r="T9563" s="3">
        <v>0.1053</v>
      </c>
      <c r="U9563" s="3">
        <v>0.1492</v>
      </c>
    </row>
    <row r="9565" spans="1:21" ht="45">
      <c r="A9565" s="22" t="s">
        <v>1902</v>
      </c>
    </row>
    <row r="9566" spans="1:21">
      <c r="A9566" t="s">
        <v>185</v>
      </c>
      <c r="B9566" t="s">
        <v>186</v>
      </c>
      <c r="C9566" t="s">
        <v>192</v>
      </c>
      <c r="D9566" t="s">
        <v>184</v>
      </c>
      <c r="E9566" t="s">
        <v>193</v>
      </c>
      <c r="F9566" t="s">
        <v>1884</v>
      </c>
      <c r="G9566" t="s">
        <v>257</v>
      </c>
      <c r="H9566" t="s">
        <v>1885</v>
      </c>
      <c r="I9566" t="s">
        <v>1886</v>
      </c>
      <c r="J9566" t="s">
        <v>1887</v>
      </c>
      <c r="K9566" t="s">
        <v>1888</v>
      </c>
      <c r="L9566" t="s">
        <v>329</v>
      </c>
      <c r="M9566" t="s">
        <v>274</v>
      </c>
      <c r="N9566" t="s">
        <v>664</v>
      </c>
      <c r="O9566" t="s">
        <v>1889</v>
      </c>
      <c r="P9566" t="s">
        <v>1890</v>
      </c>
      <c r="Q9566" t="s">
        <v>1891</v>
      </c>
      <c r="R9566" t="s">
        <v>1892</v>
      </c>
      <c r="S9566" t="s">
        <v>1893</v>
      </c>
      <c r="T9566" t="s">
        <v>1894</v>
      </c>
      <c r="U9566" t="s">
        <v>1895</v>
      </c>
    </row>
    <row r="9567" spans="1:21">
      <c r="A9567" t="s">
        <v>195</v>
      </c>
      <c r="B9567" t="s">
        <v>217</v>
      </c>
      <c r="C9567">
        <v>498</v>
      </c>
      <c r="D9567" t="s">
        <v>194</v>
      </c>
      <c r="E9567">
        <v>2667</v>
      </c>
      <c r="F9567" s="3">
        <v>3.1899999999999998E-2</v>
      </c>
      <c r="G9567" s="3">
        <v>0.34720000000000001</v>
      </c>
      <c r="H9567" s="3">
        <v>0.152</v>
      </c>
      <c r="I9567" s="3">
        <v>0.31309999999999999</v>
      </c>
      <c r="J9567" s="3">
        <v>0.16980000000000001</v>
      </c>
      <c r="K9567" s="3">
        <v>7.0599999999999996E-2</v>
      </c>
      <c r="L9567" s="3">
        <v>0.16189999999999999</v>
      </c>
      <c r="O9567" s="3">
        <v>0.29870000000000002</v>
      </c>
      <c r="P9567" s="3">
        <v>0.1555</v>
      </c>
      <c r="Q9567" s="3">
        <v>0.20910000000000001</v>
      </c>
      <c r="R9567" s="3">
        <v>8.6400000000000005E-2</v>
      </c>
      <c r="S9567" s="3">
        <v>3.8399999999999997E-2</v>
      </c>
      <c r="T9567" s="3">
        <v>4.2500000000000003E-2</v>
      </c>
      <c r="U9567" s="3">
        <v>7.8299999999999995E-2</v>
      </c>
    </row>
    <row r="9568" spans="1:21">
      <c r="A9568" t="s">
        <v>195</v>
      </c>
      <c r="B9568" t="s">
        <v>219</v>
      </c>
      <c r="C9568">
        <v>505</v>
      </c>
      <c r="D9568" t="s">
        <v>194</v>
      </c>
      <c r="E9568">
        <v>2667</v>
      </c>
      <c r="F9568" s="3">
        <v>2.9000000000000001E-2</v>
      </c>
      <c r="G9568" s="3">
        <v>0.41830000000000001</v>
      </c>
      <c r="H9568" s="3">
        <v>9.1200000000000003E-2</v>
      </c>
      <c r="I9568" s="3">
        <v>0.2339</v>
      </c>
      <c r="J9568" s="3">
        <v>0.151</v>
      </c>
      <c r="K9568" s="3">
        <v>7.3800000000000004E-2</v>
      </c>
      <c r="L9568" s="3">
        <v>0.15160000000000001</v>
      </c>
      <c r="M9568" s="3">
        <v>5.1000000000000004E-3</v>
      </c>
      <c r="O9568" s="3">
        <v>0.2165</v>
      </c>
      <c r="P9568" s="3">
        <v>0.15559999999999999</v>
      </c>
      <c r="Q9568" s="3">
        <v>9.3899999999999997E-2</v>
      </c>
      <c r="R9568" s="3">
        <v>4.19E-2</v>
      </c>
      <c r="S9568" s="3">
        <v>2.4E-2</v>
      </c>
      <c r="T9568" s="3">
        <v>2.18E-2</v>
      </c>
      <c r="U9568" s="3">
        <v>7.2900000000000006E-2</v>
      </c>
    </row>
    <row r="9569" spans="1:21">
      <c r="A9569" t="s">
        <v>195</v>
      </c>
      <c r="B9569" t="s">
        <v>220</v>
      </c>
      <c r="C9569">
        <v>180</v>
      </c>
      <c r="D9569" t="s">
        <v>194</v>
      </c>
      <c r="E9569">
        <v>2667</v>
      </c>
      <c r="F9569" s="3">
        <v>1.52E-2</v>
      </c>
      <c r="G9569" s="3">
        <v>0.40589999999999998</v>
      </c>
      <c r="H9569" s="3">
        <v>0.13489999999999999</v>
      </c>
      <c r="I9569" s="3">
        <v>0.2843</v>
      </c>
      <c r="J9569" s="3">
        <v>0.17100000000000001</v>
      </c>
      <c r="K9569" s="3">
        <v>8.7300000000000003E-2</v>
      </c>
      <c r="L9569" s="3">
        <v>0.15459999999999999</v>
      </c>
      <c r="O9569" s="3">
        <v>0.30690000000000001</v>
      </c>
      <c r="P9569" s="3">
        <v>0.16250000000000001</v>
      </c>
      <c r="Q9569" s="3">
        <v>0.114</v>
      </c>
      <c r="R9569" s="3">
        <v>9.8299999999999998E-2</v>
      </c>
      <c r="S9569" s="3">
        <v>1.7600000000000001E-2</v>
      </c>
      <c r="T9569" s="3">
        <v>3.0800000000000001E-2</v>
      </c>
      <c r="U9569" s="3">
        <v>9.1999999999999998E-2</v>
      </c>
    </row>
    <row r="9570" spans="1:21">
      <c r="A9570" t="s">
        <v>199</v>
      </c>
      <c r="B9570" t="s">
        <v>217</v>
      </c>
      <c r="C9570">
        <v>812</v>
      </c>
      <c r="D9570" t="s">
        <v>194</v>
      </c>
      <c r="E9570">
        <v>2667</v>
      </c>
      <c r="F9570" s="3">
        <v>0.14460000000000001</v>
      </c>
      <c r="G9570" s="3">
        <v>0.2014</v>
      </c>
      <c r="H9570" s="3">
        <v>0.252</v>
      </c>
      <c r="I9570" s="3">
        <v>0.57779999999999998</v>
      </c>
      <c r="J9570" s="3">
        <v>0.31780000000000003</v>
      </c>
      <c r="K9570" s="3">
        <v>0.2248</v>
      </c>
      <c r="L9570" s="3">
        <v>8.8400000000000006E-2</v>
      </c>
      <c r="N9570" s="3">
        <v>2.7000000000000001E-3</v>
      </c>
      <c r="O9570" s="3">
        <v>0.42159999999999997</v>
      </c>
      <c r="P9570" s="3">
        <v>0.29049999999999998</v>
      </c>
      <c r="Q9570" s="3">
        <v>0.40360000000000001</v>
      </c>
      <c r="R9570" s="3">
        <v>0.1701</v>
      </c>
      <c r="S9570" s="3">
        <v>0.1067</v>
      </c>
      <c r="T9570" s="3">
        <v>0.16320000000000001</v>
      </c>
      <c r="U9570" s="3">
        <v>0.1976</v>
      </c>
    </row>
    <row r="9571" spans="1:21">
      <c r="A9571" t="s">
        <v>199</v>
      </c>
      <c r="B9571" t="s">
        <v>219</v>
      </c>
      <c r="C9571">
        <v>450</v>
      </c>
      <c r="D9571" t="s">
        <v>194</v>
      </c>
      <c r="E9571">
        <v>2667</v>
      </c>
      <c r="F9571" s="3">
        <v>0.1211</v>
      </c>
      <c r="G9571" s="3">
        <v>0.25440000000000002</v>
      </c>
      <c r="H9571" s="3">
        <v>0.31280000000000002</v>
      </c>
      <c r="I9571" s="3">
        <v>0.50190000000000001</v>
      </c>
      <c r="J9571" s="3">
        <v>0.28210000000000002</v>
      </c>
      <c r="K9571" s="3">
        <v>0.1951</v>
      </c>
      <c r="L9571" s="3">
        <v>0.13150000000000001</v>
      </c>
      <c r="N9571" s="3">
        <v>5.0000000000000001E-4</v>
      </c>
      <c r="O9571" s="3">
        <v>0.24</v>
      </c>
      <c r="P9571" s="3">
        <v>0.30159999999999998</v>
      </c>
      <c r="Q9571" s="3">
        <v>0.35089999999999999</v>
      </c>
      <c r="R9571" s="3">
        <v>0.13370000000000001</v>
      </c>
      <c r="S9571" s="3">
        <v>7.4200000000000002E-2</v>
      </c>
      <c r="T9571" s="3">
        <v>0.1142</v>
      </c>
      <c r="U9571" s="3">
        <v>0.1888</v>
      </c>
    </row>
    <row r="9572" spans="1:21">
      <c r="A9572" t="s">
        <v>199</v>
      </c>
      <c r="B9572" t="s">
        <v>220</v>
      </c>
      <c r="C9572">
        <v>221</v>
      </c>
      <c r="D9572" t="s">
        <v>194</v>
      </c>
      <c r="E9572">
        <v>2667</v>
      </c>
      <c r="F9572" s="3">
        <v>0.2591</v>
      </c>
      <c r="G9572" s="3">
        <v>0.27089999999999997</v>
      </c>
      <c r="H9572" s="3">
        <v>0.30990000000000001</v>
      </c>
      <c r="I9572" s="3">
        <v>0.52790000000000004</v>
      </c>
      <c r="J9572" s="3">
        <v>0.3508</v>
      </c>
      <c r="K9572" s="3">
        <v>0.27760000000000001</v>
      </c>
      <c r="L9572" s="3">
        <v>0.14019999999999999</v>
      </c>
      <c r="N9572" s="3">
        <v>8.0000000000000004E-4</v>
      </c>
      <c r="O9572" s="3">
        <v>0.35020000000000001</v>
      </c>
      <c r="P9572" s="3">
        <v>0.33460000000000001</v>
      </c>
      <c r="Q9572" s="3">
        <v>0.40939999999999999</v>
      </c>
      <c r="R9572" s="3">
        <v>0.27089999999999997</v>
      </c>
      <c r="S9572" s="3">
        <v>0.1976</v>
      </c>
      <c r="T9572" s="3">
        <v>0.2465</v>
      </c>
      <c r="U9572" s="3">
        <v>0.26379999999999998</v>
      </c>
    </row>
    <row r="9573" spans="1:21">
      <c r="A9573" t="s">
        <v>200</v>
      </c>
      <c r="B9573" t="s">
        <v>200</v>
      </c>
      <c r="C9573">
        <v>2667</v>
      </c>
      <c r="D9573" t="s">
        <v>200</v>
      </c>
      <c r="E9573">
        <v>2667</v>
      </c>
      <c r="F9573" s="3">
        <v>9.9099999999999994E-2</v>
      </c>
      <c r="G9573" s="3">
        <v>0.29659999999999997</v>
      </c>
      <c r="H9573" s="3">
        <v>0.20880000000000001</v>
      </c>
      <c r="I9573" s="3">
        <v>0.4294</v>
      </c>
      <c r="J9573" s="3">
        <v>0.2467</v>
      </c>
      <c r="K9573" s="3">
        <v>0.15859999999999999</v>
      </c>
      <c r="L9573" s="3">
        <v>0.129</v>
      </c>
      <c r="M9573" s="3">
        <v>8.9999999999999998E-4</v>
      </c>
      <c r="N9573" s="3">
        <v>1E-3</v>
      </c>
      <c r="O9573" s="3">
        <v>0.32229999999999998</v>
      </c>
      <c r="P9573" s="3">
        <v>0.2364</v>
      </c>
      <c r="Q9573" s="3">
        <v>0.28249999999999997</v>
      </c>
      <c r="R9573" s="3">
        <v>0.12970000000000001</v>
      </c>
      <c r="S9573" s="3">
        <v>7.5300000000000006E-2</v>
      </c>
      <c r="T9573" s="3">
        <v>0.1053</v>
      </c>
      <c r="U9573" s="3">
        <v>0.1492</v>
      </c>
    </row>
    <row r="9575" spans="1:21" ht="45">
      <c r="A9575" s="22" t="s">
        <v>1903</v>
      </c>
    </row>
    <row r="9576" spans="1:21">
      <c r="A9576" t="s">
        <v>185</v>
      </c>
      <c r="B9576" t="s">
        <v>186</v>
      </c>
      <c r="C9576" t="s">
        <v>192</v>
      </c>
      <c r="D9576" t="s">
        <v>184</v>
      </c>
      <c r="E9576" t="s">
        <v>193</v>
      </c>
      <c r="F9576" t="s">
        <v>1904</v>
      </c>
      <c r="G9576" t="s">
        <v>257</v>
      </c>
      <c r="H9576" t="s">
        <v>1885</v>
      </c>
      <c r="I9576" t="s">
        <v>1905</v>
      </c>
      <c r="J9576" t="s">
        <v>1906</v>
      </c>
      <c r="K9576" t="s">
        <v>1907</v>
      </c>
      <c r="L9576" t="s">
        <v>329</v>
      </c>
      <c r="M9576" t="s">
        <v>274</v>
      </c>
      <c r="N9576" t="s">
        <v>247</v>
      </c>
      <c r="O9576" t="s">
        <v>1890</v>
      </c>
      <c r="P9576" t="s">
        <v>1908</v>
      </c>
      <c r="Q9576" t="s">
        <v>1894</v>
      </c>
    </row>
    <row r="9577" spans="1:21">
      <c r="A9577" t="s">
        <v>195</v>
      </c>
      <c r="B9577" t="s">
        <v>222</v>
      </c>
      <c r="C9577">
        <v>248</v>
      </c>
      <c r="D9577" t="s">
        <v>194</v>
      </c>
      <c r="E9577">
        <v>2672</v>
      </c>
      <c r="F9577" s="3">
        <v>0.1333</v>
      </c>
      <c r="G9577" s="3">
        <v>0.43480000000000002</v>
      </c>
      <c r="H9577" s="3">
        <v>0.21779999999999999</v>
      </c>
      <c r="I9577" s="3">
        <v>9.8000000000000004E-2</v>
      </c>
      <c r="J9577" s="3">
        <v>2.7199999999999998E-2</v>
      </c>
      <c r="K9577" s="3">
        <v>0.12870000000000001</v>
      </c>
      <c r="L9577" s="3">
        <v>0.1394</v>
      </c>
      <c r="M9577" s="3">
        <v>8.2000000000000007E-3</v>
      </c>
      <c r="O9577" s="3">
        <v>0.28389999999999999</v>
      </c>
      <c r="P9577" s="3">
        <v>4.6399999999999997E-2</v>
      </c>
      <c r="Q9577" s="3">
        <v>2.6200000000000001E-2</v>
      </c>
    </row>
    <row r="9578" spans="1:21">
      <c r="A9578" t="s">
        <v>195</v>
      </c>
      <c r="B9578" t="s">
        <v>224</v>
      </c>
      <c r="C9578">
        <v>940</v>
      </c>
      <c r="D9578" t="s">
        <v>194</v>
      </c>
      <c r="E9578">
        <v>2672</v>
      </c>
      <c r="F9578" s="3">
        <v>0.1449</v>
      </c>
      <c r="G9578" s="3">
        <v>0.36209999999999998</v>
      </c>
      <c r="H9578" s="3">
        <v>0.16719999999999999</v>
      </c>
      <c r="I9578" s="3">
        <v>0.111</v>
      </c>
      <c r="J9578" s="3">
        <v>1.15E-2</v>
      </c>
      <c r="K9578" s="3">
        <v>0.21790000000000001</v>
      </c>
      <c r="L9578" s="3">
        <v>0.10390000000000001</v>
      </c>
      <c r="M9578" s="3">
        <v>4.3E-3</v>
      </c>
      <c r="N9578" s="3">
        <v>5.0000000000000001E-4</v>
      </c>
      <c r="O9578" s="3">
        <v>0.37590000000000001</v>
      </c>
      <c r="P9578" s="3">
        <v>9.7600000000000006E-2</v>
      </c>
      <c r="Q9578" s="3">
        <v>3.2899999999999999E-2</v>
      </c>
    </row>
    <row r="9579" spans="1:21">
      <c r="A9579" t="s">
        <v>199</v>
      </c>
      <c r="B9579" t="s">
        <v>222</v>
      </c>
      <c r="C9579">
        <v>390</v>
      </c>
      <c r="D9579" t="s">
        <v>194</v>
      </c>
      <c r="E9579">
        <v>2672</v>
      </c>
      <c r="F9579" s="3">
        <v>0.25109999999999999</v>
      </c>
      <c r="G9579" s="3">
        <v>0.20630000000000001</v>
      </c>
      <c r="H9579" s="3">
        <v>0.27839999999999998</v>
      </c>
      <c r="I9579" s="3">
        <v>0.17660000000000001</v>
      </c>
      <c r="J9579" s="3">
        <v>6.0299999999999999E-2</v>
      </c>
      <c r="K9579" s="3">
        <v>0.2321</v>
      </c>
      <c r="L9579" s="3">
        <v>0.1699</v>
      </c>
      <c r="M9579" s="3">
        <v>1.18E-2</v>
      </c>
      <c r="N9579" s="3">
        <v>6.9999999999999999E-4</v>
      </c>
      <c r="O9579" s="3">
        <v>0.47410000000000002</v>
      </c>
      <c r="P9579" s="3">
        <v>0.15060000000000001</v>
      </c>
      <c r="Q9579" s="3">
        <v>8.8599999999999998E-2</v>
      </c>
    </row>
    <row r="9580" spans="1:21">
      <c r="A9580" t="s">
        <v>199</v>
      </c>
      <c r="B9580" t="s">
        <v>224</v>
      </c>
      <c r="C9580">
        <v>1094</v>
      </c>
      <c r="D9580" t="s">
        <v>194</v>
      </c>
      <c r="E9580">
        <v>2672</v>
      </c>
      <c r="F9580" s="3">
        <v>0.27589999999999998</v>
      </c>
      <c r="G9580" s="3">
        <v>0.23930000000000001</v>
      </c>
      <c r="H9580" s="3">
        <v>0.3</v>
      </c>
      <c r="I9580" s="3">
        <v>0.15920000000000001</v>
      </c>
      <c r="J9580" s="3">
        <v>5.2999999999999999E-2</v>
      </c>
      <c r="K9580" s="3">
        <v>0.26900000000000002</v>
      </c>
      <c r="L9580" s="3">
        <v>0.1273</v>
      </c>
      <c r="M9580" s="3">
        <v>3.1199999999999999E-2</v>
      </c>
      <c r="N9580" s="3">
        <v>2.7000000000000001E-3</v>
      </c>
      <c r="O9580" s="3">
        <v>0.4284</v>
      </c>
      <c r="P9580" s="3">
        <v>0.1739</v>
      </c>
      <c r="Q9580" s="3">
        <v>8.8999999999999996E-2</v>
      </c>
    </row>
    <row r="9581" spans="1:21">
      <c r="A9581" t="s">
        <v>200</v>
      </c>
      <c r="B9581" t="s">
        <v>200</v>
      </c>
      <c r="C9581">
        <v>2672</v>
      </c>
      <c r="D9581" t="s">
        <v>200</v>
      </c>
      <c r="E9581">
        <v>2672</v>
      </c>
      <c r="F9581" s="3">
        <v>0.21229999999999999</v>
      </c>
      <c r="G9581" s="3">
        <v>0.29599999999999999</v>
      </c>
      <c r="H9581" s="3">
        <v>0.24279999999999999</v>
      </c>
      <c r="I9581" s="3">
        <v>0.1394</v>
      </c>
      <c r="J9581" s="3">
        <v>3.7499999999999999E-2</v>
      </c>
      <c r="K9581" s="3">
        <v>0.23050000000000001</v>
      </c>
      <c r="L9581" s="3">
        <v>0.128</v>
      </c>
      <c r="M9581" s="3">
        <v>1.6400000000000001E-2</v>
      </c>
      <c r="N9581" s="3">
        <v>1.2999999999999999E-3</v>
      </c>
      <c r="O9581" s="3">
        <v>0.40300000000000002</v>
      </c>
      <c r="P9581" s="3">
        <v>0.1305</v>
      </c>
      <c r="Q9581" s="3">
        <v>6.3299999999999995E-2</v>
      </c>
    </row>
    <row r="9583" spans="1:21" ht="45">
      <c r="A9583" s="22" t="s">
        <v>1909</v>
      </c>
    </row>
    <row r="9584" spans="1:21">
      <c r="A9584" t="s">
        <v>185</v>
      </c>
      <c r="B9584" t="s">
        <v>186</v>
      </c>
      <c r="C9584" t="s">
        <v>192</v>
      </c>
      <c r="D9584" t="s">
        <v>184</v>
      </c>
      <c r="E9584" t="s">
        <v>193</v>
      </c>
      <c r="F9584" t="s">
        <v>1904</v>
      </c>
      <c r="G9584" t="s">
        <v>257</v>
      </c>
      <c r="H9584" t="s">
        <v>1885</v>
      </c>
      <c r="I9584" t="s">
        <v>1905</v>
      </c>
      <c r="J9584" t="s">
        <v>1906</v>
      </c>
      <c r="K9584" t="s">
        <v>1907</v>
      </c>
      <c r="L9584" t="s">
        <v>329</v>
      </c>
      <c r="M9584" t="s">
        <v>274</v>
      </c>
      <c r="N9584" t="s">
        <v>247</v>
      </c>
      <c r="O9584" t="s">
        <v>1890</v>
      </c>
      <c r="P9584" t="s">
        <v>1908</v>
      </c>
      <c r="Q9584" t="s">
        <v>1894</v>
      </c>
    </row>
    <row r="9585" spans="1:17">
      <c r="A9585" t="s">
        <v>195</v>
      </c>
      <c r="B9585" t="s">
        <v>229</v>
      </c>
      <c r="C9585">
        <v>130</v>
      </c>
      <c r="D9585" t="s">
        <v>194</v>
      </c>
      <c r="E9585">
        <v>2672</v>
      </c>
      <c r="F9585" s="3">
        <v>0.23</v>
      </c>
      <c r="G9585" s="3">
        <v>0.29530000000000001</v>
      </c>
      <c r="H9585" s="3">
        <v>0.24429999999999999</v>
      </c>
      <c r="I9585" s="3">
        <v>0.157</v>
      </c>
      <c r="J9585" s="3">
        <v>3.85E-2</v>
      </c>
      <c r="K9585" s="3">
        <v>0.2303</v>
      </c>
      <c r="L9585" s="3">
        <v>9.8000000000000004E-2</v>
      </c>
      <c r="M9585" s="3">
        <v>3.2000000000000002E-3</v>
      </c>
      <c r="O9585" s="3">
        <v>0.41959999999999997</v>
      </c>
      <c r="P9585" s="3">
        <v>0.1133</v>
      </c>
      <c r="Q9585" s="3">
        <v>6.4500000000000002E-2</v>
      </c>
    </row>
    <row r="9586" spans="1:17">
      <c r="A9586" t="s">
        <v>195</v>
      </c>
      <c r="B9586" t="s">
        <v>230</v>
      </c>
      <c r="C9586">
        <v>486</v>
      </c>
      <c r="D9586" t="s">
        <v>194</v>
      </c>
      <c r="E9586">
        <v>2672</v>
      </c>
      <c r="F9586" s="3">
        <v>0.13930000000000001</v>
      </c>
      <c r="G9586" s="3">
        <v>0.21690000000000001</v>
      </c>
      <c r="H9586" s="3">
        <v>0.20580000000000001</v>
      </c>
      <c r="I9586" s="3">
        <v>0.11269999999999999</v>
      </c>
      <c r="J9586" s="3">
        <v>8.6E-3</v>
      </c>
      <c r="K9586" s="3">
        <v>0.25890000000000002</v>
      </c>
      <c r="L9586" s="3">
        <v>0.15679999999999999</v>
      </c>
      <c r="M9586" s="3">
        <v>4.7999999999999996E-3</v>
      </c>
      <c r="N9586" s="3">
        <v>1E-3</v>
      </c>
      <c r="O9586" s="3">
        <v>0.48849999999999999</v>
      </c>
      <c r="P9586" s="3">
        <v>0.11360000000000001</v>
      </c>
      <c r="Q9586" s="3">
        <v>2.5499999999999998E-2</v>
      </c>
    </row>
    <row r="9587" spans="1:17">
      <c r="A9587" t="s">
        <v>195</v>
      </c>
      <c r="B9587" t="s">
        <v>231</v>
      </c>
      <c r="C9587">
        <v>305</v>
      </c>
      <c r="D9587" t="s">
        <v>194</v>
      </c>
      <c r="E9587">
        <v>2672</v>
      </c>
      <c r="F9587" s="3">
        <v>0.1676</v>
      </c>
      <c r="G9587" s="3">
        <v>0.39910000000000001</v>
      </c>
      <c r="H9587" s="3">
        <v>0.188</v>
      </c>
      <c r="I9587" s="3">
        <v>0.13730000000000001</v>
      </c>
      <c r="J9587" s="3">
        <v>2.29E-2</v>
      </c>
      <c r="K9587" s="3">
        <v>0.1981</v>
      </c>
      <c r="L9587" s="3">
        <v>0.1041</v>
      </c>
      <c r="M9587" s="3">
        <v>8.0999999999999996E-3</v>
      </c>
      <c r="O9587" s="3">
        <v>0.27379999999999999</v>
      </c>
      <c r="P9587" s="3">
        <v>7.9699999999999993E-2</v>
      </c>
      <c r="Q9587" s="3">
        <v>3.9300000000000002E-2</v>
      </c>
    </row>
    <row r="9588" spans="1:17">
      <c r="A9588" t="s">
        <v>195</v>
      </c>
      <c r="B9588" t="s">
        <v>232</v>
      </c>
      <c r="C9588">
        <v>267</v>
      </c>
      <c r="D9588" t="s">
        <v>194</v>
      </c>
      <c r="E9588">
        <v>2672</v>
      </c>
      <c r="F9588" s="3">
        <v>5.6000000000000001E-2</v>
      </c>
      <c r="G9588" s="3">
        <v>0.72060000000000002</v>
      </c>
      <c r="H9588" s="3">
        <v>7.4099999999999999E-2</v>
      </c>
      <c r="I9588" s="3">
        <v>3.0499999999999999E-2</v>
      </c>
      <c r="J9588" s="3">
        <v>2.5000000000000001E-3</v>
      </c>
      <c r="K9588" s="3">
        <v>5.3600000000000002E-2</v>
      </c>
      <c r="L9588" s="3">
        <v>4.9599999999999998E-2</v>
      </c>
      <c r="M9588" s="3">
        <v>4.1999999999999997E-3</v>
      </c>
      <c r="O9588" s="3">
        <v>0.1469</v>
      </c>
      <c r="P9588" s="3">
        <v>1.8700000000000001E-2</v>
      </c>
      <c r="Q9588" s="3">
        <v>9.2999999999999992E-3</v>
      </c>
    </row>
    <row r="9589" spans="1:17">
      <c r="A9589" t="s">
        <v>199</v>
      </c>
      <c r="B9589" t="s">
        <v>229</v>
      </c>
      <c r="C9589">
        <v>150</v>
      </c>
      <c r="D9589" t="s">
        <v>194</v>
      </c>
      <c r="E9589">
        <v>2672</v>
      </c>
      <c r="F9589" s="3">
        <v>0.30680000000000002</v>
      </c>
      <c r="G9589" s="3">
        <v>0.27300000000000002</v>
      </c>
      <c r="H9589" s="3">
        <v>0.2893</v>
      </c>
      <c r="I9589" s="3">
        <v>0.17480000000000001</v>
      </c>
      <c r="J9589" s="3">
        <v>0.1096</v>
      </c>
      <c r="K9589" s="3">
        <v>0.23400000000000001</v>
      </c>
      <c r="L9589" s="3">
        <v>0.13189999999999999</v>
      </c>
      <c r="O9589" s="3">
        <v>0.45850000000000002</v>
      </c>
      <c r="P9589" s="3">
        <v>0.22309999999999999</v>
      </c>
      <c r="Q9589" s="3">
        <v>0.12039999999999999</v>
      </c>
    </row>
    <row r="9590" spans="1:17">
      <c r="A9590" t="s">
        <v>199</v>
      </c>
      <c r="B9590" t="s">
        <v>230</v>
      </c>
      <c r="C9590">
        <v>701</v>
      </c>
      <c r="D9590" t="s">
        <v>194</v>
      </c>
      <c r="E9590">
        <v>2672</v>
      </c>
      <c r="F9590" s="3">
        <v>0.3135</v>
      </c>
      <c r="G9590" s="3">
        <v>0.10390000000000001</v>
      </c>
      <c r="H9590" s="3">
        <v>0.3427</v>
      </c>
      <c r="I9590" s="3">
        <v>0.20019999999999999</v>
      </c>
      <c r="J9590" s="3">
        <v>4.8399999999999999E-2</v>
      </c>
      <c r="K9590" s="3">
        <v>0.31330000000000002</v>
      </c>
      <c r="L9590" s="3">
        <v>0.17030000000000001</v>
      </c>
      <c r="M9590" s="3">
        <v>4.4699999999999997E-2</v>
      </c>
      <c r="N9590" s="3">
        <v>2.9999999999999997E-4</v>
      </c>
      <c r="O9590" s="3">
        <v>0.501</v>
      </c>
      <c r="P9590" s="3">
        <v>0.16400000000000001</v>
      </c>
      <c r="Q9590" s="3">
        <v>9.9099999999999994E-2</v>
      </c>
    </row>
    <row r="9591" spans="1:17">
      <c r="A9591" t="s">
        <v>199</v>
      </c>
      <c r="B9591" t="s">
        <v>231</v>
      </c>
      <c r="C9591">
        <v>394</v>
      </c>
      <c r="D9591" t="s">
        <v>194</v>
      </c>
      <c r="E9591">
        <v>2672</v>
      </c>
      <c r="F9591" s="3">
        <v>0.1799</v>
      </c>
      <c r="G9591" s="3">
        <v>0.28939999999999999</v>
      </c>
      <c r="H9591" s="3">
        <v>0.2611</v>
      </c>
      <c r="I9591" s="3">
        <v>0.13389999999999999</v>
      </c>
      <c r="J9591" s="3">
        <v>3.5700000000000003E-2</v>
      </c>
      <c r="K9591" s="3">
        <v>0.25740000000000002</v>
      </c>
      <c r="L9591" s="3">
        <v>9.8799999999999999E-2</v>
      </c>
      <c r="M9591" s="3">
        <v>2.01E-2</v>
      </c>
      <c r="N9591" s="3">
        <v>3.5000000000000001E-3</v>
      </c>
      <c r="O9591" s="3">
        <v>0.44600000000000001</v>
      </c>
      <c r="P9591" s="3">
        <v>0.18060000000000001</v>
      </c>
      <c r="Q9591" s="3">
        <v>6.0299999999999999E-2</v>
      </c>
    </row>
    <row r="9592" spans="1:17">
      <c r="A9592" t="s">
        <v>199</v>
      </c>
      <c r="B9592" t="s">
        <v>232</v>
      </c>
      <c r="C9592">
        <v>239</v>
      </c>
      <c r="D9592" t="s">
        <v>194</v>
      </c>
      <c r="E9592">
        <v>2672</v>
      </c>
      <c r="F9592" s="3">
        <v>0.19789999999999999</v>
      </c>
      <c r="G9592" s="3">
        <v>0.46739999999999998</v>
      </c>
      <c r="H9592" s="3">
        <v>0.1951</v>
      </c>
      <c r="I9592" s="3">
        <v>8.7499999999999994E-2</v>
      </c>
      <c r="J9592" s="3">
        <v>3.78E-2</v>
      </c>
      <c r="K9592" s="3">
        <v>0.12740000000000001</v>
      </c>
      <c r="L9592" s="3">
        <v>0.1111</v>
      </c>
      <c r="M9592" s="3">
        <v>3.3E-3</v>
      </c>
      <c r="N9592" s="3">
        <v>7.7999999999999996E-3</v>
      </c>
      <c r="O9592" s="3">
        <v>0.2571</v>
      </c>
      <c r="P9592" s="3">
        <v>9.8699999999999996E-2</v>
      </c>
      <c r="Q9592" s="3">
        <v>5.8200000000000002E-2</v>
      </c>
    </row>
    <row r="9593" spans="1:17">
      <c r="A9593" t="s">
        <v>200</v>
      </c>
      <c r="B9593" t="s">
        <v>200</v>
      </c>
      <c r="C9593">
        <v>2672</v>
      </c>
      <c r="D9593" t="s">
        <v>200</v>
      </c>
      <c r="E9593">
        <v>2672</v>
      </c>
      <c r="F9593" s="3">
        <v>0.21229999999999999</v>
      </c>
      <c r="G9593" s="3">
        <v>0.29599999999999999</v>
      </c>
      <c r="H9593" s="3">
        <v>0.24279999999999999</v>
      </c>
      <c r="I9593" s="3">
        <v>0.1394</v>
      </c>
      <c r="J9593" s="3">
        <v>3.7499999999999999E-2</v>
      </c>
      <c r="K9593" s="3">
        <v>0.23050000000000001</v>
      </c>
      <c r="L9593" s="3">
        <v>0.128</v>
      </c>
      <c r="M9593" s="3">
        <v>1.6400000000000001E-2</v>
      </c>
      <c r="N9593" s="3">
        <v>1.2999999999999999E-3</v>
      </c>
      <c r="O9593" s="3">
        <v>0.40300000000000002</v>
      </c>
      <c r="P9593" s="3">
        <v>0.1305</v>
      </c>
      <c r="Q9593" s="3">
        <v>6.3299999999999995E-2</v>
      </c>
    </row>
    <row r="9595" spans="1:17" ht="45">
      <c r="A9595" s="22" t="s">
        <v>1910</v>
      </c>
    </row>
    <row r="9596" spans="1:17">
      <c r="A9596" t="s">
        <v>185</v>
      </c>
      <c r="B9596" t="s">
        <v>186</v>
      </c>
      <c r="C9596" t="s">
        <v>192</v>
      </c>
      <c r="D9596" t="s">
        <v>184</v>
      </c>
      <c r="E9596" t="s">
        <v>193</v>
      </c>
      <c r="F9596" t="s">
        <v>1904</v>
      </c>
      <c r="G9596" t="s">
        <v>257</v>
      </c>
      <c r="H9596" t="s">
        <v>1885</v>
      </c>
      <c r="I9596" t="s">
        <v>1905</v>
      </c>
      <c r="J9596" t="s">
        <v>1906</v>
      </c>
      <c r="K9596" t="s">
        <v>1907</v>
      </c>
      <c r="L9596" t="s">
        <v>329</v>
      </c>
      <c r="M9596" t="s">
        <v>274</v>
      </c>
      <c r="N9596" t="s">
        <v>247</v>
      </c>
      <c r="O9596" t="s">
        <v>1890</v>
      </c>
      <c r="P9596" t="s">
        <v>1908</v>
      </c>
      <c r="Q9596" t="s">
        <v>1894</v>
      </c>
    </row>
    <row r="9597" spans="1:17">
      <c r="A9597" t="s">
        <v>195</v>
      </c>
      <c r="B9597" t="s">
        <v>196</v>
      </c>
      <c r="C9597">
        <v>412</v>
      </c>
      <c r="D9597" t="s">
        <v>194</v>
      </c>
      <c r="E9597">
        <v>2672</v>
      </c>
      <c r="F9597" s="3">
        <v>0.1323</v>
      </c>
      <c r="G9597" s="3">
        <v>0.35639999999999999</v>
      </c>
      <c r="H9597" s="3">
        <v>0.22789999999999999</v>
      </c>
      <c r="I9597" s="3">
        <v>0.16089999999999999</v>
      </c>
      <c r="J9597" s="3">
        <v>2.92E-2</v>
      </c>
      <c r="K9597" s="3">
        <v>0.19650000000000001</v>
      </c>
      <c r="L9597" s="3">
        <v>6.7699999999999996E-2</v>
      </c>
      <c r="M9597" s="3">
        <v>1.2500000000000001E-2</v>
      </c>
      <c r="O9597" s="3">
        <v>0.42649999999999999</v>
      </c>
      <c r="P9597" s="3">
        <v>6.2600000000000003E-2</v>
      </c>
      <c r="Q9597" s="3">
        <v>2.5399999999999999E-2</v>
      </c>
    </row>
    <row r="9598" spans="1:17">
      <c r="A9598" t="s">
        <v>195</v>
      </c>
      <c r="B9598" t="s">
        <v>198</v>
      </c>
      <c r="C9598">
        <v>755</v>
      </c>
      <c r="D9598" t="s">
        <v>194</v>
      </c>
      <c r="E9598">
        <v>2672</v>
      </c>
      <c r="F9598" s="3">
        <v>0.1464</v>
      </c>
      <c r="G9598" s="3">
        <v>0.38779999999999998</v>
      </c>
      <c r="H9598" s="3">
        <v>0.16209999999999999</v>
      </c>
      <c r="I9598" s="3">
        <v>8.9399999999999993E-2</v>
      </c>
      <c r="J9598" s="3">
        <v>1.03E-2</v>
      </c>
      <c r="K9598" s="3">
        <v>0.19689999999999999</v>
      </c>
      <c r="L9598" s="3">
        <v>0.1288</v>
      </c>
      <c r="M9598" s="3">
        <v>2.7000000000000001E-3</v>
      </c>
      <c r="N9598" s="3">
        <v>5.0000000000000001E-4</v>
      </c>
      <c r="O9598" s="3">
        <v>0.32819999999999999</v>
      </c>
      <c r="P9598" s="3">
        <v>9.4100000000000003E-2</v>
      </c>
      <c r="Q9598" s="3">
        <v>3.32E-2</v>
      </c>
    </row>
    <row r="9599" spans="1:17">
      <c r="A9599" t="s">
        <v>199</v>
      </c>
      <c r="B9599" t="s">
        <v>196</v>
      </c>
      <c r="C9599">
        <v>522</v>
      </c>
      <c r="D9599" t="s">
        <v>194</v>
      </c>
      <c r="E9599">
        <v>2672</v>
      </c>
      <c r="F9599" s="3">
        <v>0.22459999999999999</v>
      </c>
      <c r="G9599" s="3">
        <v>0.17649999999999999</v>
      </c>
      <c r="H9599" s="3">
        <v>0.30930000000000002</v>
      </c>
      <c r="I9599" s="3">
        <v>0.18360000000000001</v>
      </c>
      <c r="J9599" s="3">
        <v>8.5000000000000006E-3</v>
      </c>
      <c r="K9599" s="3">
        <v>0.2049</v>
      </c>
      <c r="L9599" s="3">
        <v>0.20910000000000001</v>
      </c>
      <c r="M9599" s="3">
        <v>2.7699999999999999E-2</v>
      </c>
      <c r="N9599" s="3">
        <v>7.1000000000000004E-3</v>
      </c>
      <c r="O9599" s="3">
        <v>0.47699999999999998</v>
      </c>
      <c r="P9599" s="3">
        <v>0.14940000000000001</v>
      </c>
      <c r="Q9599" s="3">
        <v>3.61E-2</v>
      </c>
    </row>
    <row r="9600" spans="1:17">
      <c r="A9600" t="s">
        <v>199</v>
      </c>
      <c r="B9600" t="s">
        <v>198</v>
      </c>
      <c r="C9600">
        <v>944</v>
      </c>
      <c r="D9600" t="s">
        <v>194</v>
      </c>
      <c r="E9600">
        <v>2672</v>
      </c>
      <c r="F9600" s="3">
        <v>0.27829999999999999</v>
      </c>
      <c r="G9600" s="3">
        <v>0.24099999999999999</v>
      </c>
      <c r="H9600" s="3">
        <v>0.28970000000000001</v>
      </c>
      <c r="I9600" s="3">
        <v>0.1605</v>
      </c>
      <c r="J9600" s="3">
        <v>6.59E-2</v>
      </c>
      <c r="K9600" s="3">
        <v>0.26989999999999997</v>
      </c>
      <c r="L9600" s="3">
        <v>0.12479999999999999</v>
      </c>
      <c r="M9600" s="3">
        <v>2.47E-2</v>
      </c>
      <c r="N9600" s="3">
        <v>1E-3</v>
      </c>
      <c r="O9600" s="3">
        <v>0.43509999999999999</v>
      </c>
      <c r="P9600" s="3">
        <v>0.17069999999999999</v>
      </c>
      <c r="Q9600" s="3">
        <v>0.10100000000000001</v>
      </c>
    </row>
    <row r="9601" spans="1:17">
      <c r="A9601" t="s">
        <v>200</v>
      </c>
      <c r="B9601" t="s">
        <v>200</v>
      </c>
      <c r="C9601">
        <v>2672</v>
      </c>
      <c r="D9601" t="s">
        <v>200</v>
      </c>
      <c r="E9601">
        <v>2672</v>
      </c>
      <c r="F9601" s="3">
        <v>0.21229999999999999</v>
      </c>
      <c r="G9601" s="3">
        <v>0.29599999999999999</v>
      </c>
      <c r="H9601" s="3">
        <v>0.24279999999999999</v>
      </c>
      <c r="I9601" s="3">
        <v>0.1394</v>
      </c>
      <c r="J9601" s="3">
        <v>3.7499999999999999E-2</v>
      </c>
      <c r="K9601" s="3">
        <v>0.23050000000000001</v>
      </c>
      <c r="L9601" s="3">
        <v>0.128</v>
      </c>
      <c r="M9601" s="3">
        <v>1.6400000000000001E-2</v>
      </c>
      <c r="N9601" s="3">
        <v>1.2999999999999999E-3</v>
      </c>
      <c r="O9601" s="3">
        <v>0.40300000000000002</v>
      </c>
      <c r="P9601" s="3">
        <v>0.1305</v>
      </c>
      <c r="Q9601" s="3">
        <v>6.3299999999999995E-2</v>
      </c>
    </row>
    <row r="9603" spans="1:17" ht="45">
      <c r="A9603" s="22" t="s">
        <v>1911</v>
      </c>
    </row>
    <row r="9604" spans="1:17">
      <c r="A9604" t="s">
        <v>185</v>
      </c>
      <c r="B9604" t="s">
        <v>186</v>
      </c>
      <c r="C9604" t="s">
        <v>192</v>
      </c>
      <c r="D9604" t="s">
        <v>184</v>
      </c>
      <c r="E9604" t="s">
        <v>193</v>
      </c>
      <c r="F9604" t="s">
        <v>1904</v>
      </c>
      <c r="G9604" t="s">
        <v>257</v>
      </c>
      <c r="H9604" t="s">
        <v>1885</v>
      </c>
      <c r="I9604" t="s">
        <v>1905</v>
      </c>
      <c r="J9604" t="s">
        <v>1906</v>
      </c>
      <c r="K9604" t="s">
        <v>1907</v>
      </c>
      <c r="L9604" t="s">
        <v>329</v>
      </c>
      <c r="M9604" t="s">
        <v>274</v>
      </c>
      <c r="N9604" t="s">
        <v>247</v>
      </c>
      <c r="O9604" t="s">
        <v>1890</v>
      </c>
      <c r="P9604" t="s">
        <v>1908</v>
      </c>
      <c r="Q9604" t="s">
        <v>1894</v>
      </c>
    </row>
    <row r="9605" spans="1:17">
      <c r="A9605" t="s">
        <v>195</v>
      </c>
      <c r="B9605" t="s">
        <v>202</v>
      </c>
      <c r="C9605">
        <v>532</v>
      </c>
      <c r="D9605" t="s">
        <v>194</v>
      </c>
      <c r="E9605">
        <v>2672</v>
      </c>
      <c r="F9605" s="3">
        <v>8.48E-2</v>
      </c>
      <c r="G9605" s="3">
        <v>0.39040000000000002</v>
      </c>
      <c r="H9605" s="3">
        <v>0.12570000000000001</v>
      </c>
      <c r="I9605" s="3">
        <v>0.1164</v>
      </c>
      <c r="J9605" s="3">
        <v>1.6400000000000001E-2</v>
      </c>
      <c r="K9605" s="3">
        <v>0.2021</v>
      </c>
      <c r="L9605" s="3">
        <v>0.13450000000000001</v>
      </c>
      <c r="M9605" s="3">
        <v>6.6E-3</v>
      </c>
      <c r="N9605" s="3">
        <v>5.9999999999999995E-4</v>
      </c>
      <c r="O9605" s="3">
        <v>0.34389999999999998</v>
      </c>
      <c r="P9605" s="3">
        <v>7.17E-2</v>
      </c>
      <c r="Q9605" s="3">
        <v>2.3400000000000001E-2</v>
      </c>
    </row>
    <row r="9606" spans="1:17">
      <c r="A9606" t="s">
        <v>195</v>
      </c>
      <c r="B9606" t="s">
        <v>204</v>
      </c>
      <c r="C9606">
        <v>301</v>
      </c>
      <c r="D9606" t="s">
        <v>194</v>
      </c>
      <c r="E9606">
        <v>2672</v>
      </c>
      <c r="F9606" s="3">
        <v>0.25790000000000002</v>
      </c>
      <c r="G9606" s="3">
        <v>0.32540000000000002</v>
      </c>
      <c r="H9606" s="3">
        <v>0.27779999999999999</v>
      </c>
      <c r="I9606" s="3">
        <v>0.1033</v>
      </c>
      <c r="J9606" s="3">
        <v>1.6400000000000001E-2</v>
      </c>
      <c r="K9606" s="3">
        <v>0.1893</v>
      </c>
      <c r="L9606" s="3">
        <v>6.9500000000000006E-2</v>
      </c>
      <c r="M9606" s="3">
        <v>3.2000000000000002E-3</v>
      </c>
      <c r="O9606" s="3">
        <v>0.40539999999999998</v>
      </c>
      <c r="P9606" s="3">
        <v>0.13220000000000001</v>
      </c>
      <c r="Q9606" s="3">
        <v>6.2199999999999998E-2</v>
      </c>
    </row>
    <row r="9607" spans="1:17">
      <c r="A9607" t="s">
        <v>195</v>
      </c>
      <c r="B9607" t="s">
        <v>205</v>
      </c>
      <c r="C9607">
        <v>334</v>
      </c>
      <c r="D9607" t="s">
        <v>194</v>
      </c>
      <c r="E9607">
        <v>2672</v>
      </c>
      <c r="F9607" s="3">
        <v>0.23649999999999999</v>
      </c>
      <c r="G9607" s="3">
        <v>0.4128</v>
      </c>
      <c r="H9607" s="3">
        <v>0.28139999999999998</v>
      </c>
      <c r="I9607" s="3">
        <v>7.8299999999999995E-2</v>
      </c>
      <c r="J9607" s="3">
        <v>8.6E-3</v>
      </c>
      <c r="K9607" s="3">
        <v>0.1832</v>
      </c>
      <c r="L9607" s="3">
        <v>7.6399999999999996E-2</v>
      </c>
      <c r="M9607" s="3">
        <v>2.5999999999999999E-3</v>
      </c>
      <c r="O9607" s="3">
        <v>0.32300000000000001</v>
      </c>
      <c r="P9607" s="3">
        <v>7.8700000000000006E-2</v>
      </c>
      <c r="Q9607" s="3">
        <v>1.9E-2</v>
      </c>
    </row>
    <row r="9608" spans="1:17">
      <c r="A9608" t="s">
        <v>199</v>
      </c>
      <c r="B9608" t="s">
        <v>202</v>
      </c>
      <c r="C9608">
        <v>537</v>
      </c>
      <c r="D9608" t="s">
        <v>194</v>
      </c>
      <c r="E9608">
        <v>2672</v>
      </c>
      <c r="F9608" s="3">
        <v>0.25840000000000002</v>
      </c>
      <c r="G9608" s="3">
        <v>0.23069999999999999</v>
      </c>
      <c r="H9608" s="3">
        <v>0.2384</v>
      </c>
      <c r="I9608" s="3">
        <v>0.17630000000000001</v>
      </c>
      <c r="J9608" s="3">
        <v>8.3699999999999997E-2</v>
      </c>
      <c r="K9608" s="3">
        <v>0.25600000000000001</v>
      </c>
      <c r="L9608" s="3">
        <v>0.17780000000000001</v>
      </c>
      <c r="M9608" s="3">
        <v>3.1199999999999999E-2</v>
      </c>
      <c r="N9608" s="3">
        <v>1.5E-3</v>
      </c>
      <c r="O9608" s="3">
        <v>0.4249</v>
      </c>
      <c r="P9608" s="3">
        <v>0.1681</v>
      </c>
      <c r="Q9608" s="3">
        <v>0.1041</v>
      </c>
    </row>
    <row r="9609" spans="1:17">
      <c r="A9609" t="s">
        <v>199</v>
      </c>
      <c r="B9609" t="s">
        <v>204</v>
      </c>
      <c r="C9609">
        <v>424</v>
      </c>
      <c r="D9609" t="s">
        <v>194</v>
      </c>
      <c r="E9609">
        <v>2672</v>
      </c>
      <c r="F9609" s="3">
        <v>0.2626</v>
      </c>
      <c r="G9609" s="3">
        <v>0.18729999999999999</v>
      </c>
      <c r="H9609" s="3">
        <v>0.36499999999999999</v>
      </c>
      <c r="I9609" s="3">
        <v>0.19040000000000001</v>
      </c>
      <c r="J9609" s="3">
        <v>5.7999999999999996E-3</v>
      </c>
      <c r="K9609" s="3">
        <v>0.28089999999999998</v>
      </c>
      <c r="L9609" s="3">
        <v>8.5999999999999993E-2</v>
      </c>
      <c r="M9609" s="3">
        <v>8.8999999999999999E-3</v>
      </c>
      <c r="N9609" s="3">
        <v>4.4000000000000003E-3</v>
      </c>
      <c r="O9609" s="3">
        <v>0.51980000000000004</v>
      </c>
      <c r="P9609" s="3">
        <v>0.19420000000000001</v>
      </c>
      <c r="Q9609" s="3">
        <v>8.9300000000000004E-2</v>
      </c>
    </row>
    <row r="9610" spans="1:17">
      <c r="A9610" t="s">
        <v>199</v>
      </c>
      <c r="B9610" t="s">
        <v>205</v>
      </c>
      <c r="C9610">
        <v>505</v>
      </c>
      <c r="D9610" t="s">
        <v>194</v>
      </c>
      <c r="E9610">
        <v>2672</v>
      </c>
      <c r="F9610" s="3">
        <v>0.31240000000000001</v>
      </c>
      <c r="G9610" s="3">
        <v>0.27100000000000002</v>
      </c>
      <c r="H9610" s="3">
        <v>0.4178</v>
      </c>
      <c r="I9610" s="3">
        <v>9.1999999999999998E-2</v>
      </c>
      <c r="J9610" s="3">
        <v>5.0000000000000001E-3</v>
      </c>
      <c r="K9610" s="3">
        <v>0.23880000000000001</v>
      </c>
      <c r="L9610" s="3">
        <v>6.1600000000000002E-2</v>
      </c>
      <c r="M9610" s="3">
        <v>2.1700000000000001E-2</v>
      </c>
      <c r="N9610" s="3">
        <v>1.6999999999999999E-3</v>
      </c>
      <c r="O9610" s="3">
        <v>0.42209999999999998</v>
      </c>
      <c r="P9610" s="3">
        <v>0.1305</v>
      </c>
      <c r="Q9610" s="3">
        <v>3.1600000000000003E-2</v>
      </c>
    </row>
    <row r="9611" spans="1:17">
      <c r="A9611" t="s">
        <v>200</v>
      </c>
      <c r="B9611" t="s">
        <v>200</v>
      </c>
      <c r="C9611">
        <v>2672</v>
      </c>
      <c r="D9611" t="s">
        <v>200</v>
      </c>
      <c r="E9611">
        <v>2672</v>
      </c>
      <c r="F9611" s="3">
        <v>0.21229999999999999</v>
      </c>
      <c r="G9611" s="3">
        <v>0.29599999999999999</v>
      </c>
      <c r="H9611" s="3">
        <v>0.24279999999999999</v>
      </c>
      <c r="I9611" s="3">
        <v>0.1394</v>
      </c>
      <c r="J9611" s="3">
        <v>3.7499999999999999E-2</v>
      </c>
      <c r="K9611" s="3">
        <v>0.23050000000000001</v>
      </c>
      <c r="L9611" s="3">
        <v>0.128</v>
      </c>
      <c r="M9611" s="3">
        <v>1.6400000000000001E-2</v>
      </c>
      <c r="N9611" s="3">
        <v>1.2999999999999999E-3</v>
      </c>
      <c r="O9611" s="3">
        <v>0.40300000000000002</v>
      </c>
      <c r="P9611" s="3">
        <v>0.1305</v>
      </c>
      <c r="Q9611" s="3">
        <v>6.3299999999999995E-2</v>
      </c>
    </row>
    <row r="9613" spans="1:17" ht="45">
      <c r="A9613" s="22" t="s">
        <v>1912</v>
      </c>
    </row>
    <row r="9614" spans="1:17">
      <c r="A9614" t="s">
        <v>185</v>
      </c>
      <c r="B9614" t="s">
        <v>186</v>
      </c>
      <c r="C9614" t="s">
        <v>192</v>
      </c>
      <c r="D9614" t="s">
        <v>184</v>
      </c>
      <c r="E9614" t="s">
        <v>193</v>
      </c>
      <c r="F9614" t="s">
        <v>1904</v>
      </c>
      <c r="G9614" t="s">
        <v>257</v>
      </c>
      <c r="H9614" t="s">
        <v>1885</v>
      </c>
      <c r="I9614" t="s">
        <v>1905</v>
      </c>
      <c r="J9614" t="s">
        <v>1906</v>
      </c>
      <c r="K9614" t="s">
        <v>1907</v>
      </c>
      <c r="L9614" t="s">
        <v>329</v>
      </c>
      <c r="M9614" t="s">
        <v>274</v>
      </c>
      <c r="N9614" t="s">
        <v>247</v>
      </c>
      <c r="O9614" t="s">
        <v>1890</v>
      </c>
      <c r="P9614" t="s">
        <v>1908</v>
      </c>
      <c r="Q9614" t="s">
        <v>1894</v>
      </c>
    </row>
    <row r="9615" spans="1:17">
      <c r="A9615" t="s">
        <v>195</v>
      </c>
      <c r="B9615" t="s">
        <v>207</v>
      </c>
      <c r="C9615">
        <v>321</v>
      </c>
      <c r="D9615" t="s">
        <v>194</v>
      </c>
      <c r="E9615">
        <v>2672</v>
      </c>
      <c r="F9615" s="3">
        <v>9.4299999999999995E-2</v>
      </c>
      <c r="G9615" s="3">
        <v>0.52170000000000005</v>
      </c>
      <c r="H9615" s="3">
        <v>9.7000000000000003E-2</v>
      </c>
      <c r="I9615" s="3">
        <v>9.7299999999999998E-2</v>
      </c>
      <c r="J9615" s="3">
        <v>2.6700000000000002E-2</v>
      </c>
      <c r="K9615" s="3">
        <v>0.16980000000000001</v>
      </c>
      <c r="L9615" s="3">
        <v>7.5999999999999998E-2</v>
      </c>
      <c r="M9615" s="3">
        <v>6.6E-3</v>
      </c>
      <c r="O9615" s="3">
        <v>0.25900000000000001</v>
      </c>
      <c r="P9615" s="3">
        <v>3.8100000000000002E-2</v>
      </c>
      <c r="Q9615" s="3">
        <v>3.5000000000000003E-2</v>
      </c>
    </row>
    <row r="9616" spans="1:17">
      <c r="A9616" t="s">
        <v>195</v>
      </c>
      <c r="B9616" t="s">
        <v>209</v>
      </c>
      <c r="C9616">
        <v>867</v>
      </c>
      <c r="D9616" t="s">
        <v>194</v>
      </c>
      <c r="E9616">
        <v>2672</v>
      </c>
      <c r="F9616" s="3">
        <v>0.15859999999999999</v>
      </c>
      <c r="G9616" s="3">
        <v>0.33090000000000003</v>
      </c>
      <c r="H9616" s="3">
        <v>0.20760000000000001</v>
      </c>
      <c r="I9616" s="3">
        <v>0.1115</v>
      </c>
      <c r="J9616" s="3">
        <v>1.1299999999999999E-2</v>
      </c>
      <c r="K9616" s="3">
        <v>0.20549999999999999</v>
      </c>
      <c r="L9616" s="3">
        <v>0.125</v>
      </c>
      <c r="M9616" s="3">
        <v>4.7999999999999996E-3</v>
      </c>
      <c r="N9616" s="3">
        <v>5.0000000000000001E-4</v>
      </c>
      <c r="O9616" s="3">
        <v>0.38619999999999999</v>
      </c>
      <c r="P9616" s="3">
        <v>0.10150000000000001</v>
      </c>
      <c r="Q9616" s="3">
        <v>0.03</v>
      </c>
    </row>
    <row r="9617" spans="1:17">
      <c r="A9617" t="s">
        <v>199</v>
      </c>
      <c r="B9617" t="s">
        <v>207</v>
      </c>
      <c r="C9617">
        <v>282</v>
      </c>
      <c r="D9617" t="s">
        <v>194</v>
      </c>
      <c r="E9617">
        <v>2672</v>
      </c>
      <c r="F9617" s="3">
        <v>0.22059999999999999</v>
      </c>
      <c r="G9617" s="3">
        <v>0.28179999999999999</v>
      </c>
      <c r="H9617" s="3">
        <v>0.19789999999999999</v>
      </c>
      <c r="I9617" s="3">
        <v>0.14649999999999999</v>
      </c>
      <c r="J9617" s="3">
        <v>1.4200000000000001E-2</v>
      </c>
      <c r="K9617" s="3">
        <v>0.12130000000000001</v>
      </c>
      <c r="L9617" s="3">
        <v>0.17660000000000001</v>
      </c>
      <c r="M9617" s="3">
        <v>3.44E-2</v>
      </c>
      <c r="N9617" s="3">
        <v>2.9999999999999997E-4</v>
      </c>
      <c r="O9617" s="3">
        <v>0.33260000000000001</v>
      </c>
      <c r="P9617" s="3">
        <v>9.0899999999999995E-2</v>
      </c>
      <c r="Q9617" s="3">
        <v>4.0099999999999997E-2</v>
      </c>
    </row>
    <row r="9618" spans="1:17">
      <c r="A9618" t="s">
        <v>199</v>
      </c>
      <c r="B9618" t="s">
        <v>209</v>
      </c>
      <c r="C9618">
        <v>1202</v>
      </c>
      <c r="D9618" t="s">
        <v>194</v>
      </c>
      <c r="E9618">
        <v>2672</v>
      </c>
      <c r="F9618" s="3">
        <v>0.27479999999999999</v>
      </c>
      <c r="G9618" s="3">
        <v>0.222</v>
      </c>
      <c r="H9618" s="3">
        <v>0.30649999999999999</v>
      </c>
      <c r="I9618" s="3">
        <v>0.16700000000000001</v>
      </c>
      <c r="J9618" s="3">
        <v>6.0900000000000003E-2</v>
      </c>
      <c r="K9618" s="3">
        <v>0.27639999999999998</v>
      </c>
      <c r="L9618" s="3">
        <v>0.1353</v>
      </c>
      <c r="M9618" s="3">
        <v>2.4E-2</v>
      </c>
      <c r="N9618" s="3">
        <v>2.3E-3</v>
      </c>
      <c r="O9618" s="3">
        <v>0.45750000000000002</v>
      </c>
      <c r="P9618" s="3">
        <v>0.17710000000000001</v>
      </c>
      <c r="Q9618" s="3">
        <v>9.5600000000000004E-2</v>
      </c>
    </row>
    <row r="9619" spans="1:17">
      <c r="A9619" t="s">
        <v>200</v>
      </c>
      <c r="B9619" t="s">
        <v>200</v>
      </c>
      <c r="C9619">
        <v>2672</v>
      </c>
      <c r="D9619" t="s">
        <v>200</v>
      </c>
      <c r="E9619">
        <v>2672</v>
      </c>
      <c r="F9619" s="3">
        <v>0.21229999999999999</v>
      </c>
      <c r="G9619" s="3">
        <v>0.29599999999999999</v>
      </c>
      <c r="H9619" s="3">
        <v>0.24279999999999999</v>
      </c>
      <c r="I9619" s="3">
        <v>0.1394</v>
      </c>
      <c r="J9619" s="3">
        <v>3.7499999999999999E-2</v>
      </c>
      <c r="K9619" s="3">
        <v>0.23050000000000001</v>
      </c>
      <c r="L9619" s="3">
        <v>0.128</v>
      </c>
      <c r="M9619" s="3">
        <v>1.6400000000000001E-2</v>
      </c>
      <c r="N9619" s="3">
        <v>1.2999999999999999E-3</v>
      </c>
      <c r="O9619" s="3">
        <v>0.40300000000000002</v>
      </c>
      <c r="P9619" s="3">
        <v>0.1305</v>
      </c>
      <c r="Q9619" s="3">
        <v>6.3299999999999995E-2</v>
      </c>
    </row>
    <row r="9621" spans="1:17" ht="45">
      <c r="A9621" s="22" t="s">
        <v>1913</v>
      </c>
    </row>
    <row r="9622" spans="1:17">
      <c r="A9622" t="s">
        <v>185</v>
      </c>
      <c r="B9622" t="s">
        <v>192</v>
      </c>
      <c r="C9622" t="s">
        <v>184</v>
      </c>
      <c r="D9622" t="s">
        <v>193</v>
      </c>
      <c r="E9622" t="s">
        <v>1904</v>
      </c>
      <c r="F9622" t="s">
        <v>257</v>
      </c>
      <c r="G9622" t="s">
        <v>1885</v>
      </c>
      <c r="H9622" t="s">
        <v>1905</v>
      </c>
      <c r="I9622" t="s">
        <v>1906</v>
      </c>
      <c r="J9622" t="s">
        <v>1907</v>
      </c>
      <c r="K9622" t="s">
        <v>329</v>
      </c>
      <c r="L9622" t="s">
        <v>274</v>
      </c>
      <c r="M9622" t="s">
        <v>247</v>
      </c>
      <c r="N9622" t="s">
        <v>1890</v>
      </c>
      <c r="O9622" t="s">
        <v>1908</v>
      </c>
      <c r="P9622" t="s">
        <v>1894</v>
      </c>
    </row>
    <row r="9623" spans="1:17">
      <c r="A9623" t="s">
        <v>195</v>
      </c>
      <c r="B9623">
        <v>1188</v>
      </c>
      <c r="C9623" t="s">
        <v>194</v>
      </c>
      <c r="D9623">
        <v>2672</v>
      </c>
      <c r="E9623" s="3">
        <v>0.1421</v>
      </c>
      <c r="F9623" s="3">
        <v>0.37959999999999999</v>
      </c>
      <c r="G9623" s="3">
        <v>0.1794</v>
      </c>
      <c r="H9623" s="3">
        <v>0.1079</v>
      </c>
      <c r="I9623" s="3">
        <v>1.5299999999999999E-2</v>
      </c>
      <c r="J9623" s="3">
        <v>0.19639999999999999</v>
      </c>
      <c r="K9623" s="3">
        <v>0.1125</v>
      </c>
      <c r="L9623" s="3">
        <v>5.3E-3</v>
      </c>
      <c r="M9623" s="3">
        <v>4.0000000000000002E-4</v>
      </c>
      <c r="N9623" s="3">
        <v>0.35370000000000001</v>
      </c>
      <c r="O9623" s="3">
        <v>8.5300000000000001E-2</v>
      </c>
      <c r="P9623" s="3">
        <v>3.1300000000000001E-2</v>
      </c>
    </row>
    <row r="9624" spans="1:17">
      <c r="A9624" t="s">
        <v>199</v>
      </c>
      <c r="B9624">
        <v>1484</v>
      </c>
      <c r="C9624" t="s">
        <v>194</v>
      </c>
      <c r="D9624">
        <v>2672</v>
      </c>
      <c r="E9624" s="3">
        <v>0.26829999999999998</v>
      </c>
      <c r="F9624" s="3">
        <v>0.22919999999999999</v>
      </c>
      <c r="G9624" s="3">
        <v>0.29339999999999999</v>
      </c>
      <c r="H9624" s="3">
        <v>0.16450000000000001</v>
      </c>
      <c r="I9624" s="3">
        <v>5.5199999999999999E-2</v>
      </c>
      <c r="J9624" s="3">
        <v>0.25769999999999998</v>
      </c>
      <c r="K9624" s="3">
        <v>0.14030000000000001</v>
      </c>
      <c r="L9624" s="3">
        <v>2.52E-2</v>
      </c>
      <c r="M9624" s="3">
        <v>2.0999999999999999E-3</v>
      </c>
      <c r="N9624" s="3">
        <v>0.44240000000000002</v>
      </c>
      <c r="O9624" s="3">
        <v>0.16669999999999999</v>
      </c>
      <c r="P9624" s="3">
        <v>8.8900000000000007E-2</v>
      </c>
    </row>
    <row r="9625" spans="1:17">
      <c r="A9625" t="s">
        <v>200</v>
      </c>
      <c r="B9625">
        <v>2672</v>
      </c>
      <c r="C9625" t="s">
        <v>200</v>
      </c>
      <c r="D9625">
        <v>2672</v>
      </c>
      <c r="E9625" s="3">
        <v>0.21229999999999999</v>
      </c>
      <c r="F9625" s="3">
        <v>0.29599999999999999</v>
      </c>
      <c r="G9625" s="3">
        <v>0.24279999999999999</v>
      </c>
      <c r="H9625" s="3">
        <v>0.1394</v>
      </c>
      <c r="I9625" s="3">
        <v>3.7499999999999999E-2</v>
      </c>
      <c r="J9625" s="3">
        <v>0.23050000000000001</v>
      </c>
      <c r="K9625" s="3">
        <v>0.128</v>
      </c>
      <c r="L9625" s="3">
        <v>1.6400000000000001E-2</v>
      </c>
      <c r="M9625" s="3">
        <v>1.2999999999999999E-3</v>
      </c>
      <c r="N9625" s="3">
        <v>0.40300000000000002</v>
      </c>
      <c r="O9625" s="3">
        <v>0.1305</v>
      </c>
      <c r="P9625" s="3">
        <v>6.3299999999999995E-2</v>
      </c>
    </row>
    <row r="9627" spans="1:17" ht="45">
      <c r="A9627" s="22" t="s">
        <v>1914</v>
      </c>
    </row>
    <row r="9628" spans="1:17">
      <c r="A9628" t="s">
        <v>185</v>
      </c>
      <c r="B9628" t="s">
        <v>186</v>
      </c>
      <c r="C9628" t="s">
        <v>192</v>
      </c>
      <c r="D9628" t="s">
        <v>184</v>
      </c>
      <c r="E9628" t="s">
        <v>193</v>
      </c>
      <c r="F9628" t="s">
        <v>1904</v>
      </c>
      <c r="G9628" t="s">
        <v>257</v>
      </c>
      <c r="H9628" t="s">
        <v>1885</v>
      </c>
      <c r="I9628" t="s">
        <v>1905</v>
      </c>
      <c r="J9628" t="s">
        <v>1906</v>
      </c>
      <c r="K9628" t="s">
        <v>1907</v>
      </c>
      <c r="L9628" t="s">
        <v>329</v>
      </c>
      <c r="M9628" t="s">
        <v>274</v>
      </c>
      <c r="N9628" t="s">
        <v>247</v>
      </c>
      <c r="O9628" t="s">
        <v>1890</v>
      </c>
      <c r="P9628" t="s">
        <v>1908</v>
      </c>
      <c r="Q9628" t="s">
        <v>1894</v>
      </c>
    </row>
    <row r="9629" spans="1:17">
      <c r="A9629" t="s">
        <v>195</v>
      </c>
      <c r="B9629" t="s">
        <v>212</v>
      </c>
      <c r="C9629">
        <v>873</v>
      </c>
      <c r="D9629" t="s">
        <v>194</v>
      </c>
      <c r="E9629">
        <v>2672</v>
      </c>
      <c r="F9629" s="3">
        <v>0.16059999999999999</v>
      </c>
      <c r="G9629" s="3">
        <v>0.34279999999999999</v>
      </c>
      <c r="H9629" s="3">
        <v>0.18659999999999999</v>
      </c>
      <c r="I9629" s="3">
        <v>0.10589999999999999</v>
      </c>
      <c r="J9629" s="3">
        <v>1.5900000000000001E-2</v>
      </c>
      <c r="K9629" s="3">
        <v>0.21260000000000001</v>
      </c>
      <c r="L9629" s="3">
        <v>0.13420000000000001</v>
      </c>
      <c r="M9629" s="3">
        <v>5.3E-3</v>
      </c>
      <c r="N9629" s="3">
        <v>5.0000000000000001E-4</v>
      </c>
      <c r="O9629" s="3">
        <v>0.36770000000000003</v>
      </c>
      <c r="P9629" s="3">
        <v>9.6799999999999997E-2</v>
      </c>
      <c r="Q9629" s="3">
        <v>3.3500000000000002E-2</v>
      </c>
    </row>
    <row r="9630" spans="1:17">
      <c r="A9630" t="s">
        <v>195</v>
      </c>
      <c r="B9630" t="s">
        <v>214</v>
      </c>
      <c r="C9630">
        <v>180</v>
      </c>
      <c r="D9630" t="s">
        <v>194</v>
      </c>
      <c r="E9630">
        <v>2672</v>
      </c>
      <c r="F9630" s="3">
        <v>6.7599999999999993E-2</v>
      </c>
      <c r="G9630" s="3">
        <v>0.60940000000000005</v>
      </c>
      <c r="H9630" s="3">
        <v>0.13550000000000001</v>
      </c>
      <c r="I9630" s="3">
        <v>6.2600000000000003E-2</v>
      </c>
      <c r="J9630" s="3">
        <v>1.4200000000000001E-2</v>
      </c>
      <c r="K9630" s="3">
        <v>9.2899999999999996E-2</v>
      </c>
      <c r="L9630" s="3">
        <v>3.0099999999999998E-2</v>
      </c>
      <c r="M9630" s="3">
        <v>5.4999999999999997E-3</v>
      </c>
      <c r="O9630" s="3">
        <v>0.21779999999999999</v>
      </c>
      <c r="P9630" s="3">
        <v>2.1499999999999998E-2</v>
      </c>
      <c r="Q9630" s="3">
        <v>7.7000000000000002E-3</v>
      </c>
    </row>
    <row r="9631" spans="1:17">
      <c r="A9631" t="s">
        <v>195</v>
      </c>
      <c r="B9631" t="s">
        <v>215</v>
      </c>
      <c r="C9631">
        <v>135</v>
      </c>
      <c r="D9631" t="s">
        <v>194</v>
      </c>
      <c r="E9631">
        <v>2672</v>
      </c>
      <c r="F9631" s="3">
        <v>0.1216</v>
      </c>
      <c r="G9631" s="3">
        <v>0.2616</v>
      </c>
      <c r="H9631" s="3">
        <v>0.2</v>
      </c>
      <c r="I9631" s="3">
        <v>0.2135</v>
      </c>
      <c r="J9631" s="3">
        <v>1.1299999999999999E-2</v>
      </c>
      <c r="K9631" s="3">
        <v>0.25290000000000001</v>
      </c>
      <c r="L9631" s="3">
        <v>7.7700000000000005E-2</v>
      </c>
      <c r="M9631" s="3">
        <v>4.3E-3</v>
      </c>
      <c r="O9631" s="3">
        <v>0.49309999999999998</v>
      </c>
      <c r="P9631" s="3">
        <v>0.1056</v>
      </c>
      <c r="Q9631" s="3">
        <v>5.7200000000000001E-2</v>
      </c>
    </row>
    <row r="9632" spans="1:17">
      <c r="A9632" t="s">
        <v>199</v>
      </c>
      <c r="B9632" t="s">
        <v>212</v>
      </c>
      <c r="C9632">
        <v>1114</v>
      </c>
      <c r="D9632" t="s">
        <v>194</v>
      </c>
      <c r="E9632">
        <v>2672</v>
      </c>
      <c r="F9632" s="3">
        <v>0.28260000000000002</v>
      </c>
      <c r="G9632" s="3">
        <v>0.19389999999999999</v>
      </c>
      <c r="H9632" s="3">
        <v>0.29859999999999998</v>
      </c>
      <c r="I9632" s="3">
        <v>0.16309999999999999</v>
      </c>
      <c r="J9632" s="3">
        <v>5.0500000000000003E-2</v>
      </c>
      <c r="K9632" s="3">
        <v>0.2787</v>
      </c>
      <c r="L9632" s="3">
        <v>0.1416</v>
      </c>
      <c r="M9632" s="3">
        <v>1.95E-2</v>
      </c>
      <c r="N9632" s="3">
        <v>2.5000000000000001E-3</v>
      </c>
      <c r="O9632" s="3">
        <v>0.47170000000000001</v>
      </c>
      <c r="P9632" s="3">
        <v>0.16170000000000001</v>
      </c>
      <c r="Q9632" s="3">
        <v>9.1800000000000007E-2</v>
      </c>
    </row>
    <row r="9633" spans="1:17">
      <c r="A9633" t="s">
        <v>199</v>
      </c>
      <c r="B9633" t="s">
        <v>214</v>
      </c>
      <c r="C9633">
        <v>197</v>
      </c>
      <c r="D9633" t="s">
        <v>194</v>
      </c>
      <c r="E9633">
        <v>2672</v>
      </c>
      <c r="F9633" s="3">
        <v>0.22239999999999999</v>
      </c>
      <c r="G9633" s="3">
        <v>0.48430000000000001</v>
      </c>
      <c r="H9633" s="3">
        <v>0.27850000000000003</v>
      </c>
      <c r="I9633" s="3">
        <v>0.1784</v>
      </c>
      <c r="J9633" s="3">
        <v>0.1081</v>
      </c>
      <c r="K9633" s="3">
        <v>0.2283</v>
      </c>
      <c r="L9633" s="3">
        <v>8.09E-2</v>
      </c>
      <c r="M9633" s="3">
        <v>4.4999999999999997E-3</v>
      </c>
      <c r="N9633" s="3">
        <v>1.1000000000000001E-3</v>
      </c>
      <c r="O9633" s="3">
        <v>0.30859999999999999</v>
      </c>
      <c r="P9633" s="3">
        <v>0.2286</v>
      </c>
      <c r="Q9633" s="3">
        <v>0.1074</v>
      </c>
    </row>
    <row r="9634" spans="1:17">
      <c r="A9634" t="s">
        <v>199</v>
      </c>
      <c r="B9634" t="s">
        <v>215</v>
      </c>
      <c r="C9634">
        <v>173</v>
      </c>
      <c r="D9634" t="s">
        <v>194</v>
      </c>
      <c r="E9634">
        <v>2672</v>
      </c>
      <c r="F9634" s="3">
        <v>0.22140000000000001</v>
      </c>
      <c r="G9634" s="3">
        <v>9.01E-2</v>
      </c>
      <c r="H9634" s="3">
        <v>0.27250000000000002</v>
      </c>
      <c r="I9634" s="3">
        <v>0.15240000000000001</v>
      </c>
      <c r="J9634" s="3">
        <v>2.8999999999999998E-3</v>
      </c>
      <c r="K9634" s="3">
        <v>0.1196</v>
      </c>
      <c r="L9634" s="3">
        <v>0.23619999999999999</v>
      </c>
      <c r="M9634" s="3">
        <v>0.1149</v>
      </c>
      <c r="O9634" s="3">
        <v>0.41760000000000003</v>
      </c>
      <c r="P9634" s="3">
        <v>0.10100000000000001</v>
      </c>
      <c r="Q9634" s="3">
        <v>2.9000000000000001E-2</v>
      </c>
    </row>
    <row r="9635" spans="1:17">
      <c r="A9635" t="s">
        <v>200</v>
      </c>
      <c r="B9635" t="s">
        <v>200</v>
      </c>
      <c r="C9635">
        <v>2672</v>
      </c>
      <c r="D9635" t="s">
        <v>200</v>
      </c>
      <c r="E9635">
        <v>2672</v>
      </c>
      <c r="F9635" s="3">
        <v>0.21229999999999999</v>
      </c>
      <c r="G9635" s="3">
        <v>0.29599999999999999</v>
      </c>
      <c r="H9635" s="3">
        <v>0.24279999999999999</v>
      </c>
      <c r="I9635" s="3">
        <v>0.1394</v>
      </c>
      <c r="J9635" s="3">
        <v>3.7499999999999999E-2</v>
      </c>
      <c r="K9635" s="3">
        <v>0.23050000000000001</v>
      </c>
      <c r="L9635" s="3">
        <v>0.128</v>
      </c>
      <c r="M9635" s="3">
        <v>1.6400000000000001E-2</v>
      </c>
      <c r="N9635" s="3">
        <v>1.2999999999999999E-3</v>
      </c>
      <c r="O9635" s="3">
        <v>0.40300000000000002</v>
      </c>
      <c r="P9635" s="3">
        <v>0.1305</v>
      </c>
      <c r="Q9635" s="3">
        <v>6.3299999999999995E-2</v>
      </c>
    </row>
    <row r="9637" spans="1:17" ht="45">
      <c r="A9637" s="22" t="s">
        <v>1915</v>
      </c>
    </row>
    <row r="9638" spans="1:17">
      <c r="A9638" t="s">
        <v>185</v>
      </c>
      <c r="B9638" t="s">
        <v>186</v>
      </c>
      <c r="C9638" t="s">
        <v>192</v>
      </c>
      <c r="D9638" t="s">
        <v>184</v>
      </c>
      <c r="E9638" t="s">
        <v>193</v>
      </c>
      <c r="F9638" t="s">
        <v>1904</v>
      </c>
      <c r="G9638" t="s">
        <v>257</v>
      </c>
      <c r="H9638" t="s">
        <v>1885</v>
      </c>
      <c r="I9638" t="s">
        <v>1905</v>
      </c>
      <c r="J9638" t="s">
        <v>1906</v>
      </c>
      <c r="K9638" t="s">
        <v>1907</v>
      </c>
      <c r="L9638" t="s">
        <v>329</v>
      </c>
      <c r="M9638" t="s">
        <v>274</v>
      </c>
      <c r="N9638" t="s">
        <v>247</v>
      </c>
      <c r="O9638" t="s">
        <v>1890</v>
      </c>
      <c r="P9638" t="s">
        <v>1908</v>
      </c>
      <c r="Q9638" t="s">
        <v>1894</v>
      </c>
    </row>
    <row r="9639" spans="1:17">
      <c r="A9639" t="s">
        <v>195</v>
      </c>
      <c r="B9639" t="s">
        <v>217</v>
      </c>
      <c r="C9639">
        <v>499</v>
      </c>
      <c r="D9639" t="s">
        <v>194</v>
      </c>
      <c r="E9639">
        <v>2672</v>
      </c>
      <c r="F9639" s="3">
        <v>0.17630000000000001</v>
      </c>
      <c r="G9639" s="3">
        <v>0.31380000000000002</v>
      </c>
      <c r="H9639" s="3">
        <v>0.19400000000000001</v>
      </c>
      <c r="I9639" s="3">
        <v>0.13489999999999999</v>
      </c>
      <c r="J9639" s="3">
        <v>1.6400000000000001E-2</v>
      </c>
      <c r="K9639" s="3">
        <v>0.23719999999999999</v>
      </c>
      <c r="L9639" s="3">
        <v>0.1183</v>
      </c>
      <c r="M9639" s="3">
        <v>4.5999999999999999E-3</v>
      </c>
      <c r="N9639" s="3">
        <v>8.9999999999999998E-4</v>
      </c>
      <c r="O9639" s="3">
        <v>0.40820000000000001</v>
      </c>
      <c r="P9639" s="3">
        <v>9.4899999999999998E-2</v>
      </c>
      <c r="Q9639" s="3">
        <v>3.78E-2</v>
      </c>
    </row>
    <row r="9640" spans="1:17">
      <c r="A9640" t="s">
        <v>195</v>
      </c>
      <c r="B9640" t="s">
        <v>219</v>
      </c>
      <c r="C9640">
        <v>506</v>
      </c>
      <c r="D9640" t="s">
        <v>194</v>
      </c>
      <c r="E9640">
        <v>2672</v>
      </c>
      <c r="F9640" s="3">
        <v>8.9899999999999994E-2</v>
      </c>
      <c r="G9640" s="3">
        <v>0.43240000000000001</v>
      </c>
      <c r="H9640" s="3">
        <v>0.12280000000000001</v>
      </c>
      <c r="I9640" s="3">
        <v>7.4800000000000005E-2</v>
      </c>
      <c r="J9640" s="3">
        <v>6.3E-3</v>
      </c>
      <c r="K9640" s="3">
        <v>0.15229999999999999</v>
      </c>
      <c r="L9640" s="3">
        <v>0.1179</v>
      </c>
      <c r="M9640" s="3">
        <v>3.5000000000000001E-3</v>
      </c>
      <c r="O9640" s="3">
        <v>0.2949</v>
      </c>
      <c r="P9640" s="3">
        <v>6.6299999999999998E-2</v>
      </c>
      <c r="Q9640" s="3">
        <v>1.6199999999999999E-2</v>
      </c>
    </row>
    <row r="9641" spans="1:17">
      <c r="A9641" t="s">
        <v>195</v>
      </c>
      <c r="B9641" t="s">
        <v>220</v>
      </c>
      <c r="C9641">
        <v>182</v>
      </c>
      <c r="D9641" t="s">
        <v>194</v>
      </c>
      <c r="E9641">
        <v>2672</v>
      </c>
      <c r="F9641" s="3">
        <v>0.1736</v>
      </c>
      <c r="G9641" s="3">
        <v>0.4178</v>
      </c>
      <c r="H9641" s="3">
        <v>0.26350000000000001</v>
      </c>
      <c r="I9641" s="3">
        <v>0.1159</v>
      </c>
      <c r="J9641" s="3">
        <v>3.1300000000000001E-2</v>
      </c>
      <c r="K9641" s="3">
        <v>0.19620000000000001</v>
      </c>
      <c r="L9641" s="3">
        <v>8.8200000000000001E-2</v>
      </c>
      <c r="M9641" s="3">
        <v>1.04E-2</v>
      </c>
      <c r="O9641" s="3">
        <v>0.35339999999999999</v>
      </c>
      <c r="P9641" s="3">
        <v>0.1028</v>
      </c>
      <c r="Q9641" s="3">
        <v>4.7800000000000002E-2</v>
      </c>
    </row>
    <row r="9642" spans="1:17">
      <c r="A9642" t="s">
        <v>199</v>
      </c>
      <c r="B9642" t="s">
        <v>217</v>
      </c>
      <c r="C9642">
        <v>812</v>
      </c>
      <c r="D9642" t="s">
        <v>194</v>
      </c>
      <c r="E9642">
        <v>2672</v>
      </c>
      <c r="F9642" s="3">
        <v>0.29149999999999998</v>
      </c>
      <c r="G9642" s="3">
        <v>0.1973</v>
      </c>
      <c r="H9642" s="3">
        <v>0.3211</v>
      </c>
      <c r="I9642" s="3">
        <v>0.18509999999999999</v>
      </c>
      <c r="J9642" s="3">
        <v>4.9200000000000001E-2</v>
      </c>
      <c r="K9642" s="3">
        <v>0.2873</v>
      </c>
      <c r="L9642" s="3">
        <v>0.1336</v>
      </c>
      <c r="M9642" s="3">
        <v>3.5400000000000001E-2</v>
      </c>
      <c r="N9642" s="3">
        <v>3.0000000000000001E-3</v>
      </c>
      <c r="O9642" s="3">
        <v>0.4829</v>
      </c>
      <c r="P9642" s="3">
        <v>0.1714</v>
      </c>
      <c r="Q9642" s="3">
        <v>9.8500000000000004E-2</v>
      </c>
    </row>
    <row r="9643" spans="1:17">
      <c r="A9643" t="s">
        <v>199</v>
      </c>
      <c r="B9643" t="s">
        <v>219</v>
      </c>
      <c r="C9643">
        <v>451</v>
      </c>
      <c r="D9643" t="s">
        <v>194</v>
      </c>
      <c r="E9643">
        <v>2672</v>
      </c>
      <c r="F9643" s="3">
        <v>0.20680000000000001</v>
      </c>
      <c r="G9643" s="3">
        <v>0.30349999999999999</v>
      </c>
      <c r="H9643" s="3">
        <v>0.24329999999999999</v>
      </c>
      <c r="I9643" s="3">
        <v>0.1164</v>
      </c>
      <c r="J9643" s="3">
        <v>5.3199999999999997E-2</v>
      </c>
      <c r="K9643" s="3">
        <v>0.22040000000000001</v>
      </c>
      <c r="L9643" s="3">
        <v>0.1181</v>
      </c>
      <c r="M9643" s="3">
        <v>8.6E-3</v>
      </c>
      <c r="N9643" s="3">
        <v>1.1999999999999999E-3</v>
      </c>
      <c r="O9643" s="3">
        <v>0.3715</v>
      </c>
      <c r="P9643" s="3">
        <v>0.1719</v>
      </c>
      <c r="Q9643" s="3">
        <v>7.1999999999999995E-2</v>
      </c>
    </row>
    <row r="9644" spans="1:17">
      <c r="A9644" t="s">
        <v>199</v>
      </c>
      <c r="B9644" t="s">
        <v>220</v>
      </c>
      <c r="C9644">
        <v>221</v>
      </c>
      <c r="D9644" t="s">
        <v>194</v>
      </c>
      <c r="E9644">
        <v>2672</v>
      </c>
      <c r="F9644" s="3">
        <v>0.27660000000000001</v>
      </c>
      <c r="G9644" s="3">
        <v>0.23350000000000001</v>
      </c>
      <c r="H9644" s="3">
        <v>0.26650000000000001</v>
      </c>
      <c r="I9644" s="3">
        <v>0.16200000000000001</v>
      </c>
      <c r="J9644" s="3">
        <v>8.1500000000000003E-2</v>
      </c>
      <c r="K9644" s="3">
        <v>0.20380000000000001</v>
      </c>
      <c r="L9644" s="3">
        <v>0.20100000000000001</v>
      </c>
      <c r="M9644" s="3">
        <v>1.29E-2</v>
      </c>
      <c r="O9644" s="3">
        <v>0.40029999999999999</v>
      </c>
      <c r="P9644" s="3">
        <v>0.14080000000000001</v>
      </c>
      <c r="Q9644" s="3">
        <v>7.9000000000000001E-2</v>
      </c>
    </row>
    <row r="9645" spans="1:17">
      <c r="A9645" t="s">
        <v>200</v>
      </c>
      <c r="B9645" t="s">
        <v>200</v>
      </c>
      <c r="C9645">
        <v>2672</v>
      </c>
      <c r="D9645" t="s">
        <v>200</v>
      </c>
      <c r="E9645">
        <v>2672</v>
      </c>
      <c r="F9645" s="3">
        <v>0.21229999999999999</v>
      </c>
      <c r="G9645" s="3">
        <v>0.29599999999999999</v>
      </c>
      <c r="H9645" s="3">
        <v>0.24279999999999999</v>
      </c>
      <c r="I9645" s="3">
        <v>0.1394</v>
      </c>
      <c r="J9645" s="3">
        <v>3.7499999999999999E-2</v>
      </c>
      <c r="K9645" s="3">
        <v>0.23050000000000001</v>
      </c>
      <c r="L9645" s="3">
        <v>0.128</v>
      </c>
      <c r="M9645" s="3">
        <v>1.6400000000000001E-2</v>
      </c>
      <c r="N9645" s="3">
        <v>1.2999999999999999E-3</v>
      </c>
      <c r="O9645" s="3">
        <v>0.40300000000000002</v>
      </c>
      <c r="P9645" s="3">
        <v>0.1305</v>
      </c>
      <c r="Q9645" s="3">
        <v>6.3299999999999995E-2</v>
      </c>
    </row>
    <row r="9647" spans="1:17" ht="45">
      <c r="A9647" s="22" t="s">
        <v>1916</v>
      </c>
    </row>
    <row r="9648" spans="1:17">
      <c r="A9648" t="s">
        <v>184</v>
      </c>
      <c r="B9648" t="s">
        <v>185</v>
      </c>
      <c r="C9648" t="s">
        <v>186</v>
      </c>
      <c r="D9648" t="s">
        <v>1007</v>
      </c>
      <c r="E9648" t="s">
        <v>1917</v>
      </c>
      <c r="F9648" t="s">
        <v>1918</v>
      </c>
      <c r="G9648" t="s">
        <v>1919</v>
      </c>
      <c r="H9648" t="s">
        <v>1920</v>
      </c>
      <c r="I9648" t="s">
        <v>1921</v>
      </c>
      <c r="J9648" t="s">
        <v>1018</v>
      </c>
      <c r="K9648" t="s">
        <v>192</v>
      </c>
      <c r="L9648" t="s">
        <v>193</v>
      </c>
    </row>
    <row r="9649" spans="1:12">
      <c r="A9649" t="s">
        <v>194</v>
      </c>
      <c r="B9649" t="s">
        <v>195</v>
      </c>
      <c r="C9649" t="s">
        <v>196</v>
      </c>
      <c r="D9649" t="s">
        <v>1922</v>
      </c>
      <c r="E9649" s="3">
        <v>0.50549999999999995</v>
      </c>
      <c r="F9649" s="3">
        <v>0.70930000000000004</v>
      </c>
      <c r="G9649" s="3">
        <v>0.80400000000000005</v>
      </c>
      <c r="H9649" s="3">
        <v>0.91239999999999999</v>
      </c>
      <c r="I9649" s="3">
        <v>0.85270000000000001</v>
      </c>
      <c r="J9649">
        <v>292</v>
      </c>
      <c r="K9649">
        <v>378</v>
      </c>
      <c r="L9649">
        <v>2413</v>
      </c>
    </row>
    <row r="9650" spans="1:12">
      <c r="A9650" t="s">
        <v>194</v>
      </c>
      <c r="B9650" t="s">
        <v>195</v>
      </c>
      <c r="C9650" t="s">
        <v>196</v>
      </c>
      <c r="D9650" t="s">
        <v>1923</v>
      </c>
      <c r="E9650" s="3">
        <v>0.4945</v>
      </c>
      <c r="F9650" s="3">
        <v>0.29070000000000001</v>
      </c>
      <c r="G9650" s="3">
        <v>0.19600000000000001</v>
      </c>
      <c r="H9650" s="3">
        <v>8.7599999999999997E-2</v>
      </c>
      <c r="I9650" s="3">
        <v>0.14729999999999999</v>
      </c>
      <c r="J9650">
        <v>292</v>
      </c>
      <c r="K9650">
        <v>378</v>
      </c>
      <c r="L9650">
        <v>2413</v>
      </c>
    </row>
    <row r="9651" spans="1:12">
      <c r="A9651" t="s">
        <v>194</v>
      </c>
      <c r="B9651" t="s">
        <v>195</v>
      </c>
      <c r="C9651" t="s">
        <v>198</v>
      </c>
      <c r="D9651" t="s">
        <v>1922</v>
      </c>
      <c r="E9651" s="3">
        <v>0.47549999999999998</v>
      </c>
      <c r="F9651" s="3">
        <v>0.84770000000000001</v>
      </c>
      <c r="G9651" s="3">
        <v>0.83940000000000003</v>
      </c>
      <c r="H9651" s="3">
        <v>0.86829999999999996</v>
      </c>
      <c r="I9651" s="3">
        <v>0.88449999999999995</v>
      </c>
      <c r="J9651">
        <v>803</v>
      </c>
      <c r="K9651">
        <v>688</v>
      </c>
      <c r="L9651">
        <v>2413</v>
      </c>
    </row>
    <row r="9652" spans="1:12">
      <c r="A9652" t="s">
        <v>194</v>
      </c>
      <c r="B9652" t="s">
        <v>195</v>
      </c>
      <c r="C9652" t="s">
        <v>198</v>
      </c>
      <c r="D9652" t="s">
        <v>1923</v>
      </c>
      <c r="E9652" s="3">
        <v>0.52449999999999997</v>
      </c>
      <c r="F9652" s="3">
        <v>0.15229999999999999</v>
      </c>
      <c r="G9652" s="3">
        <v>0.16059999999999999</v>
      </c>
      <c r="H9652" s="3">
        <v>0.13170000000000001</v>
      </c>
      <c r="I9652" s="3">
        <v>0.11550000000000001</v>
      </c>
      <c r="J9652">
        <v>803</v>
      </c>
      <c r="K9652">
        <v>688</v>
      </c>
      <c r="L9652">
        <v>2413</v>
      </c>
    </row>
    <row r="9653" spans="1:12">
      <c r="A9653" t="s">
        <v>194</v>
      </c>
      <c r="B9653" t="s">
        <v>199</v>
      </c>
      <c r="C9653" t="s">
        <v>196</v>
      </c>
      <c r="D9653" t="s">
        <v>1922</v>
      </c>
      <c r="E9653" s="3">
        <v>0.76160000000000005</v>
      </c>
      <c r="F9653" s="3">
        <v>0.90210000000000001</v>
      </c>
      <c r="G9653" s="3">
        <v>0.93010000000000004</v>
      </c>
      <c r="H9653" s="3">
        <v>0.96299999999999997</v>
      </c>
      <c r="I9653" s="3">
        <v>0.95150000000000001</v>
      </c>
      <c r="J9653">
        <v>237</v>
      </c>
      <c r="K9653">
        <v>462</v>
      </c>
      <c r="L9653">
        <v>2413</v>
      </c>
    </row>
    <row r="9654" spans="1:12">
      <c r="A9654" t="s">
        <v>194</v>
      </c>
      <c r="B9654" t="s">
        <v>199</v>
      </c>
      <c r="C9654" t="s">
        <v>196</v>
      </c>
      <c r="D9654" t="s">
        <v>1923</v>
      </c>
      <c r="E9654" s="3">
        <v>0.2384</v>
      </c>
      <c r="F9654" s="3">
        <v>9.7900000000000001E-2</v>
      </c>
      <c r="G9654" s="3">
        <v>6.9900000000000004E-2</v>
      </c>
      <c r="H9654" s="3">
        <v>3.6999999999999998E-2</v>
      </c>
      <c r="I9654" s="3">
        <v>4.8500000000000001E-2</v>
      </c>
      <c r="J9654">
        <v>237</v>
      </c>
      <c r="K9654">
        <v>462</v>
      </c>
      <c r="L9654">
        <v>2413</v>
      </c>
    </row>
    <row r="9655" spans="1:12">
      <c r="A9655" t="s">
        <v>194</v>
      </c>
      <c r="B9655" t="s">
        <v>199</v>
      </c>
      <c r="C9655" t="s">
        <v>198</v>
      </c>
      <c r="D9655" t="s">
        <v>1922</v>
      </c>
      <c r="E9655" s="3">
        <v>0.6946</v>
      </c>
      <c r="F9655" s="3">
        <v>0.90629999999999999</v>
      </c>
      <c r="G9655" s="3">
        <v>0.95189999999999997</v>
      </c>
      <c r="H9655" s="3">
        <v>0.97419999999999995</v>
      </c>
      <c r="I9655" s="3">
        <v>0.96730000000000005</v>
      </c>
      <c r="J9655">
        <v>1126</v>
      </c>
      <c r="K9655">
        <v>852</v>
      </c>
      <c r="L9655">
        <v>2413</v>
      </c>
    </row>
    <row r="9656" spans="1:12">
      <c r="A9656" t="s">
        <v>194</v>
      </c>
      <c r="B9656" t="s">
        <v>199</v>
      </c>
      <c r="C9656" t="s">
        <v>198</v>
      </c>
      <c r="D9656" t="s">
        <v>1923</v>
      </c>
      <c r="E9656" s="3">
        <v>0.3054</v>
      </c>
      <c r="F9656" s="3">
        <v>9.3700000000000006E-2</v>
      </c>
      <c r="G9656" s="3">
        <v>4.8099999999999997E-2</v>
      </c>
      <c r="H9656" s="3">
        <v>2.58E-2</v>
      </c>
      <c r="I9656" s="3">
        <v>3.27E-2</v>
      </c>
      <c r="J9656">
        <v>1126</v>
      </c>
      <c r="K9656">
        <v>852</v>
      </c>
      <c r="L9656">
        <v>2413</v>
      </c>
    </row>
    <row r="9657" spans="1:12">
      <c r="A9657" t="s">
        <v>200</v>
      </c>
      <c r="B9657" t="s">
        <v>200</v>
      </c>
      <c r="C9657" t="s">
        <v>200</v>
      </c>
      <c r="D9657" t="s">
        <v>1922</v>
      </c>
      <c r="E9657" s="3">
        <v>0.60640000000000005</v>
      </c>
      <c r="F9657" s="3">
        <v>0.86360000000000003</v>
      </c>
      <c r="G9657" s="3">
        <v>0.89580000000000004</v>
      </c>
      <c r="H9657" s="3">
        <v>0.93189999999999995</v>
      </c>
      <c r="I9657" s="3">
        <v>0.92569999999999997</v>
      </c>
      <c r="J9657">
        <v>2413</v>
      </c>
      <c r="K9657">
        <v>2413</v>
      </c>
      <c r="L9657">
        <v>2413</v>
      </c>
    </row>
    <row r="9658" spans="1:12">
      <c r="A9658" t="s">
        <v>200</v>
      </c>
      <c r="B9658" t="s">
        <v>200</v>
      </c>
      <c r="C9658" t="s">
        <v>200</v>
      </c>
      <c r="D9658" t="s">
        <v>1923</v>
      </c>
      <c r="E9658" s="3">
        <v>0.39360000000000001</v>
      </c>
      <c r="F9658" s="3">
        <v>0.13639999999999999</v>
      </c>
      <c r="G9658" s="3">
        <v>0.1042</v>
      </c>
      <c r="H9658" s="3">
        <v>6.8099999999999994E-2</v>
      </c>
      <c r="I9658" s="3">
        <v>7.4300000000000005E-2</v>
      </c>
      <c r="J9658">
        <v>2413</v>
      </c>
      <c r="K9658">
        <v>2413</v>
      </c>
      <c r="L9658">
        <v>2413</v>
      </c>
    </row>
    <row r="9660" spans="1:12" ht="45">
      <c r="A9660" s="22" t="s">
        <v>1924</v>
      </c>
    </row>
    <row r="9661" spans="1:12">
      <c r="A9661" t="s">
        <v>184</v>
      </c>
      <c r="B9661" t="s">
        <v>185</v>
      </c>
      <c r="C9661" t="s">
        <v>186</v>
      </c>
      <c r="D9661" t="s">
        <v>1007</v>
      </c>
      <c r="E9661" t="s">
        <v>1917</v>
      </c>
      <c r="F9661" t="s">
        <v>1918</v>
      </c>
      <c r="G9661" t="s">
        <v>1919</v>
      </c>
      <c r="H9661" t="s">
        <v>1920</v>
      </c>
      <c r="I9661" t="s">
        <v>1921</v>
      </c>
      <c r="J9661" t="s">
        <v>1018</v>
      </c>
      <c r="K9661" t="s">
        <v>192</v>
      </c>
      <c r="L9661" t="s">
        <v>193</v>
      </c>
    </row>
    <row r="9662" spans="1:12">
      <c r="A9662" t="s">
        <v>194</v>
      </c>
      <c r="B9662" t="s">
        <v>195</v>
      </c>
      <c r="C9662" t="s">
        <v>202</v>
      </c>
      <c r="D9662" t="s">
        <v>1922</v>
      </c>
      <c r="E9662" s="3">
        <v>0.50119999999999998</v>
      </c>
      <c r="F9662" s="3">
        <v>0.8216</v>
      </c>
      <c r="G9662" s="3">
        <v>0.83140000000000003</v>
      </c>
      <c r="H9662" s="3">
        <v>0.89649999999999996</v>
      </c>
      <c r="I9662" s="3">
        <v>0.88180000000000003</v>
      </c>
      <c r="J9662">
        <v>711</v>
      </c>
      <c r="K9662">
        <v>496</v>
      </c>
      <c r="L9662">
        <v>2413</v>
      </c>
    </row>
    <row r="9663" spans="1:12">
      <c r="A9663" t="s">
        <v>194</v>
      </c>
      <c r="B9663" t="s">
        <v>195</v>
      </c>
      <c r="C9663" t="s">
        <v>202</v>
      </c>
      <c r="D9663" t="s">
        <v>1923</v>
      </c>
      <c r="E9663" s="3">
        <v>0.49880000000000002</v>
      </c>
      <c r="F9663" s="3">
        <v>0.1784</v>
      </c>
      <c r="G9663" s="3">
        <v>0.1686</v>
      </c>
      <c r="H9663" s="3">
        <v>0.10349999999999999</v>
      </c>
      <c r="I9663" s="3">
        <v>0.1182</v>
      </c>
      <c r="J9663">
        <v>711</v>
      </c>
      <c r="K9663">
        <v>496</v>
      </c>
      <c r="L9663">
        <v>2413</v>
      </c>
    </row>
    <row r="9664" spans="1:12">
      <c r="A9664" t="s">
        <v>194</v>
      </c>
      <c r="B9664" t="s">
        <v>195</v>
      </c>
      <c r="C9664" t="s">
        <v>204</v>
      </c>
      <c r="D9664" t="s">
        <v>1922</v>
      </c>
      <c r="E9664" s="3">
        <v>0.48099999999999998</v>
      </c>
      <c r="F9664" s="3">
        <v>0.82110000000000005</v>
      </c>
      <c r="G9664" s="3">
        <v>0.83209999999999995</v>
      </c>
      <c r="H9664" s="3">
        <v>0.85229999999999995</v>
      </c>
      <c r="I9664" s="3">
        <v>0.85809999999999997</v>
      </c>
      <c r="J9664">
        <v>242</v>
      </c>
      <c r="K9664">
        <v>285</v>
      </c>
      <c r="L9664">
        <v>2413</v>
      </c>
    </row>
    <row r="9665" spans="1:12">
      <c r="A9665" t="s">
        <v>194</v>
      </c>
      <c r="B9665" t="s">
        <v>195</v>
      </c>
      <c r="C9665" t="s">
        <v>204</v>
      </c>
      <c r="D9665" t="s">
        <v>1923</v>
      </c>
      <c r="E9665" s="3">
        <v>0.51900000000000002</v>
      </c>
      <c r="F9665" s="3">
        <v>0.1789</v>
      </c>
      <c r="G9665" s="3">
        <v>0.16789999999999999</v>
      </c>
      <c r="H9665" s="3">
        <v>0.1477</v>
      </c>
      <c r="I9665" s="3">
        <v>0.1419</v>
      </c>
      <c r="J9665">
        <v>242</v>
      </c>
      <c r="K9665">
        <v>285</v>
      </c>
      <c r="L9665">
        <v>2413</v>
      </c>
    </row>
    <row r="9666" spans="1:12">
      <c r="A9666" t="s">
        <v>194</v>
      </c>
      <c r="B9666" t="s">
        <v>195</v>
      </c>
      <c r="C9666" t="s">
        <v>205</v>
      </c>
      <c r="D9666" t="s">
        <v>1922</v>
      </c>
      <c r="E9666" s="3">
        <v>0.39960000000000001</v>
      </c>
      <c r="F9666" s="3">
        <v>0.73609999999999998</v>
      </c>
      <c r="G9666" s="3">
        <v>0.82069999999999999</v>
      </c>
      <c r="H9666" s="3">
        <v>0.8448</v>
      </c>
      <c r="I9666" s="3">
        <v>0.88</v>
      </c>
      <c r="J9666">
        <v>142</v>
      </c>
      <c r="K9666">
        <v>285</v>
      </c>
      <c r="L9666">
        <v>2413</v>
      </c>
    </row>
    <row r="9667" spans="1:12">
      <c r="A9667" t="s">
        <v>194</v>
      </c>
      <c r="B9667" t="s">
        <v>195</v>
      </c>
      <c r="C9667" t="s">
        <v>205</v>
      </c>
      <c r="D9667" t="s">
        <v>1923</v>
      </c>
      <c r="E9667" s="3">
        <v>0.60040000000000004</v>
      </c>
      <c r="F9667" s="3">
        <v>0.26390000000000002</v>
      </c>
      <c r="G9667" s="3">
        <v>0.17929999999999999</v>
      </c>
      <c r="H9667" s="3">
        <v>0.1552</v>
      </c>
      <c r="I9667" s="3">
        <v>0.12</v>
      </c>
      <c r="J9667">
        <v>142</v>
      </c>
      <c r="K9667">
        <v>285</v>
      </c>
      <c r="L9667">
        <v>2413</v>
      </c>
    </row>
    <row r="9668" spans="1:12">
      <c r="A9668" t="s">
        <v>194</v>
      </c>
      <c r="B9668" t="s">
        <v>199</v>
      </c>
      <c r="C9668" t="s">
        <v>202</v>
      </c>
      <c r="D9668" t="s">
        <v>1922</v>
      </c>
      <c r="E9668" s="3">
        <v>0.73670000000000002</v>
      </c>
      <c r="F9668" s="3">
        <v>0.93200000000000005</v>
      </c>
      <c r="G9668" s="3">
        <v>0.97030000000000005</v>
      </c>
      <c r="H9668" s="3">
        <v>0.98160000000000003</v>
      </c>
      <c r="I9668" s="3">
        <v>0.98080000000000001</v>
      </c>
      <c r="J9668">
        <v>845</v>
      </c>
      <c r="K9668">
        <v>478</v>
      </c>
      <c r="L9668">
        <v>2413</v>
      </c>
    </row>
    <row r="9669" spans="1:12">
      <c r="A9669" t="s">
        <v>194</v>
      </c>
      <c r="B9669" t="s">
        <v>199</v>
      </c>
      <c r="C9669" t="s">
        <v>202</v>
      </c>
      <c r="D9669" t="s">
        <v>1923</v>
      </c>
      <c r="E9669" s="3">
        <v>0.26329999999999998</v>
      </c>
      <c r="F9669" s="3">
        <v>6.8000000000000005E-2</v>
      </c>
      <c r="G9669" s="3">
        <v>2.9700000000000001E-2</v>
      </c>
      <c r="H9669" s="3">
        <v>1.84E-2</v>
      </c>
      <c r="I9669" s="3">
        <v>1.9199999999999998E-2</v>
      </c>
      <c r="J9669">
        <v>845</v>
      </c>
      <c r="K9669">
        <v>478</v>
      </c>
      <c r="L9669">
        <v>2413</v>
      </c>
    </row>
    <row r="9670" spans="1:12">
      <c r="A9670" t="s">
        <v>194</v>
      </c>
      <c r="B9670" t="s">
        <v>199</v>
      </c>
      <c r="C9670" t="s">
        <v>204</v>
      </c>
      <c r="D9670" t="s">
        <v>1922</v>
      </c>
      <c r="E9670" s="3">
        <v>0.6895</v>
      </c>
      <c r="F9670" s="3">
        <v>0.8851</v>
      </c>
      <c r="G9670" s="3">
        <v>0.93869999999999998</v>
      </c>
      <c r="H9670" s="3">
        <v>0.94889999999999997</v>
      </c>
      <c r="I9670" s="3">
        <v>0.95479999999999998</v>
      </c>
      <c r="J9670">
        <v>279</v>
      </c>
      <c r="K9670">
        <v>394</v>
      </c>
      <c r="L9670">
        <v>2413</v>
      </c>
    </row>
    <row r="9671" spans="1:12">
      <c r="A9671" t="s">
        <v>194</v>
      </c>
      <c r="B9671" t="s">
        <v>199</v>
      </c>
      <c r="C9671" t="s">
        <v>204</v>
      </c>
      <c r="D9671" t="s">
        <v>1923</v>
      </c>
      <c r="E9671" s="3">
        <v>0.3105</v>
      </c>
      <c r="F9671" s="3">
        <v>0.1149</v>
      </c>
      <c r="G9671" s="3">
        <v>6.13E-2</v>
      </c>
      <c r="H9671" s="3">
        <v>5.11E-2</v>
      </c>
      <c r="I9671" s="3">
        <v>4.5199999999999997E-2</v>
      </c>
      <c r="J9671">
        <v>279</v>
      </c>
      <c r="K9671">
        <v>394</v>
      </c>
      <c r="L9671">
        <v>2413</v>
      </c>
    </row>
    <row r="9672" spans="1:12">
      <c r="A9672" t="s">
        <v>194</v>
      </c>
      <c r="B9672" t="s">
        <v>199</v>
      </c>
      <c r="C9672" t="s">
        <v>205</v>
      </c>
      <c r="D9672" t="s">
        <v>1922</v>
      </c>
      <c r="E9672" s="3">
        <v>0.61870000000000003</v>
      </c>
      <c r="F9672" s="3">
        <v>0.83499999999999996</v>
      </c>
      <c r="G9672" s="3">
        <v>0.88139999999999996</v>
      </c>
      <c r="H9672" s="3">
        <v>0.9627</v>
      </c>
      <c r="I9672" s="3">
        <v>0.91910000000000003</v>
      </c>
      <c r="J9672">
        <v>240</v>
      </c>
      <c r="K9672">
        <v>442</v>
      </c>
      <c r="L9672">
        <v>2413</v>
      </c>
    </row>
    <row r="9673" spans="1:12">
      <c r="A9673" t="s">
        <v>194</v>
      </c>
      <c r="B9673" t="s">
        <v>199</v>
      </c>
      <c r="C9673" t="s">
        <v>205</v>
      </c>
      <c r="D9673" t="s">
        <v>1923</v>
      </c>
      <c r="E9673" s="3">
        <v>0.38129999999999997</v>
      </c>
      <c r="F9673" s="3">
        <v>0.16500000000000001</v>
      </c>
      <c r="G9673" s="3">
        <v>0.1186</v>
      </c>
      <c r="H9673" s="3">
        <v>3.73E-2</v>
      </c>
      <c r="I9673" s="3">
        <v>8.09E-2</v>
      </c>
      <c r="J9673">
        <v>240</v>
      </c>
      <c r="K9673">
        <v>442</v>
      </c>
      <c r="L9673">
        <v>2413</v>
      </c>
    </row>
    <row r="9674" spans="1:12">
      <c r="A9674" t="s">
        <v>200</v>
      </c>
      <c r="B9674" t="s">
        <v>200</v>
      </c>
      <c r="C9674" t="s">
        <v>200</v>
      </c>
      <c r="D9674" t="s">
        <v>1922</v>
      </c>
      <c r="E9674" s="3">
        <v>0.60640000000000005</v>
      </c>
      <c r="F9674" s="3">
        <v>0.86360000000000003</v>
      </c>
      <c r="G9674" s="3">
        <v>0.89580000000000004</v>
      </c>
      <c r="H9674" s="3">
        <v>0.93189999999999995</v>
      </c>
      <c r="I9674" s="3">
        <v>0.92569999999999997</v>
      </c>
      <c r="J9674">
        <v>2413</v>
      </c>
      <c r="K9674">
        <v>2413</v>
      </c>
      <c r="L9674">
        <v>2413</v>
      </c>
    </row>
    <row r="9675" spans="1:12">
      <c r="A9675" t="s">
        <v>200</v>
      </c>
      <c r="B9675" t="s">
        <v>200</v>
      </c>
      <c r="C9675" t="s">
        <v>200</v>
      </c>
      <c r="D9675" t="s">
        <v>1923</v>
      </c>
      <c r="E9675" s="3">
        <v>0.39360000000000001</v>
      </c>
      <c r="F9675" s="3">
        <v>0.13639999999999999</v>
      </c>
      <c r="G9675" s="3">
        <v>0.1042</v>
      </c>
      <c r="H9675" s="3">
        <v>6.8099999999999994E-2</v>
      </c>
      <c r="I9675" s="3">
        <v>7.4300000000000005E-2</v>
      </c>
      <c r="J9675">
        <v>2413</v>
      </c>
      <c r="K9675">
        <v>2413</v>
      </c>
      <c r="L9675">
        <v>2413</v>
      </c>
    </row>
    <row r="9677" spans="1:12" ht="45">
      <c r="A9677" s="22" t="s">
        <v>1925</v>
      </c>
    </row>
    <row r="9678" spans="1:12">
      <c r="A9678" t="s">
        <v>184</v>
      </c>
      <c r="B9678" t="s">
        <v>185</v>
      </c>
      <c r="C9678" t="s">
        <v>186</v>
      </c>
      <c r="D9678" t="s">
        <v>1007</v>
      </c>
      <c r="E9678" t="s">
        <v>1917</v>
      </c>
      <c r="F9678" t="s">
        <v>1918</v>
      </c>
      <c r="G9678" t="s">
        <v>1919</v>
      </c>
      <c r="H9678" t="s">
        <v>1920</v>
      </c>
      <c r="I9678" t="s">
        <v>1921</v>
      </c>
      <c r="J9678" t="s">
        <v>1018</v>
      </c>
      <c r="K9678" t="s">
        <v>192</v>
      </c>
      <c r="L9678" t="s">
        <v>193</v>
      </c>
    </row>
    <row r="9679" spans="1:12">
      <c r="A9679" t="s">
        <v>194</v>
      </c>
      <c r="B9679" t="s">
        <v>195</v>
      </c>
      <c r="C9679" t="s">
        <v>207</v>
      </c>
      <c r="D9679" t="s">
        <v>1922</v>
      </c>
      <c r="E9679" s="3">
        <v>0.38080000000000003</v>
      </c>
      <c r="F9679" s="3">
        <v>0.76380000000000003</v>
      </c>
      <c r="G9679" s="3">
        <v>0.70379999999999998</v>
      </c>
      <c r="H9679" s="3">
        <v>0.8962</v>
      </c>
      <c r="I9679" s="3">
        <v>0.78169999999999995</v>
      </c>
      <c r="J9679">
        <v>281</v>
      </c>
      <c r="K9679">
        <v>290</v>
      </c>
      <c r="L9679">
        <v>2413</v>
      </c>
    </row>
    <row r="9680" spans="1:12">
      <c r="A9680" t="s">
        <v>194</v>
      </c>
      <c r="B9680" t="s">
        <v>195</v>
      </c>
      <c r="C9680" t="s">
        <v>207</v>
      </c>
      <c r="D9680" t="s">
        <v>1923</v>
      </c>
      <c r="E9680" s="3">
        <v>0.61919999999999997</v>
      </c>
      <c r="F9680" s="3">
        <v>0.23619999999999999</v>
      </c>
      <c r="G9680" s="3">
        <v>0.29620000000000002</v>
      </c>
      <c r="H9680" s="3">
        <v>0.1038</v>
      </c>
      <c r="I9680" s="3">
        <v>0.21829999999999999</v>
      </c>
      <c r="J9680">
        <v>281</v>
      </c>
      <c r="K9680">
        <v>290</v>
      </c>
      <c r="L9680">
        <v>2413</v>
      </c>
    </row>
    <row r="9681" spans="1:12">
      <c r="A9681" t="s">
        <v>194</v>
      </c>
      <c r="B9681" t="s">
        <v>195</v>
      </c>
      <c r="C9681" t="s">
        <v>209</v>
      </c>
      <c r="D9681" t="s">
        <v>1922</v>
      </c>
      <c r="E9681" s="3">
        <v>0.51770000000000005</v>
      </c>
      <c r="F9681" s="3">
        <v>0.82630000000000003</v>
      </c>
      <c r="G9681" s="3">
        <v>0.873</v>
      </c>
      <c r="H9681" s="3">
        <v>0.87350000000000005</v>
      </c>
      <c r="I9681" s="3">
        <v>0.9073</v>
      </c>
      <c r="J9681">
        <v>820</v>
      </c>
      <c r="K9681">
        <v>793</v>
      </c>
      <c r="L9681">
        <v>2413</v>
      </c>
    </row>
    <row r="9682" spans="1:12">
      <c r="A9682" t="s">
        <v>194</v>
      </c>
      <c r="B9682" t="s">
        <v>195</v>
      </c>
      <c r="C9682" t="s">
        <v>209</v>
      </c>
      <c r="D9682" t="s">
        <v>1923</v>
      </c>
      <c r="E9682" s="3">
        <v>0.48230000000000001</v>
      </c>
      <c r="F9682" s="3">
        <v>0.17369999999999999</v>
      </c>
      <c r="G9682" s="3">
        <v>0.127</v>
      </c>
      <c r="H9682" s="3">
        <v>0.1265</v>
      </c>
      <c r="I9682" s="3">
        <v>9.2700000000000005E-2</v>
      </c>
      <c r="J9682">
        <v>820</v>
      </c>
      <c r="K9682">
        <v>793</v>
      </c>
      <c r="L9682">
        <v>2413</v>
      </c>
    </row>
    <row r="9683" spans="1:12">
      <c r="A9683" t="s">
        <v>194</v>
      </c>
      <c r="B9683" t="s">
        <v>199</v>
      </c>
      <c r="C9683" t="s">
        <v>207</v>
      </c>
      <c r="D9683" t="s">
        <v>1922</v>
      </c>
      <c r="E9683" s="3">
        <v>0.49959999999999999</v>
      </c>
      <c r="F9683" s="3">
        <v>0.84150000000000003</v>
      </c>
      <c r="G9683" s="3">
        <v>0.8085</v>
      </c>
      <c r="H9683" s="3">
        <v>0.95409999999999995</v>
      </c>
      <c r="I9683" s="3">
        <v>0.87409999999999999</v>
      </c>
      <c r="J9683">
        <v>138</v>
      </c>
      <c r="K9683">
        <v>236</v>
      </c>
      <c r="L9683">
        <v>2413</v>
      </c>
    </row>
    <row r="9684" spans="1:12">
      <c r="A9684" t="s">
        <v>194</v>
      </c>
      <c r="B9684" t="s">
        <v>199</v>
      </c>
      <c r="C9684" t="s">
        <v>207</v>
      </c>
      <c r="D9684" t="s">
        <v>1923</v>
      </c>
      <c r="E9684" s="3">
        <v>0.50039999999999996</v>
      </c>
      <c r="F9684" s="3">
        <v>0.1585</v>
      </c>
      <c r="G9684" s="3">
        <v>0.1915</v>
      </c>
      <c r="H9684" s="3">
        <v>4.5900000000000003E-2</v>
      </c>
      <c r="I9684" s="3">
        <v>0.12590000000000001</v>
      </c>
      <c r="J9684">
        <v>138</v>
      </c>
      <c r="K9684">
        <v>236</v>
      </c>
      <c r="L9684">
        <v>2413</v>
      </c>
    </row>
    <row r="9685" spans="1:12">
      <c r="A9685" t="s">
        <v>194</v>
      </c>
      <c r="B9685" t="s">
        <v>199</v>
      </c>
      <c r="C9685" t="s">
        <v>209</v>
      </c>
      <c r="D9685" t="s">
        <v>1922</v>
      </c>
      <c r="E9685" s="3">
        <v>0.72950000000000004</v>
      </c>
      <c r="F9685" s="3">
        <v>0.91259999999999997</v>
      </c>
      <c r="G9685" s="3">
        <v>0.96389999999999998</v>
      </c>
      <c r="H9685" s="3">
        <v>0.97470000000000001</v>
      </c>
      <c r="I9685" s="3">
        <v>0.97460000000000002</v>
      </c>
      <c r="J9685">
        <v>1226</v>
      </c>
      <c r="K9685">
        <v>1094</v>
      </c>
      <c r="L9685">
        <v>2413</v>
      </c>
    </row>
    <row r="9686" spans="1:12">
      <c r="A9686" t="s">
        <v>194</v>
      </c>
      <c r="B9686" t="s">
        <v>199</v>
      </c>
      <c r="C9686" t="s">
        <v>209</v>
      </c>
      <c r="D9686" t="s">
        <v>1923</v>
      </c>
      <c r="E9686" s="3">
        <v>0.27050000000000002</v>
      </c>
      <c r="F9686" s="3">
        <v>8.7400000000000005E-2</v>
      </c>
      <c r="G9686" s="3">
        <v>3.61E-2</v>
      </c>
      <c r="H9686" s="3">
        <v>2.53E-2</v>
      </c>
      <c r="I9686" s="3">
        <v>2.5399999999999999E-2</v>
      </c>
      <c r="J9686">
        <v>1226</v>
      </c>
      <c r="K9686">
        <v>1094</v>
      </c>
      <c r="L9686">
        <v>2413</v>
      </c>
    </row>
    <row r="9687" spans="1:12">
      <c r="A9687" t="s">
        <v>200</v>
      </c>
      <c r="B9687" t="s">
        <v>200</v>
      </c>
      <c r="C9687" t="s">
        <v>200</v>
      </c>
      <c r="D9687" t="s">
        <v>1922</v>
      </c>
      <c r="E9687" s="3">
        <v>0.60640000000000005</v>
      </c>
      <c r="F9687" s="3">
        <v>0.86360000000000003</v>
      </c>
      <c r="G9687" s="3">
        <v>0.89580000000000004</v>
      </c>
      <c r="H9687" s="3">
        <v>0.93189999999999995</v>
      </c>
      <c r="I9687" s="3">
        <v>0.92569999999999997</v>
      </c>
      <c r="J9687">
        <v>2413</v>
      </c>
      <c r="K9687">
        <v>2413</v>
      </c>
      <c r="L9687">
        <v>2413</v>
      </c>
    </row>
    <row r="9688" spans="1:12">
      <c r="A9688" t="s">
        <v>200</v>
      </c>
      <c r="B9688" t="s">
        <v>200</v>
      </c>
      <c r="C9688" t="s">
        <v>200</v>
      </c>
      <c r="D9688" t="s">
        <v>1923</v>
      </c>
      <c r="E9688" s="3">
        <v>0.39360000000000001</v>
      </c>
      <c r="F9688" s="3">
        <v>0.13639999999999999</v>
      </c>
      <c r="G9688" s="3">
        <v>0.1042</v>
      </c>
      <c r="H9688" s="3">
        <v>6.8099999999999994E-2</v>
      </c>
      <c r="I9688" s="3">
        <v>7.4300000000000005E-2</v>
      </c>
      <c r="J9688">
        <v>2413</v>
      </c>
      <c r="K9688">
        <v>2413</v>
      </c>
      <c r="L9688">
        <v>2413</v>
      </c>
    </row>
    <row r="9690" spans="1:12" ht="45">
      <c r="A9690" s="22" t="s">
        <v>1926</v>
      </c>
    </row>
    <row r="9691" spans="1:12">
      <c r="A9691" t="s">
        <v>184</v>
      </c>
      <c r="B9691" t="s">
        <v>185</v>
      </c>
      <c r="C9691" t="s">
        <v>186</v>
      </c>
      <c r="D9691" t="s">
        <v>1007</v>
      </c>
      <c r="E9691" t="s">
        <v>1917</v>
      </c>
      <c r="F9691" t="s">
        <v>1918</v>
      </c>
      <c r="G9691" t="s">
        <v>1919</v>
      </c>
      <c r="H9691" t="s">
        <v>1920</v>
      </c>
      <c r="I9691" t="s">
        <v>1921</v>
      </c>
      <c r="J9691" t="s">
        <v>1018</v>
      </c>
      <c r="K9691" t="s">
        <v>192</v>
      </c>
      <c r="L9691" t="s">
        <v>193</v>
      </c>
    </row>
    <row r="9692" spans="1:12">
      <c r="A9692" t="s">
        <v>194</v>
      </c>
      <c r="B9692" t="s">
        <v>195</v>
      </c>
      <c r="C9692" t="s">
        <v>212</v>
      </c>
      <c r="D9692" t="s">
        <v>1922</v>
      </c>
      <c r="E9692" s="3">
        <v>0.48230000000000001</v>
      </c>
      <c r="F9692" s="3">
        <v>0.81969999999999998</v>
      </c>
      <c r="G9692" s="3">
        <v>0.83250000000000002</v>
      </c>
      <c r="H9692" s="3">
        <v>0.86429999999999996</v>
      </c>
      <c r="I9692" s="3">
        <v>0.88900000000000001</v>
      </c>
      <c r="J9692">
        <v>836</v>
      </c>
      <c r="K9692">
        <v>798</v>
      </c>
      <c r="L9692">
        <v>2413</v>
      </c>
    </row>
    <row r="9693" spans="1:12">
      <c r="A9693" t="s">
        <v>194</v>
      </c>
      <c r="B9693" t="s">
        <v>195</v>
      </c>
      <c r="C9693" t="s">
        <v>212</v>
      </c>
      <c r="D9693" t="s">
        <v>1923</v>
      </c>
      <c r="E9693" s="3">
        <v>0.51770000000000005</v>
      </c>
      <c r="F9693" s="3">
        <v>0.18029999999999999</v>
      </c>
      <c r="G9693" s="3">
        <v>0.16750000000000001</v>
      </c>
      <c r="H9693" s="3">
        <v>0.13569999999999999</v>
      </c>
      <c r="I9693" s="3">
        <v>0.111</v>
      </c>
      <c r="J9693">
        <v>836</v>
      </c>
      <c r="K9693">
        <v>798</v>
      </c>
      <c r="L9693">
        <v>2413</v>
      </c>
    </row>
    <row r="9694" spans="1:12">
      <c r="A9694" t="s">
        <v>194</v>
      </c>
      <c r="B9694" t="s">
        <v>195</v>
      </c>
      <c r="C9694" t="s">
        <v>214</v>
      </c>
      <c r="D9694" t="s">
        <v>1922</v>
      </c>
      <c r="E9694" s="3">
        <v>0.51580000000000004</v>
      </c>
      <c r="F9694" s="3">
        <v>0.76060000000000005</v>
      </c>
      <c r="G9694" s="3">
        <v>0.82189999999999996</v>
      </c>
      <c r="H9694" s="3">
        <v>1</v>
      </c>
      <c r="I9694" s="3">
        <v>0.84109999999999996</v>
      </c>
      <c r="J9694">
        <v>178</v>
      </c>
      <c r="K9694">
        <v>168</v>
      </c>
      <c r="L9694">
        <v>2413</v>
      </c>
    </row>
    <row r="9695" spans="1:12">
      <c r="A9695" t="s">
        <v>194</v>
      </c>
      <c r="B9695" t="s">
        <v>195</v>
      </c>
      <c r="C9695" t="s">
        <v>214</v>
      </c>
      <c r="D9695" t="s">
        <v>1923</v>
      </c>
      <c r="E9695" s="3">
        <v>0.48420000000000002</v>
      </c>
      <c r="F9695" s="3">
        <v>0.2394</v>
      </c>
      <c r="G9695" s="3">
        <v>0.17810000000000001</v>
      </c>
      <c r="I9695" s="3">
        <v>0.15890000000000001</v>
      </c>
      <c r="J9695">
        <v>178</v>
      </c>
      <c r="K9695">
        <v>168</v>
      </c>
      <c r="L9695">
        <v>2413</v>
      </c>
    </row>
    <row r="9696" spans="1:12">
      <c r="A9696" t="s">
        <v>194</v>
      </c>
      <c r="B9696" t="s">
        <v>195</v>
      </c>
      <c r="C9696" t="s">
        <v>215</v>
      </c>
      <c r="D9696" t="s">
        <v>1922</v>
      </c>
      <c r="E9696" s="3">
        <v>0.41799999999999998</v>
      </c>
      <c r="F9696" s="3">
        <v>0.83979999999999999</v>
      </c>
      <c r="G9696" s="3">
        <v>0.82850000000000001</v>
      </c>
      <c r="H9696" s="3">
        <v>0.76029999999999998</v>
      </c>
      <c r="I9696" s="3">
        <v>0.83140000000000003</v>
      </c>
      <c r="J9696">
        <v>87</v>
      </c>
      <c r="K9696">
        <v>117</v>
      </c>
      <c r="L9696">
        <v>2413</v>
      </c>
    </row>
    <row r="9697" spans="1:12">
      <c r="A9697" t="s">
        <v>194</v>
      </c>
      <c r="B9697" t="s">
        <v>195</v>
      </c>
      <c r="C9697" t="s">
        <v>215</v>
      </c>
      <c r="D9697" t="s">
        <v>1923</v>
      </c>
      <c r="E9697" s="3">
        <v>0.58199999999999996</v>
      </c>
      <c r="F9697" s="3">
        <v>0.16020000000000001</v>
      </c>
      <c r="G9697" s="3">
        <v>0.17150000000000001</v>
      </c>
      <c r="H9697" s="3">
        <v>0.2397</v>
      </c>
      <c r="I9697" s="3">
        <v>0.1686</v>
      </c>
      <c r="J9697">
        <v>87</v>
      </c>
      <c r="K9697">
        <v>117</v>
      </c>
      <c r="L9697">
        <v>2413</v>
      </c>
    </row>
    <row r="9698" spans="1:12">
      <c r="A9698" t="s">
        <v>194</v>
      </c>
      <c r="B9698" t="s">
        <v>199</v>
      </c>
      <c r="C9698" t="s">
        <v>212</v>
      </c>
      <c r="D9698" t="s">
        <v>1922</v>
      </c>
      <c r="E9698" s="3">
        <v>0.73719999999999997</v>
      </c>
      <c r="F9698" s="3">
        <v>0.91100000000000003</v>
      </c>
      <c r="G9698" s="3">
        <v>0.95889999999999997</v>
      </c>
      <c r="H9698" s="3">
        <v>0.97040000000000004</v>
      </c>
      <c r="I9698" s="3">
        <v>0.97270000000000001</v>
      </c>
      <c r="J9698">
        <v>1060</v>
      </c>
      <c r="K9698">
        <v>1008</v>
      </c>
      <c r="L9698">
        <v>2413</v>
      </c>
    </row>
    <row r="9699" spans="1:12">
      <c r="A9699" t="s">
        <v>194</v>
      </c>
      <c r="B9699" t="s">
        <v>199</v>
      </c>
      <c r="C9699" t="s">
        <v>212</v>
      </c>
      <c r="D9699" t="s">
        <v>1923</v>
      </c>
      <c r="E9699" s="3">
        <v>0.26279999999999998</v>
      </c>
      <c r="F9699" s="3">
        <v>8.8999999999999996E-2</v>
      </c>
      <c r="G9699" s="3">
        <v>4.1099999999999998E-2</v>
      </c>
      <c r="H9699" s="3">
        <v>2.9600000000000001E-2</v>
      </c>
      <c r="I9699" s="3">
        <v>2.7300000000000001E-2</v>
      </c>
      <c r="J9699">
        <v>1060</v>
      </c>
      <c r="K9699">
        <v>1008</v>
      </c>
      <c r="L9699">
        <v>2413</v>
      </c>
    </row>
    <row r="9700" spans="1:12">
      <c r="A9700" t="s">
        <v>194</v>
      </c>
      <c r="B9700" t="s">
        <v>199</v>
      </c>
      <c r="C9700" t="s">
        <v>214</v>
      </c>
      <c r="D9700" t="s">
        <v>1922</v>
      </c>
      <c r="E9700" s="3">
        <v>0.54579999999999995</v>
      </c>
      <c r="F9700" s="3">
        <v>0.88180000000000003</v>
      </c>
      <c r="G9700" s="3">
        <v>0.92079999999999995</v>
      </c>
      <c r="H9700" s="3">
        <v>1</v>
      </c>
      <c r="I9700" s="3">
        <v>0.94979999999999998</v>
      </c>
      <c r="J9700">
        <v>207</v>
      </c>
      <c r="K9700">
        <v>173</v>
      </c>
      <c r="L9700">
        <v>2413</v>
      </c>
    </row>
    <row r="9701" spans="1:12">
      <c r="A9701" t="s">
        <v>194</v>
      </c>
      <c r="B9701" t="s">
        <v>199</v>
      </c>
      <c r="C9701" t="s">
        <v>214</v>
      </c>
      <c r="D9701" t="s">
        <v>1923</v>
      </c>
      <c r="E9701" s="3">
        <v>0.45419999999999999</v>
      </c>
      <c r="F9701" s="3">
        <v>0.1182</v>
      </c>
      <c r="G9701" s="3">
        <v>7.9200000000000007E-2</v>
      </c>
      <c r="I9701" s="3">
        <v>5.0200000000000002E-2</v>
      </c>
      <c r="J9701">
        <v>207</v>
      </c>
      <c r="K9701">
        <v>173</v>
      </c>
      <c r="L9701">
        <v>2413</v>
      </c>
    </row>
    <row r="9702" spans="1:12">
      <c r="A9702" t="s">
        <v>194</v>
      </c>
      <c r="B9702" t="s">
        <v>199</v>
      </c>
      <c r="C9702" t="s">
        <v>215</v>
      </c>
      <c r="D9702" t="s">
        <v>1922</v>
      </c>
      <c r="E9702" s="3">
        <v>0.70830000000000004</v>
      </c>
      <c r="F9702" s="3">
        <v>0.89859999999999995</v>
      </c>
      <c r="G9702" s="3">
        <v>0.88900000000000001</v>
      </c>
      <c r="H9702" s="3">
        <v>0.93700000000000006</v>
      </c>
      <c r="I9702" s="3">
        <v>0.90759999999999996</v>
      </c>
      <c r="J9702">
        <v>98</v>
      </c>
      <c r="K9702">
        <v>149</v>
      </c>
      <c r="L9702">
        <v>2413</v>
      </c>
    </row>
    <row r="9703" spans="1:12">
      <c r="A9703" t="s">
        <v>194</v>
      </c>
      <c r="B9703" t="s">
        <v>199</v>
      </c>
      <c r="C9703" t="s">
        <v>215</v>
      </c>
      <c r="D9703" t="s">
        <v>1923</v>
      </c>
      <c r="E9703" s="3">
        <v>0.29170000000000001</v>
      </c>
      <c r="F9703" s="3">
        <v>0.1014</v>
      </c>
      <c r="G9703" s="3">
        <v>0.111</v>
      </c>
      <c r="H9703" s="3">
        <v>6.3E-2</v>
      </c>
      <c r="I9703" s="3">
        <v>9.2399999999999996E-2</v>
      </c>
      <c r="J9703">
        <v>98</v>
      </c>
      <c r="K9703">
        <v>149</v>
      </c>
      <c r="L9703">
        <v>2413</v>
      </c>
    </row>
    <row r="9704" spans="1:12">
      <c r="A9704" t="s">
        <v>200</v>
      </c>
      <c r="B9704" t="s">
        <v>200</v>
      </c>
      <c r="C9704" t="s">
        <v>200</v>
      </c>
      <c r="D9704" t="s">
        <v>1922</v>
      </c>
      <c r="E9704" s="3">
        <v>0.60640000000000005</v>
      </c>
      <c r="F9704" s="3">
        <v>0.86360000000000003</v>
      </c>
      <c r="G9704" s="3">
        <v>0.89580000000000004</v>
      </c>
      <c r="H9704" s="3">
        <v>0.93189999999999995</v>
      </c>
      <c r="I9704" s="3">
        <v>0.92569999999999997</v>
      </c>
      <c r="J9704">
        <v>2413</v>
      </c>
      <c r="K9704">
        <v>2413</v>
      </c>
      <c r="L9704">
        <v>2413</v>
      </c>
    </row>
    <row r="9705" spans="1:12">
      <c r="A9705" t="s">
        <v>200</v>
      </c>
      <c r="B9705" t="s">
        <v>200</v>
      </c>
      <c r="C9705" t="s">
        <v>200</v>
      </c>
      <c r="D9705" t="s">
        <v>1923</v>
      </c>
      <c r="E9705" s="3">
        <v>0.39360000000000001</v>
      </c>
      <c r="F9705" s="3">
        <v>0.13639999999999999</v>
      </c>
      <c r="G9705" s="3">
        <v>0.1042</v>
      </c>
      <c r="H9705" s="3">
        <v>6.8099999999999994E-2</v>
      </c>
      <c r="I9705" s="3">
        <v>7.4300000000000005E-2</v>
      </c>
      <c r="J9705">
        <v>2413</v>
      </c>
      <c r="K9705">
        <v>2413</v>
      </c>
      <c r="L9705">
        <v>2413</v>
      </c>
    </row>
    <row r="9707" spans="1:12" ht="45">
      <c r="A9707" s="22" t="s">
        <v>1927</v>
      </c>
    </row>
    <row r="9708" spans="1:12">
      <c r="A9708" t="s">
        <v>184</v>
      </c>
      <c r="B9708" t="s">
        <v>185</v>
      </c>
      <c r="C9708" t="s">
        <v>186</v>
      </c>
      <c r="D9708" t="s">
        <v>1007</v>
      </c>
      <c r="E9708" t="s">
        <v>1917</v>
      </c>
      <c r="F9708" t="s">
        <v>1918</v>
      </c>
      <c r="G9708" t="s">
        <v>1919</v>
      </c>
      <c r="H9708" t="s">
        <v>1920</v>
      </c>
      <c r="I9708" t="s">
        <v>1921</v>
      </c>
      <c r="J9708" t="s">
        <v>1018</v>
      </c>
      <c r="K9708" t="s">
        <v>192</v>
      </c>
      <c r="L9708" t="s">
        <v>193</v>
      </c>
    </row>
    <row r="9709" spans="1:12">
      <c r="A9709" t="s">
        <v>194</v>
      </c>
      <c r="B9709" t="s">
        <v>195</v>
      </c>
      <c r="C9709" t="s">
        <v>217</v>
      </c>
      <c r="D9709" t="s">
        <v>1922</v>
      </c>
      <c r="E9709" s="3">
        <v>0.51339999999999997</v>
      </c>
      <c r="F9709" s="3">
        <v>0.84089999999999998</v>
      </c>
      <c r="G9709" s="3">
        <v>0.8649</v>
      </c>
      <c r="H9709" s="3">
        <v>0.84989999999999999</v>
      </c>
      <c r="I9709" s="3">
        <v>0.88849999999999996</v>
      </c>
      <c r="J9709">
        <v>466</v>
      </c>
      <c r="K9709">
        <v>458</v>
      </c>
      <c r="L9709">
        <v>2413</v>
      </c>
    </row>
    <row r="9710" spans="1:12">
      <c r="A9710" t="s">
        <v>194</v>
      </c>
      <c r="B9710" t="s">
        <v>195</v>
      </c>
      <c r="C9710" t="s">
        <v>217</v>
      </c>
      <c r="D9710" t="s">
        <v>1923</v>
      </c>
      <c r="E9710" s="3">
        <v>0.48659999999999998</v>
      </c>
      <c r="F9710" s="3">
        <v>0.15909999999999999</v>
      </c>
      <c r="G9710" s="3">
        <v>0.1351</v>
      </c>
      <c r="H9710" s="3">
        <v>0.15010000000000001</v>
      </c>
      <c r="I9710" s="3">
        <v>0.1115</v>
      </c>
      <c r="J9710">
        <v>466</v>
      </c>
      <c r="K9710">
        <v>458</v>
      </c>
      <c r="L9710">
        <v>2413</v>
      </c>
    </row>
    <row r="9711" spans="1:12">
      <c r="A9711" t="s">
        <v>194</v>
      </c>
      <c r="B9711" t="s">
        <v>195</v>
      </c>
      <c r="C9711" t="s">
        <v>219</v>
      </c>
      <c r="D9711" t="s">
        <v>1922</v>
      </c>
      <c r="E9711" s="3">
        <v>0.42330000000000001</v>
      </c>
      <c r="F9711" s="3">
        <v>0.73299999999999998</v>
      </c>
      <c r="G9711" s="3">
        <v>0.76359999999999995</v>
      </c>
      <c r="H9711" s="3">
        <v>0.86539999999999995</v>
      </c>
      <c r="I9711" s="3">
        <v>0.83069999999999999</v>
      </c>
      <c r="J9711">
        <v>429</v>
      </c>
      <c r="K9711">
        <v>458</v>
      </c>
      <c r="L9711">
        <v>2413</v>
      </c>
    </row>
    <row r="9712" spans="1:12">
      <c r="A9712" t="s">
        <v>194</v>
      </c>
      <c r="B9712" t="s">
        <v>195</v>
      </c>
      <c r="C9712" t="s">
        <v>219</v>
      </c>
      <c r="D9712" t="s">
        <v>1923</v>
      </c>
      <c r="E9712" s="3">
        <v>0.57669999999999999</v>
      </c>
      <c r="F9712" s="3">
        <v>0.26700000000000002</v>
      </c>
      <c r="G9712" s="3">
        <v>0.2364</v>
      </c>
      <c r="H9712" s="3">
        <v>0.1346</v>
      </c>
      <c r="I9712" s="3">
        <v>0.16930000000000001</v>
      </c>
      <c r="J9712">
        <v>429</v>
      </c>
      <c r="K9712">
        <v>458</v>
      </c>
      <c r="L9712">
        <v>2413</v>
      </c>
    </row>
    <row r="9713" spans="1:56">
      <c r="A9713" t="s">
        <v>194</v>
      </c>
      <c r="B9713" t="s">
        <v>195</v>
      </c>
      <c r="C9713" t="s">
        <v>220</v>
      </c>
      <c r="D9713" t="s">
        <v>1922</v>
      </c>
      <c r="E9713" s="3">
        <v>0.5373</v>
      </c>
      <c r="F9713" s="3">
        <v>0.90059999999999996</v>
      </c>
      <c r="G9713" s="3">
        <v>0.88870000000000005</v>
      </c>
      <c r="H9713" s="3">
        <v>0.97299999999999998</v>
      </c>
      <c r="I9713" s="3">
        <v>0.93830000000000002</v>
      </c>
      <c r="J9713">
        <v>205</v>
      </c>
      <c r="K9713">
        <v>166</v>
      </c>
      <c r="L9713">
        <v>2413</v>
      </c>
    </row>
    <row r="9714" spans="1:56">
      <c r="A9714" t="s">
        <v>194</v>
      </c>
      <c r="B9714" t="s">
        <v>195</v>
      </c>
      <c r="C9714" t="s">
        <v>220</v>
      </c>
      <c r="D9714" t="s">
        <v>1923</v>
      </c>
      <c r="E9714" s="3">
        <v>0.4627</v>
      </c>
      <c r="F9714" s="3">
        <v>9.9400000000000002E-2</v>
      </c>
      <c r="G9714" s="3">
        <v>0.1113</v>
      </c>
      <c r="H9714" s="3">
        <v>2.7E-2</v>
      </c>
      <c r="I9714" s="3">
        <v>6.1699999999999998E-2</v>
      </c>
      <c r="J9714">
        <v>205</v>
      </c>
      <c r="K9714">
        <v>166</v>
      </c>
      <c r="L9714">
        <v>2413</v>
      </c>
    </row>
    <row r="9715" spans="1:56">
      <c r="A9715" t="s">
        <v>194</v>
      </c>
      <c r="B9715" t="s">
        <v>199</v>
      </c>
      <c r="C9715" t="s">
        <v>217</v>
      </c>
      <c r="D9715" t="s">
        <v>1922</v>
      </c>
      <c r="E9715" s="3">
        <v>0.76629999999999998</v>
      </c>
      <c r="F9715" s="3">
        <v>0.91469999999999996</v>
      </c>
      <c r="G9715" s="3">
        <v>0.95630000000000004</v>
      </c>
      <c r="H9715" s="3">
        <v>0.97009999999999996</v>
      </c>
      <c r="I9715" s="3">
        <v>0.96870000000000001</v>
      </c>
      <c r="J9715">
        <v>821</v>
      </c>
      <c r="K9715">
        <v>735</v>
      </c>
      <c r="L9715">
        <v>2413</v>
      </c>
    </row>
    <row r="9716" spans="1:56">
      <c r="A9716" t="s">
        <v>194</v>
      </c>
      <c r="B9716" t="s">
        <v>199</v>
      </c>
      <c r="C9716" t="s">
        <v>217</v>
      </c>
      <c r="D9716" t="s">
        <v>1923</v>
      </c>
      <c r="E9716" s="3">
        <v>0.23369999999999999</v>
      </c>
      <c r="F9716" s="3">
        <v>8.5300000000000001E-2</v>
      </c>
      <c r="G9716" s="3">
        <v>4.3700000000000003E-2</v>
      </c>
      <c r="H9716" s="3">
        <v>2.9899999999999999E-2</v>
      </c>
      <c r="I9716" s="3">
        <v>3.1300000000000001E-2</v>
      </c>
      <c r="J9716">
        <v>821</v>
      </c>
      <c r="K9716">
        <v>735</v>
      </c>
      <c r="L9716">
        <v>2413</v>
      </c>
    </row>
    <row r="9717" spans="1:56">
      <c r="A9717" t="s">
        <v>194</v>
      </c>
      <c r="B9717" t="s">
        <v>199</v>
      </c>
      <c r="C9717" t="s">
        <v>219</v>
      </c>
      <c r="D9717" t="s">
        <v>1922</v>
      </c>
      <c r="E9717" s="3">
        <v>0.55010000000000003</v>
      </c>
      <c r="F9717" s="3">
        <v>0.88829999999999998</v>
      </c>
      <c r="G9717" s="3">
        <v>0.91359999999999997</v>
      </c>
      <c r="H9717" s="3">
        <v>0.96389999999999998</v>
      </c>
      <c r="I9717" s="3">
        <v>0.94220000000000004</v>
      </c>
      <c r="J9717">
        <v>339</v>
      </c>
      <c r="K9717">
        <v>395</v>
      </c>
      <c r="L9717">
        <v>2413</v>
      </c>
    </row>
    <row r="9718" spans="1:56">
      <c r="A9718" t="s">
        <v>194</v>
      </c>
      <c r="B9718" t="s">
        <v>199</v>
      </c>
      <c r="C9718" t="s">
        <v>219</v>
      </c>
      <c r="D9718" t="s">
        <v>1923</v>
      </c>
      <c r="E9718" s="3">
        <v>0.44990000000000002</v>
      </c>
      <c r="F9718" s="3">
        <v>0.11169999999999999</v>
      </c>
      <c r="G9718" s="3">
        <v>8.6400000000000005E-2</v>
      </c>
      <c r="H9718" s="3">
        <v>3.61E-2</v>
      </c>
      <c r="I9718" s="3">
        <v>5.7799999999999997E-2</v>
      </c>
      <c r="J9718">
        <v>339</v>
      </c>
      <c r="K9718">
        <v>395</v>
      </c>
      <c r="L9718">
        <v>2413</v>
      </c>
    </row>
    <row r="9719" spans="1:56">
      <c r="A9719" t="s">
        <v>194</v>
      </c>
      <c r="B9719" t="s">
        <v>199</v>
      </c>
      <c r="C9719" t="s">
        <v>220</v>
      </c>
      <c r="D9719" t="s">
        <v>1922</v>
      </c>
      <c r="E9719" s="3">
        <v>0.72340000000000004</v>
      </c>
      <c r="F9719" s="3">
        <v>0.89610000000000001</v>
      </c>
      <c r="G9719" s="3">
        <v>0.96950000000000003</v>
      </c>
      <c r="H9719" s="3">
        <v>0.99250000000000005</v>
      </c>
      <c r="I9719" s="3">
        <v>0.98270000000000002</v>
      </c>
      <c r="J9719">
        <v>204</v>
      </c>
      <c r="K9719">
        <v>200</v>
      </c>
      <c r="L9719">
        <v>2413</v>
      </c>
    </row>
    <row r="9720" spans="1:56">
      <c r="A9720" t="s">
        <v>194</v>
      </c>
      <c r="B9720" t="s">
        <v>199</v>
      </c>
      <c r="C9720" t="s">
        <v>220</v>
      </c>
      <c r="D9720" t="s">
        <v>1923</v>
      </c>
      <c r="E9720" s="3">
        <v>0.27660000000000001</v>
      </c>
      <c r="F9720" s="3">
        <v>0.10390000000000001</v>
      </c>
      <c r="G9720" s="3">
        <v>3.0499999999999999E-2</v>
      </c>
      <c r="H9720" s="3">
        <v>7.4999999999999997E-3</v>
      </c>
      <c r="I9720" s="3">
        <v>1.7299999999999999E-2</v>
      </c>
      <c r="J9720">
        <v>204</v>
      </c>
      <c r="K9720">
        <v>200</v>
      </c>
      <c r="L9720">
        <v>2413</v>
      </c>
    </row>
    <row r="9721" spans="1:56">
      <c r="A9721" t="s">
        <v>200</v>
      </c>
      <c r="B9721" t="s">
        <v>200</v>
      </c>
      <c r="C9721" t="s">
        <v>200</v>
      </c>
      <c r="D9721" t="s">
        <v>1922</v>
      </c>
      <c r="E9721" s="3">
        <v>0.60640000000000005</v>
      </c>
      <c r="F9721" s="3">
        <v>0.86360000000000003</v>
      </c>
      <c r="G9721" s="3">
        <v>0.89580000000000004</v>
      </c>
      <c r="H9721" s="3">
        <v>0.93189999999999995</v>
      </c>
      <c r="I9721" s="3">
        <v>0.92569999999999997</v>
      </c>
      <c r="J9721">
        <v>2413</v>
      </c>
      <c r="K9721">
        <v>2413</v>
      </c>
      <c r="L9721">
        <v>2413</v>
      </c>
    </row>
    <row r="9722" spans="1:56">
      <c r="A9722" t="s">
        <v>200</v>
      </c>
      <c r="B9722" t="s">
        <v>200</v>
      </c>
      <c r="C9722" t="s">
        <v>200</v>
      </c>
      <c r="D9722" t="s">
        <v>1923</v>
      </c>
      <c r="E9722" s="3">
        <v>0.39360000000000001</v>
      </c>
      <c r="F9722" s="3">
        <v>0.13639999999999999</v>
      </c>
      <c r="G9722" s="3">
        <v>0.1042</v>
      </c>
      <c r="H9722" s="3">
        <v>6.8099999999999994E-2</v>
      </c>
      <c r="I9722" s="3">
        <v>7.4300000000000005E-2</v>
      </c>
      <c r="J9722">
        <v>2413</v>
      </c>
      <c r="K9722">
        <v>2413</v>
      </c>
      <c r="L9722">
        <v>2413</v>
      </c>
    </row>
    <row r="9724" spans="1:56" ht="45">
      <c r="A9724" s="22" t="s">
        <v>1928</v>
      </c>
    </row>
    <row r="9725" spans="1:56">
      <c r="A9725" t="s">
        <v>184</v>
      </c>
      <c r="B9725" t="s">
        <v>185</v>
      </c>
      <c r="C9725" t="s">
        <v>186</v>
      </c>
      <c r="D9725" t="s">
        <v>1929</v>
      </c>
      <c r="E9725" t="s">
        <v>1930</v>
      </c>
      <c r="F9725" t="s">
        <v>1931</v>
      </c>
      <c r="G9725" t="s">
        <v>1932</v>
      </c>
      <c r="H9725" t="s">
        <v>1933</v>
      </c>
      <c r="I9725" t="s">
        <v>1934</v>
      </c>
      <c r="J9725" t="s">
        <v>1935</v>
      </c>
      <c r="K9725" t="s">
        <v>1936</v>
      </c>
      <c r="L9725" t="s">
        <v>1937</v>
      </c>
      <c r="M9725" t="s">
        <v>1938</v>
      </c>
      <c r="N9725" t="s">
        <v>1939</v>
      </c>
      <c r="O9725" t="s">
        <v>1940</v>
      </c>
      <c r="P9725" t="s">
        <v>1941</v>
      </c>
      <c r="Q9725" t="s">
        <v>1942</v>
      </c>
      <c r="R9725" t="s">
        <v>1943</v>
      </c>
      <c r="S9725" t="s">
        <v>1944</v>
      </c>
      <c r="T9725" t="s">
        <v>1945</v>
      </c>
      <c r="U9725" t="s">
        <v>1946</v>
      </c>
      <c r="V9725" t="s">
        <v>1947</v>
      </c>
      <c r="W9725" t="s">
        <v>1948</v>
      </c>
      <c r="X9725" t="s">
        <v>1949</v>
      </c>
      <c r="Y9725" t="s">
        <v>1950</v>
      </c>
      <c r="Z9725" t="s">
        <v>1951</v>
      </c>
      <c r="AA9725" t="s">
        <v>1952</v>
      </c>
      <c r="AB9725" t="s">
        <v>1953</v>
      </c>
      <c r="AC9725" t="s">
        <v>1954</v>
      </c>
      <c r="AD9725" t="s">
        <v>1955</v>
      </c>
      <c r="AE9725" t="s">
        <v>1956</v>
      </c>
      <c r="AF9725" t="s">
        <v>1957</v>
      </c>
      <c r="AG9725" t="s">
        <v>1958</v>
      </c>
      <c r="AH9725" t="s">
        <v>1959</v>
      </c>
      <c r="AI9725" t="s">
        <v>1960</v>
      </c>
      <c r="AJ9725" t="s">
        <v>1961</v>
      </c>
      <c r="AK9725" t="s">
        <v>1962</v>
      </c>
      <c r="AL9725" t="s">
        <v>1963</v>
      </c>
      <c r="AM9725" t="s">
        <v>1964</v>
      </c>
      <c r="AN9725" t="s">
        <v>1965</v>
      </c>
      <c r="AO9725" t="s">
        <v>1966</v>
      </c>
      <c r="AP9725" t="s">
        <v>1967</v>
      </c>
      <c r="AQ9725" t="s">
        <v>1968</v>
      </c>
      <c r="AR9725" t="s">
        <v>1969</v>
      </c>
      <c r="AS9725" t="s">
        <v>1970</v>
      </c>
      <c r="AT9725" t="s">
        <v>1971</v>
      </c>
      <c r="AU9725" t="s">
        <v>1972</v>
      </c>
      <c r="AV9725" t="s">
        <v>1973</v>
      </c>
      <c r="AW9725" t="s">
        <v>1974</v>
      </c>
      <c r="AX9725" t="s">
        <v>1975</v>
      </c>
      <c r="AY9725" t="s">
        <v>1976</v>
      </c>
      <c r="AZ9725" t="s">
        <v>1977</v>
      </c>
      <c r="BA9725" t="s">
        <v>1978</v>
      </c>
      <c r="BB9725" t="s">
        <v>1979</v>
      </c>
      <c r="BC9725" t="s">
        <v>1980</v>
      </c>
      <c r="BD9725" t="s">
        <v>193</v>
      </c>
    </row>
    <row r="9726" spans="1:56">
      <c r="A9726" t="s">
        <v>194</v>
      </c>
      <c r="B9726" t="s">
        <v>195</v>
      </c>
      <c r="C9726" t="s">
        <v>196</v>
      </c>
      <c r="D9726">
        <v>8361.370793846063</v>
      </c>
      <c r="E9726">
        <v>5000</v>
      </c>
      <c r="F9726">
        <v>714.28571428571399</v>
      </c>
      <c r="G9726">
        <v>52000</v>
      </c>
      <c r="H9726">
        <v>5914.8881386125749</v>
      </c>
      <c r="I9726">
        <v>5000</v>
      </c>
      <c r="J9726">
        <v>28.571428571428601</v>
      </c>
      <c r="K9726">
        <v>20000</v>
      </c>
      <c r="L9726">
        <v>5551.2740142465909</v>
      </c>
      <c r="M9726">
        <v>3333.3333333333298</v>
      </c>
      <c r="N9726">
        <v>1500</v>
      </c>
      <c r="O9726">
        <v>16666.666666666701</v>
      </c>
      <c r="P9726">
        <v>1029.1104465158021</v>
      </c>
      <c r="Q9726">
        <v>500</v>
      </c>
      <c r="R9726">
        <v>166.666666666667</v>
      </c>
      <c r="S9726">
        <v>5000</v>
      </c>
      <c r="T9726">
        <v>1889.6169164734181</v>
      </c>
      <c r="U9726">
        <v>2000</v>
      </c>
      <c r="V9726">
        <v>333.33333333333297</v>
      </c>
      <c r="W9726">
        <v>8000</v>
      </c>
      <c r="X9726">
        <v>3391.02680711014</v>
      </c>
      <c r="Y9726">
        <v>3000</v>
      </c>
      <c r="Z9726">
        <v>287.5</v>
      </c>
      <c r="AA9726">
        <v>20000</v>
      </c>
      <c r="AB9726">
        <v>3072.3747948516479</v>
      </c>
      <c r="AC9726">
        <v>1500</v>
      </c>
      <c r="AD9726">
        <v>86</v>
      </c>
      <c r="AE9726">
        <v>113333.33333333299</v>
      </c>
      <c r="AF9726">
        <v>1771.4027396825641</v>
      </c>
      <c r="AG9726">
        <v>2500</v>
      </c>
      <c r="AH9726">
        <v>187.5</v>
      </c>
      <c r="AI9726">
        <v>2500</v>
      </c>
      <c r="AJ9726">
        <v>2519.4878289569829</v>
      </c>
      <c r="AK9726">
        <v>2666.6666666666702</v>
      </c>
      <c r="AL9726">
        <v>833.33333333333303</v>
      </c>
      <c r="AM9726">
        <v>8000</v>
      </c>
      <c r="AN9726">
        <v>2179.2417921322799</v>
      </c>
      <c r="AO9726">
        <v>2200</v>
      </c>
      <c r="AP9726">
        <v>200</v>
      </c>
      <c r="AQ9726">
        <v>18250</v>
      </c>
      <c r="AR9726">
        <v>1888.149379546207</v>
      </c>
      <c r="AS9726">
        <v>1666.6666666666699</v>
      </c>
      <c r="AT9726">
        <v>200</v>
      </c>
      <c r="AU9726">
        <v>19000</v>
      </c>
      <c r="AV9726">
        <v>2675.8631189774351</v>
      </c>
      <c r="AW9726">
        <v>3000</v>
      </c>
      <c r="AX9726">
        <v>1333.3333333333301</v>
      </c>
      <c r="AY9726">
        <v>3000</v>
      </c>
      <c r="AZ9726">
        <v>2554.172697308878</v>
      </c>
      <c r="BA9726">
        <v>4000</v>
      </c>
      <c r="BB9726">
        <v>800</v>
      </c>
      <c r="BC9726">
        <v>4000</v>
      </c>
      <c r="BD9726">
        <v>1336</v>
      </c>
    </row>
    <row r="9727" spans="1:56">
      <c r="A9727" t="s">
        <v>194</v>
      </c>
      <c r="B9727" t="s">
        <v>195</v>
      </c>
      <c r="C9727" t="s">
        <v>198</v>
      </c>
      <c r="D9727">
        <v>8891.5382443261424</v>
      </c>
      <c r="E9727">
        <v>6750</v>
      </c>
      <c r="F9727">
        <v>375</v>
      </c>
      <c r="G9727">
        <v>50000</v>
      </c>
      <c r="H9727">
        <v>4754.0236802781646</v>
      </c>
      <c r="I9727">
        <v>5000</v>
      </c>
      <c r="J9727">
        <v>250</v>
      </c>
      <c r="K9727">
        <v>37000</v>
      </c>
      <c r="L9727">
        <v>18450.83406304496</v>
      </c>
      <c r="M9727">
        <v>16666.666666666701</v>
      </c>
      <c r="N9727">
        <v>666.66666666666697</v>
      </c>
      <c r="O9727">
        <v>50000</v>
      </c>
      <c r="P9727">
        <v>3218.8396717216842</v>
      </c>
      <c r="Q9727">
        <v>2666.6666666666702</v>
      </c>
      <c r="R9727">
        <v>2333.3333333333298</v>
      </c>
      <c r="S9727">
        <v>13000</v>
      </c>
      <c r="T9727">
        <v>1905.3279096128599</v>
      </c>
      <c r="U9727">
        <v>2000</v>
      </c>
      <c r="V9727">
        <v>333.33333333333297</v>
      </c>
      <c r="W9727">
        <v>7500</v>
      </c>
      <c r="X9727">
        <v>3272.6609075659212</v>
      </c>
      <c r="Y9727">
        <v>2666.6666666666702</v>
      </c>
      <c r="Z9727">
        <v>450</v>
      </c>
      <c r="AA9727">
        <v>12000</v>
      </c>
      <c r="AB9727">
        <v>1567.9313535574611</v>
      </c>
      <c r="AC9727">
        <v>1000</v>
      </c>
      <c r="AD9727">
        <v>113.333333333333</v>
      </c>
      <c r="AE9727">
        <v>22000</v>
      </c>
      <c r="AF9727">
        <v>93.75</v>
      </c>
      <c r="AG9727">
        <v>93.75</v>
      </c>
      <c r="AH9727">
        <v>93.75</v>
      </c>
      <c r="AI9727">
        <v>93.75</v>
      </c>
      <c r="AJ9727">
        <v>2696.931333027841</v>
      </c>
      <c r="AK9727">
        <v>2000</v>
      </c>
      <c r="AL9727">
        <v>333.33333333333297</v>
      </c>
      <c r="AM9727">
        <v>10000</v>
      </c>
      <c r="AN9727">
        <v>2860.882472461532</v>
      </c>
      <c r="AO9727">
        <v>1100</v>
      </c>
      <c r="AP9727">
        <v>83.3333333333333</v>
      </c>
      <c r="AQ9727">
        <v>15000</v>
      </c>
      <c r="AR9727">
        <v>9896.3308151606852</v>
      </c>
      <c r="AS9727">
        <v>5000</v>
      </c>
      <c r="AT9727">
        <v>350</v>
      </c>
      <c r="AU9727">
        <v>75000</v>
      </c>
      <c r="AV9727">
        <v>1410.611164331589</v>
      </c>
      <c r="AW9727">
        <v>1320</v>
      </c>
      <c r="AX9727">
        <v>285.71428571428601</v>
      </c>
      <c r="AY9727">
        <v>3000</v>
      </c>
      <c r="AZ9727">
        <v>10079.38450565383</v>
      </c>
      <c r="BA9727">
        <v>15000</v>
      </c>
      <c r="BB9727">
        <v>466.66666666666703</v>
      </c>
      <c r="BC9727">
        <v>16666.666666666701</v>
      </c>
      <c r="BD9727">
        <v>1336</v>
      </c>
    </row>
    <row r="9728" spans="1:56">
      <c r="A9728" t="s">
        <v>194</v>
      </c>
      <c r="B9728" t="s">
        <v>199</v>
      </c>
      <c r="C9728" t="s">
        <v>196</v>
      </c>
      <c r="D9728">
        <v>11815.54275113406</v>
      </c>
      <c r="E9728">
        <v>7000</v>
      </c>
      <c r="F9728">
        <v>400</v>
      </c>
      <c r="G9728">
        <v>250000</v>
      </c>
      <c r="H9728">
        <v>6079.4405733708509</v>
      </c>
      <c r="I9728">
        <v>4500</v>
      </c>
      <c r="J9728">
        <v>166.666666666667</v>
      </c>
      <c r="K9728">
        <v>26666.666666666701</v>
      </c>
      <c r="L9728">
        <v>19585.56487647416</v>
      </c>
      <c r="M9728">
        <v>23333.333333333299</v>
      </c>
      <c r="N9728">
        <v>540</v>
      </c>
      <c r="O9728">
        <v>40000</v>
      </c>
      <c r="P9728">
        <v>2448.2234922590469</v>
      </c>
      <c r="Q9728">
        <v>1200</v>
      </c>
      <c r="R9728">
        <v>166.666666666667</v>
      </c>
      <c r="S9728">
        <v>15000</v>
      </c>
      <c r="T9728">
        <v>1639.8681870734249</v>
      </c>
      <c r="U9728">
        <v>1666.6666666666699</v>
      </c>
      <c r="V9728">
        <v>500</v>
      </c>
      <c r="W9728">
        <v>3000</v>
      </c>
      <c r="X9728">
        <v>2881.075693581889</v>
      </c>
      <c r="Y9728">
        <v>2000</v>
      </c>
      <c r="Z9728">
        <v>312.5</v>
      </c>
      <c r="AA9728">
        <v>9000</v>
      </c>
      <c r="AB9728">
        <v>1241.674015910889</v>
      </c>
      <c r="AC9728">
        <v>500</v>
      </c>
      <c r="AD9728">
        <v>122.857142857143</v>
      </c>
      <c r="AE9728">
        <v>11000</v>
      </c>
      <c r="AF9728">
        <v>2207.4229291100642</v>
      </c>
      <c r="AG9728">
        <v>833.33333333333303</v>
      </c>
      <c r="AH9728">
        <v>96.6666666666667</v>
      </c>
      <c r="AI9728">
        <v>11000</v>
      </c>
      <c r="AJ9728">
        <v>4593.6424046001748</v>
      </c>
      <c r="AK9728">
        <v>6000</v>
      </c>
      <c r="AL9728">
        <v>200</v>
      </c>
      <c r="AM9728">
        <v>10000</v>
      </c>
      <c r="AN9728">
        <v>4780.4962634590693</v>
      </c>
      <c r="AO9728">
        <v>7000</v>
      </c>
      <c r="AP9728">
        <v>166.666666666667</v>
      </c>
      <c r="AQ9728">
        <v>20000</v>
      </c>
      <c r="AR9728">
        <v>6253.9492248574061</v>
      </c>
      <c r="AS9728">
        <v>5000</v>
      </c>
      <c r="AT9728">
        <v>400</v>
      </c>
      <c r="AU9728">
        <v>100000</v>
      </c>
      <c r="AV9728">
        <v>4806.2038358928476</v>
      </c>
      <c r="AW9728">
        <v>8333.3333333333303</v>
      </c>
      <c r="AX9728">
        <v>2500</v>
      </c>
      <c r="AY9728">
        <v>8333.3333333333303</v>
      </c>
      <c r="AZ9728">
        <v>2245.7639286776061</v>
      </c>
      <c r="BA9728">
        <v>5000</v>
      </c>
      <c r="BB9728">
        <v>240</v>
      </c>
      <c r="BC9728">
        <v>17500</v>
      </c>
      <c r="BD9728">
        <v>1336</v>
      </c>
    </row>
    <row r="9729" spans="1:56">
      <c r="A9729" t="s">
        <v>194</v>
      </c>
      <c r="B9729" t="s">
        <v>199</v>
      </c>
      <c r="C9729" t="s">
        <v>198</v>
      </c>
      <c r="D9729">
        <v>12716.15073092485</v>
      </c>
      <c r="E9729">
        <v>10000</v>
      </c>
      <c r="F9729">
        <v>400</v>
      </c>
      <c r="G9729">
        <v>83500</v>
      </c>
      <c r="H9729">
        <v>8173.7977079486018</v>
      </c>
      <c r="I9729">
        <v>5000</v>
      </c>
      <c r="J9729">
        <v>250</v>
      </c>
      <c r="K9729">
        <v>45000</v>
      </c>
      <c r="L9729">
        <v>25482.212137476381</v>
      </c>
      <c r="M9729">
        <v>11250</v>
      </c>
      <c r="N9729">
        <v>500</v>
      </c>
      <c r="O9729">
        <v>250000</v>
      </c>
      <c r="P9729">
        <v>1896.0343790962411</v>
      </c>
      <c r="Q9729">
        <v>2666.6666666666702</v>
      </c>
      <c r="R9729">
        <v>1000</v>
      </c>
      <c r="S9729">
        <v>3333.3333333333298</v>
      </c>
      <c r="T9729">
        <v>1593.073192813433</v>
      </c>
      <c r="U9729">
        <v>2000</v>
      </c>
      <c r="V9729">
        <v>333.33333333333297</v>
      </c>
      <c r="W9729">
        <v>8000</v>
      </c>
      <c r="X9729">
        <v>3438.866772344652</v>
      </c>
      <c r="Y9729">
        <v>3000</v>
      </c>
      <c r="Z9729">
        <v>337.5</v>
      </c>
      <c r="AA9729">
        <v>20000</v>
      </c>
      <c r="AB9729">
        <v>996.79777623016048</v>
      </c>
      <c r="AC9729">
        <v>286.66666666666703</v>
      </c>
      <c r="AD9729">
        <v>143.333333333333</v>
      </c>
      <c r="AE9729">
        <v>20000</v>
      </c>
      <c r="AF9729">
        <v>2699.2570770614238</v>
      </c>
      <c r="AG9729">
        <v>3333.3333333333298</v>
      </c>
      <c r="AH9729">
        <v>500</v>
      </c>
      <c r="AI9729">
        <v>10000</v>
      </c>
      <c r="AJ9729">
        <v>3887.2362225613178</v>
      </c>
      <c r="AK9729">
        <v>2666.6666666666702</v>
      </c>
      <c r="AL9729">
        <v>500</v>
      </c>
      <c r="AM9729">
        <v>30000</v>
      </c>
      <c r="AN9729">
        <v>2214.3029268096761</v>
      </c>
      <c r="AO9729">
        <v>1500</v>
      </c>
      <c r="AP9729">
        <v>87.5</v>
      </c>
      <c r="AQ9729">
        <v>21000</v>
      </c>
      <c r="AR9729">
        <v>3151.0902076952871</v>
      </c>
      <c r="AS9729">
        <v>2000</v>
      </c>
      <c r="AT9729">
        <v>400</v>
      </c>
      <c r="AU9729">
        <v>25000</v>
      </c>
      <c r="AZ9729">
        <v>4073.9485042489832</v>
      </c>
      <c r="BA9729">
        <v>1566.6666666666699</v>
      </c>
      <c r="BB9729">
        <v>333.33333333333297</v>
      </c>
      <c r="BC9729">
        <v>23333.333333333299</v>
      </c>
      <c r="BD9729">
        <v>1336</v>
      </c>
    </row>
    <row r="9730" spans="1:56">
      <c r="A9730" t="s">
        <v>200</v>
      </c>
      <c r="B9730" t="s">
        <v>200</v>
      </c>
      <c r="C9730" t="s">
        <v>200</v>
      </c>
      <c r="D9730">
        <v>11165.2535358478</v>
      </c>
      <c r="E9730">
        <v>8100</v>
      </c>
      <c r="F9730">
        <v>375</v>
      </c>
      <c r="G9730">
        <v>250000</v>
      </c>
      <c r="H9730">
        <v>6324.2773253692922</v>
      </c>
      <c r="I9730">
        <v>5000</v>
      </c>
      <c r="J9730">
        <v>28.571428571428601</v>
      </c>
      <c r="K9730">
        <v>45000</v>
      </c>
      <c r="L9730">
        <v>22424.035487214169</v>
      </c>
      <c r="M9730">
        <v>12500</v>
      </c>
      <c r="N9730">
        <v>500</v>
      </c>
      <c r="O9730">
        <v>250000</v>
      </c>
      <c r="P9730">
        <v>1930.9837390009279</v>
      </c>
      <c r="Q9730">
        <v>1500</v>
      </c>
      <c r="R9730">
        <v>166.666666666667</v>
      </c>
      <c r="S9730">
        <v>15000</v>
      </c>
      <c r="T9730">
        <v>1883.8547115085821</v>
      </c>
      <c r="U9730">
        <v>2000</v>
      </c>
      <c r="V9730">
        <v>333.33333333333297</v>
      </c>
      <c r="W9730">
        <v>8000</v>
      </c>
      <c r="X9730">
        <v>3309.2095672676551</v>
      </c>
      <c r="Y9730">
        <v>2850</v>
      </c>
      <c r="Z9730">
        <v>287.5</v>
      </c>
      <c r="AA9730">
        <v>20000</v>
      </c>
      <c r="AB9730">
        <v>1520.4792925208751</v>
      </c>
      <c r="AC9730">
        <v>750</v>
      </c>
      <c r="AD9730">
        <v>86</v>
      </c>
      <c r="AE9730">
        <v>113333.33333333299</v>
      </c>
      <c r="AF9730">
        <v>2412.867543016428</v>
      </c>
      <c r="AG9730">
        <v>2600</v>
      </c>
      <c r="AH9730">
        <v>93.75</v>
      </c>
      <c r="AI9730">
        <v>11000</v>
      </c>
      <c r="AJ9730">
        <v>3501.6474306016362</v>
      </c>
      <c r="AK9730">
        <v>2500</v>
      </c>
      <c r="AL9730">
        <v>200</v>
      </c>
      <c r="AM9730">
        <v>30000</v>
      </c>
      <c r="AN9730">
        <v>2855.1426053542832</v>
      </c>
      <c r="AO9730">
        <v>1000</v>
      </c>
      <c r="AP9730">
        <v>83.3333333333333</v>
      </c>
      <c r="AQ9730">
        <v>21000</v>
      </c>
      <c r="AR9730">
        <v>5558.8396237689731</v>
      </c>
      <c r="AS9730">
        <v>2500</v>
      </c>
      <c r="AT9730">
        <v>200</v>
      </c>
      <c r="AU9730">
        <v>100000</v>
      </c>
      <c r="AV9730">
        <v>2397.7487721124221</v>
      </c>
      <c r="AW9730">
        <v>3000</v>
      </c>
      <c r="AX9730">
        <v>285.71428571428601</v>
      </c>
      <c r="AY9730">
        <v>8333.3333333333303</v>
      </c>
      <c r="AZ9730">
        <v>5856.8204865562921</v>
      </c>
      <c r="BA9730">
        <v>2500</v>
      </c>
      <c r="BB9730">
        <v>240</v>
      </c>
      <c r="BC9730">
        <v>23333.333333333299</v>
      </c>
      <c r="BD9730">
        <v>1336</v>
      </c>
    </row>
    <row r="9732" spans="1:56" ht="60">
      <c r="A9732" s="22" t="s">
        <v>1981</v>
      </c>
    </row>
    <row r="9733" spans="1:56">
      <c r="A9733" t="s">
        <v>184</v>
      </c>
      <c r="B9733" t="s">
        <v>185</v>
      </c>
      <c r="C9733" t="s">
        <v>186</v>
      </c>
      <c r="D9733" t="s">
        <v>1929</v>
      </c>
      <c r="E9733" t="s">
        <v>1930</v>
      </c>
      <c r="F9733" t="s">
        <v>1931</v>
      </c>
      <c r="G9733" t="s">
        <v>1932</v>
      </c>
      <c r="H9733" t="s">
        <v>1933</v>
      </c>
      <c r="I9733" t="s">
        <v>1934</v>
      </c>
      <c r="J9733" t="s">
        <v>1935</v>
      </c>
      <c r="K9733" t="s">
        <v>1936</v>
      </c>
      <c r="L9733" t="s">
        <v>1937</v>
      </c>
      <c r="M9733" t="s">
        <v>1938</v>
      </c>
      <c r="N9733" t="s">
        <v>1939</v>
      </c>
      <c r="O9733" t="s">
        <v>1940</v>
      </c>
      <c r="P9733" t="s">
        <v>1941</v>
      </c>
      <c r="Q9733" t="s">
        <v>1942</v>
      </c>
      <c r="R9733" t="s">
        <v>1943</v>
      </c>
      <c r="S9733" t="s">
        <v>1944</v>
      </c>
      <c r="T9733" t="s">
        <v>1945</v>
      </c>
      <c r="U9733" t="s">
        <v>1946</v>
      </c>
      <c r="V9733" t="s">
        <v>1947</v>
      </c>
      <c r="W9733" t="s">
        <v>1948</v>
      </c>
      <c r="X9733" t="s">
        <v>1949</v>
      </c>
      <c r="Y9733" t="s">
        <v>1950</v>
      </c>
      <c r="Z9733" t="s">
        <v>1951</v>
      </c>
      <c r="AA9733" t="s">
        <v>1952</v>
      </c>
      <c r="AB9733" t="s">
        <v>1953</v>
      </c>
      <c r="AC9733" t="s">
        <v>1954</v>
      </c>
      <c r="AD9733" t="s">
        <v>1955</v>
      </c>
      <c r="AE9733" t="s">
        <v>1956</v>
      </c>
      <c r="AF9733" t="s">
        <v>1957</v>
      </c>
      <c r="AG9733" t="s">
        <v>1958</v>
      </c>
      <c r="AH9733" t="s">
        <v>1959</v>
      </c>
      <c r="AI9733" t="s">
        <v>1960</v>
      </c>
      <c r="AJ9733" t="s">
        <v>1961</v>
      </c>
      <c r="AK9733" t="s">
        <v>1962</v>
      </c>
      <c r="AL9733" t="s">
        <v>1963</v>
      </c>
      <c r="AM9733" t="s">
        <v>1964</v>
      </c>
      <c r="AN9733" t="s">
        <v>1965</v>
      </c>
      <c r="AO9733" t="s">
        <v>1966</v>
      </c>
      <c r="AP9733" t="s">
        <v>1967</v>
      </c>
      <c r="AQ9733" t="s">
        <v>1968</v>
      </c>
      <c r="AR9733" t="s">
        <v>1969</v>
      </c>
      <c r="AS9733" t="s">
        <v>1970</v>
      </c>
      <c r="AT9733" t="s">
        <v>1971</v>
      </c>
      <c r="AU9733" t="s">
        <v>1972</v>
      </c>
      <c r="AV9733" t="s">
        <v>1973</v>
      </c>
      <c r="AW9733" t="s">
        <v>1974</v>
      </c>
      <c r="AX9733" t="s">
        <v>1975</v>
      </c>
      <c r="AY9733" t="s">
        <v>1976</v>
      </c>
      <c r="AZ9733" t="s">
        <v>1977</v>
      </c>
      <c r="BA9733" t="s">
        <v>1978</v>
      </c>
      <c r="BB9733" t="s">
        <v>1979</v>
      </c>
      <c r="BC9733" t="s">
        <v>1980</v>
      </c>
      <c r="BD9733" t="s">
        <v>193</v>
      </c>
    </row>
    <row r="9734" spans="1:56">
      <c r="A9734" t="s">
        <v>194</v>
      </c>
      <c r="B9734" t="s">
        <v>195</v>
      </c>
      <c r="C9734" t="s">
        <v>202</v>
      </c>
      <c r="D9734">
        <v>9315.2980595385616</v>
      </c>
      <c r="E9734">
        <v>6666.6666666666697</v>
      </c>
      <c r="F9734">
        <v>375</v>
      </c>
      <c r="G9734">
        <v>52000</v>
      </c>
      <c r="H9734">
        <v>5911.3537016476357</v>
      </c>
      <c r="I9734">
        <v>5000</v>
      </c>
      <c r="J9734">
        <v>66.6666666666667</v>
      </c>
      <c r="K9734">
        <v>20000</v>
      </c>
      <c r="L9734">
        <v>18923.289056773141</v>
      </c>
      <c r="M9734">
        <v>16666.666666666701</v>
      </c>
      <c r="N9734">
        <v>1666.6666666666699</v>
      </c>
      <c r="O9734">
        <v>50000</v>
      </c>
      <c r="P9734">
        <v>2579.4052379215882</v>
      </c>
      <c r="Q9734">
        <v>3750</v>
      </c>
      <c r="R9734">
        <v>500</v>
      </c>
      <c r="S9734">
        <v>3750</v>
      </c>
      <c r="T9734">
        <v>1884.2687234824641</v>
      </c>
      <c r="U9734">
        <v>2000</v>
      </c>
      <c r="V9734">
        <v>500</v>
      </c>
      <c r="W9734">
        <v>8000</v>
      </c>
      <c r="X9734">
        <v>3416.0074135142668</v>
      </c>
      <c r="Y9734">
        <v>2800</v>
      </c>
      <c r="Z9734">
        <v>433.33333333333297</v>
      </c>
      <c r="AA9734">
        <v>20000</v>
      </c>
      <c r="AB9734">
        <v>1829.971101919931</v>
      </c>
      <c r="AC9734">
        <v>1150</v>
      </c>
      <c r="AD9734">
        <v>86</v>
      </c>
      <c r="AE9734">
        <v>22000</v>
      </c>
      <c r="AF9734">
        <v>2500</v>
      </c>
      <c r="AG9734">
        <v>2500</v>
      </c>
      <c r="AH9734">
        <v>2500</v>
      </c>
      <c r="AI9734">
        <v>2500</v>
      </c>
      <c r="AJ9734">
        <v>3441.1065619655728</v>
      </c>
      <c r="AK9734">
        <v>2666.6666666666702</v>
      </c>
      <c r="AL9734">
        <v>333.33333333333297</v>
      </c>
      <c r="AM9734">
        <v>10000</v>
      </c>
      <c r="AN9734">
        <v>3825.0896828912851</v>
      </c>
      <c r="AO9734">
        <v>1500</v>
      </c>
      <c r="AP9734">
        <v>200</v>
      </c>
      <c r="AQ9734">
        <v>15000</v>
      </c>
      <c r="AR9734">
        <v>11187.62532969753</v>
      </c>
      <c r="AS9734">
        <v>5000</v>
      </c>
      <c r="AT9734">
        <v>200</v>
      </c>
      <c r="AU9734">
        <v>75000</v>
      </c>
      <c r="AV9734">
        <v>1914.4966731859979</v>
      </c>
      <c r="AW9734">
        <v>3000</v>
      </c>
      <c r="AX9734">
        <v>285.71428571428601</v>
      </c>
      <c r="AY9734">
        <v>3000</v>
      </c>
      <c r="AZ9734">
        <v>16666.666666666701</v>
      </c>
      <c r="BA9734">
        <v>16666.666666666701</v>
      </c>
      <c r="BB9734">
        <v>16666.666666666701</v>
      </c>
      <c r="BC9734">
        <v>16666.666666666701</v>
      </c>
      <c r="BD9734">
        <v>1336</v>
      </c>
    </row>
    <row r="9735" spans="1:56">
      <c r="A9735" t="s">
        <v>194</v>
      </c>
      <c r="B9735" t="s">
        <v>195</v>
      </c>
      <c r="C9735" t="s">
        <v>204</v>
      </c>
      <c r="D9735">
        <v>8621.1930599237421</v>
      </c>
      <c r="E9735">
        <v>6750</v>
      </c>
      <c r="F9735">
        <v>1000</v>
      </c>
      <c r="G9735">
        <v>33000</v>
      </c>
      <c r="H9735">
        <v>5338.6690830035704</v>
      </c>
      <c r="I9735">
        <v>6600</v>
      </c>
      <c r="J9735">
        <v>28.571428571428601</v>
      </c>
      <c r="K9735">
        <v>37000</v>
      </c>
      <c r="L9735">
        <v>4793.389662655406</v>
      </c>
      <c r="M9735">
        <v>3000</v>
      </c>
      <c r="N9735">
        <v>666.66666666666697</v>
      </c>
      <c r="O9735">
        <v>20000</v>
      </c>
      <c r="P9735">
        <v>983.39399387453568</v>
      </c>
      <c r="Q9735">
        <v>1166.6666666666699</v>
      </c>
      <c r="R9735">
        <v>166.666666666667</v>
      </c>
      <c r="S9735">
        <v>2500</v>
      </c>
      <c r="T9735">
        <v>1856.481826126153</v>
      </c>
      <c r="U9735">
        <v>2000</v>
      </c>
      <c r="V9735">
        <v>333.33333333333297</v>
      </c>
      <c r="W9735">
        <v>7500</v>
      </c>
      <c r="X9735">
        <v>3135.1740269745151</v>
      </c>
      <c r="Y9735">
        <v>2625</v>
      </c>
      <c r="Z9735">
        <v>575</v>
      </c>
      <c r="AA9735">
        <v>8473</v>
      </c>
      <c r="AB9735">
        <v>1446.145682618162</v>
      </c>
      <c r="AC9735">
        <v>1180</v>
      </c>
      <c r="AD9735">
        <v>125</v>
      </c>
      <c r="AE9735">
        <v>10800</v>
      </c>
      <c r="AF9735">
        <v>187.5</v>
      </c>
      <c r="AG9735">
        <v>187.5</v>
      </c>
      <c r="AH9735">
        <v>187.5</v>
      </c>
      <c r="AI9735">
        <v>187.5</v>
      </c>
      <c r="AJ9735">
        <v>2907.3801255496678</v>
      </c>
      <c r="AK9735">
        <v>5000</v>
      </c>
      <c r="AL9735">
        <v>333.33333333333297</v>
      </c>
      <c r="AM9735">
        <v>8000</v>
      </c>
      <c r="AN9735">
        <v>1163.897606167189</v>
      </c>
      <c r="AO9735">
        <v>750</v>
      </c>
      <c r="AP9735">
        <v>83.3333333333333</v>
      </c>
      <c r="AQ9735">
        <v>18250</v>
      </c>
      <c r="AR9735">
        <v>2199.081425437731</v>
      </c>
      <c r="AS9735">
        <v>2000</v>
      </c>
      <c r="AT9735">
        <v>500</v>
      </c>
      <c r="AU9735">
        <v>10000</v>
      </c>
      <c r="AV9735">
        <v>2493.5976042667039</v>
      </c>
      <c r="AW9735">
        <v>3000</v>
      </c>
      <c r="AX9735">
        <v>500</v>
      </c>
      <c r="AY9735">
        <v>3000</v>
      </c>
      <c r="AZ9735">
        <v>1483.333333333333</v>
      </c>
      <c r="BA9735">
        <v>466.66666666666703</v>
      </c>
      <c r="BB9735">
        <v>466.66666666666703</v>
      </c>
      <c r="BC9735">
        <v>2500</v>
      </c>
      <c r="BD9735">
        <v>1336</v>
      </c>
    </row>
    <row r="9736" spans="1:56">
      <c r="A9736" t="s">
        <v>194</v>
      </c>
      <c r="B9736" t="s">
        <v>195</v>
      </c>
      <c r="C9736" t="s">
        <v>205</v>
      </c>
      <c r="D9736">
        <v>6230.7072007924362</v>
      </c>
      <c r="E9736">
        <v>5000</v>
      </c>
      <c r="F9736">
        <v>533.33333333333303</v>
      </c>
      <c r="G9736">
        <v>30000</v>
      </c>
      <c r="H9736">
        <v>3631.5117400813342</v>
      </c>
      <c r="I9736">
        <v>3500</v>
      </c>
      <c r="J9736">
        <v>100</v>
      </c>
      <c r="K9736">
        <v>8333.3333333333303</v>
      </c>
      <c r="L9736">
        <v>1500</v>
      </c>
      <c r="M9736">
        <v>1500</v>
      </c>
      <c r="N9736">
        <v>1500</v>
      </c>
      <c r="O9736">
        <v>1500</v>
      </c>
      <c r="P9736">
        <v>2730.0048447835911</v>
      </c>
      <c r="Q9736">
        <v>3750</v>
      </c>
      <c r="R9736">
        <v>333.33333333333297</v>
      </c>
      <c r="S9736">
        <v>13000</v>
      </c>
      <c r="T9736">
        <v>2038.322449347959</v>
      </c>
      <c r="U9736">
        <v>2200</v>
      </c>
      <c r="V9736">
        <v>333.33333333333297</v>
      </c>
      <c r="W9736">
        <v>3333.3333333333298</v>
      </c>
      <c r="X9736">
        <v>3020.918287528465</v>
      </c>
      <c r="Y9736">
        <v>2800</v>
      </c>
      <c r="Z9736">
        <v>287.5</v>
      </c>
      <c r="AA9736">
        <v>10000</v>
      </c>
      <c r="AB9736">
        <v>3202.045841540385</v>
      </c>
      <c r="AC9736">
        <v>1000</v>
      </c>
      <c r="AD9736">
        <v>172</v>
      </c>
      <c r="AE9736">
        <v>113333.33333333299</v>
      </c>
      <c r="AF9736">
        <v>93.75</v>
      </c>
      <c r="AG9736">
        <v>93.75</v>
      </c>
      <c r="AH9736">
        <v>93.75</v>
      </c>
      <c r="AI9736">
        <v>93.75</v>
      </c>
      <c r="AJ9736">
        <v>1324.7102074318559</v>
      </c>
      <c r="AK9736">
        <v>600</v>
      </c>
      <c r="AL9736">
        <v>428.57142857142901</v>
      </c>
      <c r="AM9736">
        <v>7000</v>
      </c>
      <c r="AN9736">
        <v>2957.8273311444491</v>
      </c>
      <c r="AO9736">
        <v>2200</v>
      </c>
      <c r="AP9736">
        <v>150</v>
      </c>
      <c r="AQ9736">
        <v>10800</v>
      </c>
      <c r="AR9736">
        <v>6926.7579279255606</v>
      </c>
      <c r="AS9736">
        <v>10000</v>
      </c>
      <c r="AT9736">
        <v>350</v>
      </c>
      <c r="AU9736">
        <v>19000</v>
      </c>
      <c r="AV9736">
        <v>1320</v>
      </c>
      <c r="AW9736">
        <v>1320</v>
      </c>
      <c r="AX9736">
        <v>1320</v>
      </c>
      <c r="AY9736">
        <v>1320</v>
      </c>
      <c r="AZ9736">
        <v>4756.6179468086139</v>
      </c>
      <c r="BA9736">
        <v>4000</v>
      </c>
      <c r="BB9736">
        <v>666.66666666666697</v>
      </c>
      <c r="BC9736">
        <v>15000</v>
      </c>
      <c r="BD9736">
        <v>1336</v>
      </c>
    </row>
    <row r="9737" spans="1:56">
      <c r="A9737" t="s">
        <v>194</v>
      </c>
      <c r="B9737" t="s">
        <v>199</v>
      </c>
      <c r="C9737" t="s">
        <v>202</v>
      </c>
      <c r="D9737">
        <v>14338.00934894993</v>
      </c>
      <c r="E9737">
        <v>10000</v>
      </c>
      <c r="F9737">
        <v>1200</v>
      </c>
      <c r="G9737">
        <v>250000</v>
      </c>
      <c r="H9737">
        <v>10337.119878459651</v>
      </c>
      <c r="I9737">
        <v>5500</v>
      </c>
      <c r="J9737">
        <v>800</v>
      </c>
      <c r="K9737">
        <v>45000</v>
      </c>
      <c r="L9737">
        <v>27557.299535909649</v>
      </c>
      <c r="M9737">
        <v>12500</v>
      </c>
      <c r="N9737">
        <v>500</v>
      </c>
      <c r="O9737">
        <v>250000</v>
      </c>
      <c r="P9737">
        <v>4301.2315329250432</v>
      </c>
      <c r="Q9737">
        <v>10000</v>
      </c>
      <c r="R9737">
        <v>3000</v>
      </c>
      <c r="S9737">
        <v>10000</v>
      </c>
      <c r="T9737">
        <v>1437.813889473704</v>
      </c>
      <c r="U9737">
        <v>1250</v>
      </c>
      <c r="V9737">
        <v>600</v>
      </c>
      <c r="W9737">
        <v>2500</v>
      </c>
      <c r="X9737">
        <v>3220.5886867709978</v>
      </c>
      <c r="Y9737">
        <v>3250</v>
      </c>
      <c r="Z9737">
        <v>312.5</v>
      </c>
      <c r="AA9737">
        <v>19500</v>
      </c>
      <c r="AB9737">
        <v>928.13129791555798</v>
      </c>
      <c r="AC9737">
        <v>286.66666666666703</v>
      </c>
      <c r="AD9737">
        <v>122.857142857143</v>
      </c>
      <c r="AE9737">
        <v>11000</v>
      </c>
      <c r="AF9737">
        <v>3270.0721532376228</v>
      </c>
      <c r="AG9737">
        <v>3500</v>
      </c>
      <c r="AH9737">
        <v>275</v>
      </c>
      <c r="AI9737">
        <v>10000</v>
      </c>
      <c r="AJ9737">
        <v>4482.7935277684819</v>
      </c>
      <c r="AK9737">
        <v>6000</v>
      </c>
      <c r="AL9737">
        <v>200</v>
      </c>
      <c r="AM9737">
        <v>10000</v>
      </c>
      <c r="AR9737">
        <v>3602.3706521297199</v>
      </c>
      <c r="AS9737">
        <v>2500</v>
      </c>
      <c r="AT9737">
        <v>400</v>
      </c>
      <c r="AU9737">
        <v>20000</v>
      </c>
      <c r="AZ9737">
        <v>1500</v>
      </c>
      <c r="BA9737">
        <v>1500</v>
      </c>
      <c r="BB9737">
        <v>1500</v>
      </c>
      <c r="BC9737">
        <v>1500</v>
      </c>
      <c r="BD9737">
        <v>1336</v>
      </c>
    </row>
    <row r="9738" spans="1:56">
      <c r="A9738" t="s">
        <v>194</v>
      </c>
      <c r="B9738" t="s">
        <v>199</v>
      </c>
      <c r="C9738" t="s">
        <v>204</v>
      </c>
      <c r="D9738">
        <v>9622.9594959545611</v>
      </c>
      <c r="E9738">
        <v>8000</v>
      </c>
      <c r="F9738">
        <v>425</v>
      </c>
      <c r="G9738">
        <v>65000</v>
      </c>
      <c r="H9738">
        <v>2953.8620502176441</v>
      </c>
      <c r="I9738">
        <v>2333.3333333333298</v>
      </c>
      <c r="J9738">
        <v>250</v>
      </c>
      <c r="K9738">
        <v>20000</v>
      </c>
      <c r="L9738">
        <v>15089.11347899017</v>
      </c>
      <c r="M9738">
        <v>24000</v>
      </c>
      <c r="N9738">
        <v>540</v>
      </c>
      <c r="O9738">
        <v>33333.333333333299</v>
      </c>
      <c r="P9738">
        <v>1652.8151816431439</v>
      </c>
      <c r="Q9738">
        <v>1500</v>
      </c>
      <c r="R9738">
        <v>166.666666666667</v>
      </c>
      <c r="S9738">
        <v>10000</v>
      </c>
      <c r="T9738">
        <v>1636.7855002250751</v>
      </c>
      <c r="U9738">
        <v>2000</v>
      </c>
      <c r="V9738">
        <v>333.33333333333297</v>
      </c>
      <c r="W9738">
        <v>3000</v>
      </c>
      <c r="X9738">
        <v>3015.4999903139701</v>
      </c>
      <c r="Y9738">
        <v>2900</v>
      </c>
      <c r="Z9738">
        <v>385.71428571428601</v>
      </c>
      <c r="AA9738">
        <v>15000</v>
      </c>
      <c r="AB9738">
        <v>1316.2688836525399</v>
      </c>
      <c r="AC9738">
        <v>460</v>
      </c>
      <c r="AD9738">
        <v>143.333333333333</v>
      </c>
      <c r="AE9738">
        <v>20000</v>
      </c>
      <c r="AF9738">
        <v>1857.3820620018471</v>
      </c>
      <c r="AG9738">
        <v>1250</v>
      </c>
      <c r="AH9738">
        <v>96.6666666666667</v>
      </c>
      <c r="AI9738">
        <v>11000</v>
      </c>
      <c r="AJ9738">
        <v>4330.7883948777026</v>
      </c>
      <c r="AK9738">
        <v>3000</v>
      </c>
      <c r="AL9738">
        <v>666.66666666666697</v>
      </c>
      <c r="AM9738">
        <v>30000</v>
      </c>
      <c r="AN9738">
        <v>4077.6543180203671</v>
      </c>
      <c r="AO9738">
        <v>4250</v>
      </c>
      <c r="AP9738">
        <v>100</v>
      </c>
      <c r="AQ9738">
        <v>21000</v>
      </c>
      <c r="AR9738">
        <v>1647.6979706597201</v>
      </c>
      <c r="AS9738">
        <v>1500</v>
      </c>
      <c r="AT9738">
        <v>500</v>
      </c>
      <c r="AU9738">
        <v>100000</v>
      </c>
      <c r="AV9738">
        <v>4806.2038358928476</v>
      </c>
      <c r="AW9738">
        <v>8333.3333333333303</v>
      </c>
      <c r="AX9738">
        <v>2500</v>
      </c>
      <c r="AY9738">
        <v>8333.3333333333303</v>
      </c>
      <c r="AZ9738">
        <v>4517.8061207269384</v>
      </c>
      <c r="BA9738">
        <v>2500</v>
      </c>
      <c r="BB9738">
        <v>333.33333333333297</v>
      </c>
      <c r="BC9738">
        <v>23333.333333333299</v>
      </c>
      <c r="BD9738">
        <v>1336</v>
      </c>
    </row>
    <row r="9739" spans="1:56">
      <c r="A9739" t="s">
        <v>194</v>
      </c>
      <c r="B9739" t="s">
        <v>199</v>
      </c>
      <c r="C9739" t="s">
        <v>205</v>
      </c>
      <c r="D9739">
        <v>8159.7455876540907</v>
      </c>
      <c r="E9739">
        <v>7000</v>
      </c>
      <c r="F9739">
        <v>400</v>
      </c>
      <c r="G9739">
        <v>70000</v>
      </c>
      <c r="H9739">
        <v>4627.5296154933021</v>
      </c>
      <c r="I9739">
        <v>3250</v>
      </c>
      <c r="J9739">
        <v>166.666666666667</v>
      </c>
      <c r="K9739">
        <v>17000</v>
      </c>
      <c r="L9739">
        <v>24627.054864425751</v>
      </c>
      <c r="M9739">
        <v>11250</v>
      </c>
      <c r="N9739">
        <v>833.33333333333303</v>
      </c>
      <c r="O9739">
        <v>150000</v>
      </c>
      <c r="P9739">
        <v>1569.5320330524351</v>
      </c>
      <c r="Q9739">
        <v>1200</v>
      </c>
      <c r="R9739">
        <v>285.71428571428601</v>
      </c>
      <c r="S9739">
        <v>15000</v>
      </c>
      <c r="T9739">
        <v>1626.6349833088771</v>
      </c>
      <c r="U9739">
        <v>2000</v>
      </c>
      <c r="V9739">
        <v>400</v>
      </c>
      <c r="W9739">
        <v>8000</v>
      </c>
      <c r="X9739">
        <v>3793.0348651923791</v>
      </c>
      <c r="Y9739">
        <v>3000</v>
      </c>
      <c r="Z9739">
        <v>416.66666666666703</v>
      </c>
      <c r="AA9739">
        <v>20000</v>
      </c>
      <c r="AB9739">
        <v>1150.8788993438079</v>
      </c>
      <c r="AC9739">
        <v>833.33333333333303</v>
      </c>
      <c r="AD9739">
        <v>176</v>
      </c>
      <c r="AE9739">
        <v>9000</v>
      </c>
      <c r="AF9739">
        <v>1397.6871131877549</v>
      </c>
      <c r="AG9739">
        <v>2500</v>
      </c>
      <c r="AH9739">
        <v>125</v>
      </c>
      <c r="AI9739">
        <v>6000</v>
      </c>
      <c r="AJ9739">
        <v>2375.6670240412782</v>
      </c>
      <c r="AK9739">
        <v>2666.6666666666702</v>
      </c>
      <c r="AL9739">
        <v>500</v>
      </c>
      <c r="AM9739">
        <v>6666.6666666666697</v>
      </c>
      <c r="AN9739">
        <v>1706.5015651954629</v>
      </c>
      <c r="AO9739">
        <v>1500</v>
      </c>
      <c r="AP9739">
        <v>87.5</v>
      </c>
      <c r="AQ9739">
        <v>10000</v>
      </c>
      <c r="AR9739">
        <v>7468.9640423738383</v>
      </c>
      <c r="AS9739">
        <v>2500</v>
      </c>
      <c r="AT9739">
        <v>400</v>
      </c>
      <c r="AU9739">
        <v>25000</v>
      </c>
      <c r="AZ9739">
        <v>4405.413195553966</v>
      </c>
      <c r="BA9739">
        <v>5000</v>
      </c>
      <c r="BB9739">
        <v>240</v>
      </c>
      <c r="BC9739">
        <v>14000</v>
      </c>
      <c r="BD9739">
        <v>1336</v>
      </c>
    </row>
    <row r="9740" spans="1:56">
      <c r="A9740" t="s">
        <v>200</v>
      </c>
      <c r="B9740" t="s">
        <v>200</v>
      </c>
      <c r="C9740" t="s">
        <v>200</v>
      </c>
      <c r="D9740">
        <v>11165.2535358478</v>
      </c>
      <c r="E9740">
        <v>8100</v>
      </c>
      <c r="F9740">
        <v>375</v>
      </c>
      <c r="G9740">
        <v>250000</v>
      </c>
      <c r="H9740">
        <v>6324.2773253692922</v>
      </c>
      <c r="I9740">
        <v>5000</v>
      </c>
      <c r="J9740">
        <v>28.571428571428601</v>
      </c>
      <c r="K9740">
        <v>45000</v>
      </c>
      <c r="L9740">
        <v>22424.035487214169</v>
      </c>
      <c r="M9740">
        <v>12500</v>
      </c>
      <c r="N9740">
        <v>500</v>
      </c>
      <c r="O9740">
        <v>250000</v>
      </c>
      <c r="P9740">
        <v>1930.9837390009279</v>
      </c>
      <c r="Q9740">
        <v>1500</v>
      </c>
      <c r="R9740">
        <v>166.666666666667</v>
      </c>
      <c r="S9740">
        <v>15000</v>
      </c>
      <c r="T9740">
        <v>1883.8547115085821</v>
      </c>
      <c r="U9740">
        <v>2000</v>
      </c>
      <c r="V9740">
        <v>333.33333333333297</v>
      </c>
      <c r="W9740">
        <v>8000</v>
      </c>
      <c r="X9740">
        <v>3309.2095672676551</v>
      </c>
      <c r="Y9740">
        <v>2850</v>
      </c>
      <c r="Z9740">
        <v>287.5</v>
      </c>
      <c r="AA9740">
        <v>20000</v>
      </c>
      <c r="AB9740">
        <v>1520.4792925208751</v>
      </c>
      <c r="AC9740">
        <v>750</v>
      </c>
      <c r="AD9740">
        <v>86</v>
      </c>
      <c r="AE9740">
        <v>113333.33333333299</v>
      </c>
      <c r="AF9740">
        <v>2412.867543016428</v>
      </c>
      <c r="AG9740">
        <v>2600</v>
      </c>
      <c r="AH9740">
        <v>93.75</v>
      </c>
      <c r="AI9740">
        <v>11000</v>
      </c>
      <c r="AJ9740">
        <v>3501.6474306016362</v>
      </c>
      <c r="AK9740">
        <v>2500</v>
      </c>
      <c r="AL9740">
        <v>200</v>
      </c>
      <c r="AM9740">
        <v>30000</v>
      </c>
      <c r="AN9740">
        <v>2855.1426053542832</v>
      </c>
      <c r="AO9740">
        <v>1000</v>
      </c>
      <c r="AP9740">
        <v>83.3333333333333</v>
      </c>
      <c r="AQ9740">
        <v>21000</v>
      </c>
      <c r="AR9740">
        <v>5558.8396237689731</v>
      </c>
      <c r="AS9740">
        <v>2500</v>
      </c>
      <c r="AT9740">
        <v>200</v>
      </c>
      <c r="AU9740">
        <v>100000</v>
      </c>
      <c r="AV9740">
        <v>2397.7487721124221</v>
      </c>
      <c r="AW9740">
        <v>3000</v>
      </c>
      <c r="AX9740">
        <v>285.71428571428601</v>
      </c>
      <c r="AY9740">
        <v>8333.3333333333303</v>
      </c>
      <c r="AZ9740">
        <v>5856.8204865562921</v>
      </c>
      <c r="BA9740">
        <v>2500</v>
      </c>
      <c r="BB9740">
        <v>240</v>
      </c>
      <c r="BC9740">
        <v>23333.333333333299</v>
      </c>
      <c r="BD9740">
        <v>1336</v>
      </c>
    </row>
    <row r="9742" spans="1:56" ht="45">
      <c r="A9742" s="22" t="s">
        <v>1982</v>
      </c>
    </row>
    <row r="9743" spans="1:56">
      <c r="A9743" t="s">
        <v>184</v>
      </c>
      <c r="B9743" t="s">
        <v>185</v>
      </c>
      <c r="C9743" t="s">
        <v>186</v>
      </c>
      <c r="D9743" t="s">
        <v>1929</v>
      </c>
      <c r="E9743" t="s">
        <v>1930</v>
      </c>
      <c r="F9743" t="s">
        <v>1931</v>
      </c>
      <c r="G9743" t="s">
        <v>1932</v>
      </c>
      <c r="H9743" t="s">
        <v>1933</v>
      </c>
      <c r="I9743" t="s">
        <v>1934</v>
      </c>
      <c r="J9743" t="s">
        <v>1935</v>
      </c>
      <c r="K9743" t="s">
        <v>1936</v>
      </c>
      <c r="L9743" t="s">
        <v>1937</v>
      </c>
      <c r="M9743" t="s">
        <v>1938</v>
      </c>
      <c r="N9743" t="s">
        <v>1939</v>
      </c>
      <c r="O9743" t="s">
        <v>1940</v>
      </c>
      <c r="P9743" t="s">
        <v>1941</v>
      </c>
      <c r="Q9743" t="s">
        <v>1942</v>
      </c>
      <c r="R9743" t="s">
        <v>1943</v>
      </c>
      <c r="S9743" t="s">
        <v>1944</v>
      </c>
      <c r="T9743" t="s">
        <v>1945</v>
      </c>
      <c r="U9743" t="s">
        <v>1946</v>
      </c>
      <c r="V9743" t="s">
        <v>1947</v>
      </c>
      <c r="W9743" t="s">
        <v>1948</v>
      </c>
      <c r="X9743" t="s">
        <v>1949</v>
      </c>
      <c r="Y9743" t="s">
        <v>1950</v>
      </c>
      <c r="Z9743" t="s">
        <v>1951</v>
      </c>
      <c r="AA9743" t="s">
        <v>1952</v>
      </c>
      <c r="AB9743" t="s">
        <v>1953</v>
      </c>
      <c r="AC9743" t="s">
        <v>1954</v>
      </c>
      <c r="AD9743" t="s">
        <v>1955</v>
      </c>
      <c r="AE9743" t="s">
        <v>1956</v>
      </c>
      <c r="AF9743" t="s">
        <v>1957</v>
      </c>
      <c r="AG9743" t="s">
        <v>1958</v>
      </c>
      <c r="AH9743" t="s">
        <v>1959</v>
      </c>
      <c r="AI9743" t="s">
        <v>1960</v>
      </c>
      <c r="AJ9743" t="s">
        <v>1961</v>
      </c>
      <c r="AK9743" t="s">
        <v>1962</v>
      </c>
      <c r="AL9743" t="s">
        <v>1963</v>
      </c>
      <c r="AM9743" t="s">
        <v>1964</v>
      </c>
      <c r="AN9743" t="s">
        <v>1965</v>
      </c>
      <c r="AO9743" t="s">
        <v>1966</v>
      </c>
      <c r="AP9743" t="s">
        <v>1967</v>
      </c>
      <c r="AQ9743" t="s">
        <v>1968</v>
      </c>
      <c r="AR9743" t="s">
        <v>1969</v>
      </c>
      <c r="AS9743" t="s">
        <v>1970</v>
      </c>
      <c r="AT9743" t="s">
        <v>1971</v>
      </c>
      <c r="AU9743" t="s">
        <v>1972</v>
      </c>
      <c r="AV9743" t="s">
        <v>1973</v>
      </c>
      <c r="AW9743" t="s">
        <v>1974</v>
      </c>
      <c r="AX9743" t="s">
        <v>1975</v>
      </c>
      <c r="AY9743" t="s">
        <v>1976</v>
      </c>
      <c r="AZ9743" t="s">
        <v>1977</v>
      </c>
      <c r="BA9743" t="s">
        <v>1978</v>
      </c>
      <c r="BB9743" t="s">
        <v>1979</v>
      </c>
      <c r="BC9743" t="s">
        <v>1980</v>
      </c>
      <c r="BD9743" t="s">
        <v>193</v>
      </c>
    </row>
    <row r="9744" spans="1:56">
      <c r="A9744" t="s">
        <v>194</v>
      </c>
      <c r="B9744" t="s">
        <v>195</v>
      </c>
      <c r="C9744" t="s">
        <v>207</v>
      </c>
      <c r="D9744">
        <v>7826.081264149293</v>
      </c>
      <c r="E9744">
        <v>5000</v>
      </c>
      <c r="F9744">
        <v>375</v>
      </c>
      <c r="G9744">
        <v>50000</v>
      </c>
      <c r="H9744">
        <v>2893.025148941209</v>
      </c>
      <c r="I9744">
        <v>2050</v>
      </c>
      <c r="J9744">
        <v>100</v>
      </c>
      <c r="K9744">
        <v>11666.666666666701</v>
      </c>
      <c r="L9744">
        <v>10531.229234615081</v>
      </c>
      <c r="M9744">
        <v>16666.666666666701</v>
      </c>
      <c r="N9744">
        <v>1666.6666666666699</v>
      </c>
      <c r="O9744">
        <v>16666.666666666701</v>
      </c>
      <c r="P9744">
        <v>2557.858597568958</v>
      </c>
      <c r="Q9744">
        <v>3000</v>
      </c>
      <c r="R9744">
        <v>1666.6666666666699</v>
      </c>
      <c r="S9744">
        <v>5000</v>
      </c>
      <c r="T9744">
        <v>1765.882428488781</v>
      </c>
      <c r="U9744">
        <v>2000</v>
      </c>
      <c r="V9744">
        <v>333.33333333333297</v>
      </c>
      <c r="W9744">
        <v>6000</v>
      </c>
      <c r="X9744">
        <v>2972.3354448974878</v>
      </c>
      <c r="Y9744">
        <v>2666.6666666666702</v>
      </c>
      <c r="Z9744">
        <v>287.5</v>
      </c>
      <c r="AA9744">
        <v>8500</v>
      </c>
      <c r="AB9744">
        <v>2770.7404609144178</v>
      </c>
      <c r="AC9744">
        <v>1500</v>
      </c>
      <c r="AD9744">
        <v>86</v>
      </c>
      <c r="AE9744">
        <v>113333.33333333299</v>
      </c>
      <c r="AF9744">
        <v>93.75</v>
      </c>
      <c r="AG9744">
        <v>93.75</v>
      </c>
      <c r="AH9744">
        <v>93.75</v>
      </c>
      <c r="AI9744">
        <v>93.75</v>
      </c>
      <c r="AJ9744">
        <v>3115.957568859767</v>
      </c>
      <c r="AK9744">
        <v>5666.6666666666697</v>
      </c>
      <c r="AL9744">
        <v>1000</v>
      </c>
      <c r="AM9744">
        <v>8000</v>
      </c>
      <c r="AN9744">
        <v>2152.896850952166</v>
      </c>
      <c r="AO9744">
        <v>1500</v>
      </c>
      <c r="AP9744">
        <v>333.33333333333297</v>
      </c>
      <c r="AQ9744">
        <v>18250</v>
      </c>
      <c r="AR9744">
        <v>3117.4286778259038</v>
      </c>
      <c r="AS9744">
        <v>3333.3333333333298</v>
      </c>
      <c r="AT9744">
        <v>200</v>
      </c>
      <c r="AU9744">
        <v>10000</v>
      </c>
      <c r="AV9744">
        <v>2139.4832585367471</v>
      </c>
      <c r="AW9744">
        <v>3000</v>
      </c>
      <c r="AX9744">
        <v>285.71428571428601</v>
      </c>
      <c r="AY9744">
        <v>3000</v>
      </c>
      <c r="AZ9744">
        <v>2500</v>
      </c>
      <c r="BA9744">
        <v>2500</v>
      </c>
      <c r="BB9744">
        <v>2500</v>
      </c>
      <c r="BC9744">
        <v>2500</v>
      </c>
      <c r="BD9744">
        <v>1336</v>
      </c>
    </row>
    <row r="9745" spans="1:56">
      <c r="A9745" t="s">
        <v>194</v>
      </c>
      <c r="B9745" t="s">
        <v>195</v>
      </c>
      <c r="C9745" t="s">
        <v>209</v>
      </c>
      <c r="D9745">
        <v>9006.6274865699052</v>
      </c>
      <c r="E9745">
        <v>7000</v>
      </c>
      <c r="F9745">
        <v>533.33333333333303</v>
      </c>
      <c r="G9745">
        <v>52000</v>
      </c>
      <c r="H9745">
        <v>5435.0089817722665</v>
      </c>
      <c r="I9745">
        <v>5000</v>
      </c>
      <c r="J9745">
        <v>28.571428571428601</v>
      </c>
      <c r="K9745">
        <v>37000</v>
      </c>
      <c r="L9745">
        <v>14325.960669081731</v>
      </c>
      <c r="M9745">
        <v>15000</v>
      </c>
      <c r="N9745">
        <v>666.66666666666697</v>
      </c>
      <c r="O9745">
        <v>50000</v>
      </c>
      <c r="P9745">
        <v>1475.247847487781</v>
      </c>
      <c r="Q9745">
        <v>750</v>
      </c>
      <c r="R9745">
        <v>166.666666666667</v>
      </c>
      <c r="S9745">
        <v>13000</v>
      </c>
      <c r="T9745">
        <v>1960.945884677059</v>
      </c>
      <c r="U9745">
        <v>2000</v>
      </c>
      <c r="V9745">
        <v>333.33333333333297</v>
      </c>
      <c r="W9745">
        <v>8000</v>
      </c>
      <c r="X9745">
        <v>3584.803839261639</v>
      </c>
      <c r="Y9745">
        <v>2980</v>
      </c>
      <c r="Z9745">
        <v>540</v>
      </c>
      <c r="AA9745">
        <v>20000</v>
      </c>
      <c r="AB9745">
        <v>1477.760862562219</v>
      </c>
      <c r="AC9745">
        <v>875</v>
      </c>
      <c r="AD9745">
        <v>113.333333333333</v>
      </c>
      <c r="AE9745">
        <v>22000</v>
      </c>
      <c r="AF9745">
        <v>1771.4027396825641</v>
      </c>
      <c r="AG9745">
        <v>2500</v>
      </c>
      <c r="AH9745">
        <v>187.5</v>
      </c>
      <c r="AI9745">
        <v>2500</v>
      </c>
      <c r="AJ9745">
        <v>2551.3638371487068</v>
      </c>
      <c r="AK9745">
        <v>2000</v>
      </c>
      <c r="AL9745">
        <v>333.33333333333297</v>
      </c>
      <c r="AM9745">
        <v>10000</v>
      </c>
      <c r="AN9745">
        <v>2779.94211478944</v>
      </c>
      <c r="AO9745">
        <v>1100</v>
      </c>
      <c r="AP9745">
        <v>83.3333333333333</v>
      </c>
      <c r="AQ9745">
        <v>15000</v>
      </c>
      <c r="AR9745">
        <v>8817.4304767897556</v>
      </c>
      <c r="AS9745">
        <v>3500</v>
      </c>
      <c r="AT9745">
        <v>200</v>
      </c>
      <c r="AU9745">
        <v>75000</v>
      </c>
      <c r="AV9745">
        <v>1330.669101311702</v>
      </c>
      <c r="AW9745">
        <v>1333.3333333333301</v>
      </c>
      <c r="AX9745">
        <v>1320</v>
      </c>
      <c r="AY9745">
        <v>1333.3333333333301</v>
      </c>
      <c r="AZ9745">
        <v>9300.0072185572099</v>
      </c>
      <c r="BA9745">
        <v>15000</v>
      </c>
      <c r="BB9745">
        <v>466.66666666666703</v>
      </c>
      <c r="BC9745">
        <v>16666.666666666701</v>
      </c>
      <c r="BD9745">
        <v>1336</v>
      </c>
    </row>
    <row r="9746" spans="1:56">
      <c r="A9746" t="s">
        <v>194</v>
      </c>
      <c r="B9746" t="s">
        <v>199</v>
      </c>
      <c r="C9746" t="s">
        <v>207</v>
      </c>
      <c r="D9746">
        <v>10871.615191520559</v>
      </c>
      <c r="E9746">
        <v>6666.6666666666697</v>
      </c>
      <c r="F9746">
        <v>428.57142857142901</v>
      </c>
      <c r="G9746">
        <v>83500</v>
      </c>
      <c r="H9746">
        <v>5411.9236086474666</v>
      </c>
      <c r="I9746">
        <v>4000</v>
      </c>
      <c r="J9746">
        <v>166.666666666667</v>
      </c>
      <c r="K9746">
        <v>20000</v>
      </c>
      <c r="L9746">
        <v>21390.3402555676</v>
      </c>
      <c r="M9746">
        <v>12500</v>
      </c>
      <c r="N9746">
        <v>540</v>
      </c>
      <c r="O9746">
        <v>66666.666666666701</v>
      </c>
      <c r="P9746">
        <v>2228.139439890082</v>
      </c>
      <c r="Q9746">
        <v>2000</v>
      </c>
      <c r="R9746">
        <v>285.71428571428601</v>
      </c>
      <c r="S9746">
        <v>10000</v>
      </c>
      <c r="T9746">
        <v>1356.673834761192</v>
      </c>
      <c r="U9746">
        <v>1250</v>
      </c>
      <c r="V9746">
        <v>400</v>
      </c>
      <c r="W9746">
        <v>3000</v>
      </c>
      <c r="X9746">
        <v>2691.594873781256</v>
      </c>
      <c r="Y9746">
        <v>2000</v>
      </c>
      <c r="Z9746">
        <v>325</v>
      </c>
      <c r="AA9746">
        <v>12000</v>
      </c>
      <c r="AB9746">
        <v>1723.2332369691169</v>
      </c>
      <c r="AC9746">
        <v>833.33333333333303</v>
      </c>
      <c r="AD9746">
        <v>143.333333333333</v>
      </c>
      <c r="AE9746">
        <v>11000</v>
      </c>
      <c r="AF9746">
        <v>2312.4326082020771</v>
      </c>
      <c r="AG9746">
        <v>5000</v>
      </c>
      <c r="AH9746">
        <v>125</v>
      </c>
      <c r="AI9746">
        <v>6000</v>
      </c>
      <c r="AJ9746">
        <v>2617.0443787389099</v>
      </c>
      <c r="AK9746">
        <v>3000</v>
      </c>
      <c r="AL9746">
        <v>500</v>
      </c>
      <c r="AM9746">
        <v>12000</v>
      </c>
      <c r="AN9746">
        <v>1523.3289334898079</v>
      </c>
      <c r="AO9746">
        <v>1000</v>
      </c>
      <c r="AP9746">
        <v>100</v>
      </c>
      <c r="AQ9746">
        <v>10800</v>
      </c>
      <c r="AR9746">
        <v>1463.1997062810281</v>
      </c>
      <c r="AS9746">
        <v>2000</v>
      </c>
      <c r="AT9746">
        <v>500</v>
      </c>
      <c r="AU9746">
        <v>6666.6666666666697</v>
      </c>
      <c r="AV9746">
        <v>5479.308148644649</v>
      </c>
      <c r="AW9746">
        <v>3000</v>
      </c>
      <c r="AX9746">
        <v>3000</v>
      </c>
      <c r="AY9746">
        <v>8333.3333333333303</v>
      </c>
      <c r="AZ9746">
        <v>4627.546410216788</v>
      </c>
      <c r="BA9746">
        <v>23333.333333333299</v>
      </c>
      <c r="BB9746">
        <v>333.33333333333297</v>
      </c>
      <c r="BC9746">
        <v>23333.333333333299</v>
      </c>
      <c r="BD9746">
        <v>1336</v>
      </c>
    </row>
    <row r="9747" spans="1:56">
      <c r="A9747" t="s">
        <v>194</v>
      </c>
      <c r="B9747" t="s">
        <v>199</v>
      </c>
      <c r="C9747" t="s">
        <v>209</v>
      </c>
      <c r="D9747">
        <v>12801.39292173964</v>
      </c>
      <c r="E9747">
        <v>10000</v>
      </c>
      <c r="F9747">
        <v>400</v>
      </c>
      <c r="G9747">
        <v>250000</v>
      </c>
      <c r="H9747">
        <v>7872.4417809828647</v>
      </c>
      <c r="I9747">
        <v>5000</v>
      </c>
      <c r="J9747">
        <v>250</v>
      </c>
      <c r="K9747">
        <v>45000</v>
      </c>
      <c r="L9747">
        <v>25405.053222164559</v>
      </c>
      <c r="M9747">
        <v>10000</v>
      </c>
      <c r="N9747">
        <v>500</v>
      </c>
      <c r="O9747">
        <v>250000</v>
      </c>
      <c r="P9747">
        <v>2171.27488055914</v>
      </c>
      <c r="Q9747">
        <v>1666.6666666666699</v>
      </c>
      <c r="R9747">
        <v>166.666666666667</v>
      </c>
      <c r="S9747">
        <v>15000</v>
      </c>
      <c r="T9747">
        <v>1758.2741846650131</v>
      </c>
      <c r="U9747">
        <v>2000</v>
      </c>
      <c r="V9747">
        <v>333.33333333333297</v>
      </c>
      <c r="W9747">
        <v>8000</v>
      </c>
      <c r="X9747">
        <v>3537.763814059856</v>
      </c>
      <c r="Y9747">
        <v>3250</v>
      </c>
      <c r="Z9747">
        <v>312.5</v>
      </c>
      <c r="AA9747">
        <v>20000</v>
      </c>
      <c r="AB9747">
        <v>953.56383180073522</v>
      </c>
      <c r="AC9747">
        <v>286.66666666666703</v>
      </c>
      <c r="AD9747">
        <v>122.857142857143</v>
      </c>
      <c r="AE9747">
        <v>20000</v>
      </c>
      <c r="AF9747">
        <v>2622.3659476242028</v>
      </c>
      <c r="AG9747">
        <v>2666.6666666666702</v>
      </c>
      <c r="AH9747">
        <v>96.6666666666667</v>
      </c>
      <c r="AI9747">
        <v>11000</v>
      </c>
      <c r="AJ9747">
        <v>4279.9483813413153</v>
      </c>
      <c r="AK9747">
        <v>3333.3333333333298</v>
      </c>
      <c r="AL9747">
        <v>200</v>
      </c>
      <c r="AM9747">
        <v>30000</v>
      </c>
      <c r="AN9747">
        <v>3789.7238730266308</v>
      </c>
      <c r="AO9747">
        <v>3750</v>
      </c>
      <c r="AP9747">
        <v>87.5</v>
      </c>
      <c r="AQ9747">
        <v>21000</v>
      </c>
      <c r="AR9747">
        <v>4283.0199049843814</v>
      </c>
      <c r="AS9747">
        <v>2000</v>
      </c>
      <c r="AT9747">
        <v>400</v>
      </c>
      <c r="AU9747">
        <v>100000</v>
      </c>
      <c r="AV9747">
        <v>3495.6373102266671</v>
      </c>
      <c r="AW9747">
        <v>3600</v>
      </c>
      <c r="AX9747">
        <v>2500</v>
      </c>
      <c r="AY9747">
        <v>3600</v>
      </c>
      <c r="AZ9747">
        <v>3403.1415127170758</v>
      </c>
      <c r="BA9747">
        <v>1566.6666666666699</v>
      </c>
      <c r="BB9747">
        <v>240</v>
      </c>
      <c r="BC9747">
        <v>17500</v>
      </c>
      <c r="BD9747">
        <v>1336</v>
      </c>
    </row>
    <row r="9748" spans="1:56">
      <c r="A9748" t="s">
        <v>200</v>
      </c>
      <c r="B9748" t="s">
        <v>200</v>
      </c>
      <c r="C9748" t="s">
        <v>200</v>
      </c>
      <c r="D9748">
        <v>11165.2535358478</v>
      </c>
      <c r="E9748">
        <v>8100</v>
      </c>
      <c r="F9748">
        <v>375</v>
      </c>
      <c r="G9748">
        <v>250000</v>
      </c>
      <c r="H9748">
        <v>6324.2773253692922</v>
      </c>
      <c r="I9748">
        <v>5000</v>
      </c>
      <c r="J9748">
        <v>28.571428571428601</v>
      </c>
      <c r="K9748">
        <v>45000</v>
      </c>
      <c r="L9748">
        <v>22424.035487214169</v>
      </c>
      <c r="M9748">
        <v>12500</v>
      </c>
      <c r="N9748">
        <v>500</v>
      </c>
      <c r="O9748">
        <v>250000</v>
      </c>
      <c r="P9748">
        <v>1930.9837390009279</v>
      </c>
      <c r="Q9748">
        <v>1500</v>
      </c>
      <c r="R9748">
        <v>166.666666666667</v>
      </c>
      <c r="S9748">
        <v>15000</v>
      </c>
      <c r="T9748">
        <v>1883.8547115085821</v>
      </c>
      <c r="U9748">
        <v>2000</v>
      </c>
      <c r="V9748">
        <v>333.33333333333297</v>
      </c>
      <c r="W9748">
        <v>8000</v>
      </c>
      <c r="X9748">
        <v>3309.2095672676551</v>
      </c>
      <c r="Y9748">
        <v>2850</v>
      </c>
      <c r="Z9748">
        <v>287.5</v>
      </c>
      <c r="AA9748">
        <v>20000</v>
      </c>
      <c r="AB9748">
        <v>1520.4792925208751</v>
      </c>
      <c r="AC9748">
        <v>750</v>
      </c>
      <c r="AD9748">
        <v>86</v>
      </c>
      <c r="AE9748">
        <v>113333.33333333299</v>
      </c>
      <c r="AF9748">
        <v>2412.867543016428</v>
      </c>
      <c r="AG9748">
        <v>2600</v>
      </c>
      <c r="AH9748">
        <v>93.75</v>
      </c>
      <c r="AI9748">
        <v>11000</v>
      </c>
      <c r="AJ9748">
        <v>3501.6474306016362</v>
      </c>
      <c r="AK9748">
        <v>2500</v>
      </c>
      <c r="AL9748">
        <v>200</v>
      </c>
      <c r="AM9748">
        <v>30000</v>
      </c>
      <c r="AN9748">
        <v>2855.1426053542832</v>
      </c>
      <c r="AO9748">
        <v>1000</v>
      </c>
      <c r="AP9748">
        <v>83.3333333333333</v>
      </c>
      <c r="AQ9748">
        <v>21000</v>
      </c>
      <c r="AR9748">
        <v>5558.8396237689731</v>
      </c>
      <c r="AS9748">
        <v>2500</v>
      </c>
      <c r="AT9748">
        <v>200</v>
      </c>
      <c r="AU9748">
        <v>100000</v>
      </c>
      <c r="AV9748">
        <v>2397.7487721124221</v>
      </c>
      <c r="AW9748">
        <v>3000</v>
      </c>
      <c r="AX9748">
        <v>285.71428571428601</v>
      </c>
      <c r="AY9748">
        <v>8333.3333333333303</v>
      </c>
      <c r="AZ9748">
        <v>5856.8204865562921</v>
      </c>
      <c r="BA9748">
        <v>2500</v>
      </c>
      <c r="BB9748">
        <v>240</v>
      </c>
      <c r="BC9748">
        <v>23333.333333333299</v>
      </c>
      <c r="BD9748">
        <v>1336</v>
      </c>
    </row>
    <row r="9750" spans="1:56" ht="45">
      <c r="A9750" s="22" t="s">
        <v>1983</v>
      </c>
    </row>
    <row r="9751" spans="1:56">
      <c r="A9751" t="s">
        <v>184</v>
      </c>
      <c r="B9751" t="s">
        <v>185</v>
      </c>
      <c r="C9751" t="s">
        <v>1929</v>
      </c>
      <c r="D9751" t="s">
        <v>1930</v>
      </c>
      <c r="E9751" t="s">
        <v>1931</v>
      </c>
      <c r="F9751" t="s">
        <v>1932</v>
      </c>
      <c r="G9751" t="s">
        <v>1933</v>
      </c>
      <c r="H9751" t="s">
        <v>1934</v>
      </c>
      <c r="I9751" t="s">
        <v>1935</v>
      </c>
      <c r="J9751" t="s">
        <v>1936</v>
      </c>
      <c r="K9751" t="s">
        <v>1937</v>
      </c>
      <c r="L9751" t="s">
        <v>1938</v>
      </c>
      <c r="M9751" t="s">
        <v>1939</v>
      </c>
      <c r="N9751" t="s">
        <v>1940</v>
      </c>
      <c r="O9751" t="s">
        <v>1941</v>
      </c>
      <c r="P9751" t="s">
        <v>1942</v>
      </c>
      <c r="Q9751" t="s">
        <v>1943</v>
      </c>
      <c r="R9751" t="s">
        <v>1944</v>
      </c>
      <c r="S9751" t="s">
        <v>1945</v>
      </c>
      <c r="T9751" t="s">
        <v>1946</v>
      </c>
      <c r="U9751" t="s">
        <v>1947</v>
      </c>
      <c r="V9751" t="s">
        <v>1948</v>
      </c>
      <c r="W9751" t="s">
        <v>1949</v>
      </c>
      <c r="X9751" t="s">
        <v>1950</v>
      </c>
      <c r="Y9751" t="s">
        <v>1951</v>
      </c>
      <c r="Z9751" t="s">
        <v>1952</v>
      </c>
      <c r="AA9751" t="s">
        <v>1953</v>
      </c>
      <c r="AB9751" t="s">
        <v>1954</v>
      </c>
      <c r="AC9751" t="s">
        <v>1955</v>
      </c>
      <c r="AD9751" t="s">
        <v>1956</v>
      </c>
      <c r="AE9751" t="s">
        <v>1957</v>
      </c>
      <c r="AF9751" t="s">
        <v>1958</v>
      </c>
      <c r="AG9751" t="s">
        <v>1959</v>
      </c>
      <c r="AH9751" t="s">
        <v>1960</v>
      </c>
      <c r="AI9751" t="s">
        <v>1961</v>
      </c>
      <c r="AJ9751" t="s">
        <v>1962</v>
      </c>
      <c r="AK9751" t="s">
        <v>1963</v>
      </c>
      <c r="AL9751" t="s">
        <v>1964</v>
      </c>
      <c r="AM9751" t="s">
        <v>1965</v>
      </c>
      <c r="AN9751" t="s">
        <v>1966</v>
      </c>
      <c r="AO9751" t="s">
        <v>1967</v>
      </c>
      <c r="AP9751" t="s">
        <v>1968</v>
      </c>
      <c r="AQ9751" t="s">
        <v>1969</v>
      </c>
      <c r="AR9751" t="s">
        <v>1970</v>
      </c>
      <c r="AS9751" t="s">
        <v>1971</v>
      </c>
      <c r="AT9751" t="s">
        <v>1972</v>
      </c>
      <c r="AU9751" t="s">
        <v>1973</v>
      </c>
      <c r="AV9751" t="s">
        <v>1974</v>
      </c>
      <c r="AW9751" t="s">
        <v>1975</v>
      </c>
      <c r="AX9751" t="s">
        <v>1976</v>
      </c>
      <c r="AY9751" t="s">
        <v>1977</v>
      </c>
      <c r="AZ9751" t="s">
        <v>1978</v>
      </c>
      <c r="BA9751" t="s">
        <v>1979</v>
      </c>
      <c r="BB9751" t="s">
        <v>1980</v>
      </c>
      <c r="BC9751" t="s">
        <v>193</v>
      </c>
    </row>
    <row r="9752" spans="1:56">
      <c r="A9752" t="s">
        <v>194</v>
      </c>
      <c r="B9752" t="s">
        <v>195</v>
      </c>
      <c r="C9752">
        <v>8775.8101847378493</v>
      </c>
      <c r="D9752">
        <v>6666.6666666666697</v>
      </c>
      <c r="E9752">
        <v>375</v>
      </c>
      <c r="F9752">
        <v>52000</v>
      </c>
      <c r="G9752">
        <v>5095.0927750659339</v>
      </c>
      <c r="H9752">
        <v>4000</v>
      </c>
      <c r="I9752">
        <v>28.571428571428601</v>
      </c>
      <c r="J9752">
        <v>37000</v>
      </c>
      <c r="K9752">
        <v>13453.6938666442</v>
      </c>
      <c r="L9752">
        <v>13333.333333333299</v>
      </c>
      <c r="M9752">
        <v>666.66666666666697</v>
      </c>
      <c r="N9752">
        <v>50000</v>
      </c>
      <c r="O9752">
        <v>1636.743060497178</v>
      </c>
      <c r="P9752">
        <v>1500</v>
      </c>
      <c r="Q9752">
        <v>166.666666666667</v>
      </c>
      <c r="R9752">
        <v>13000</v>
      </c>
      <c r="S9752">
        <v>1902.134782721485</v>
      </c>
      <c r="T9752">
        <v>2000</v>
      </c>
      <c r="U9752">
        <v>333.33333333333297</v>
      </c>
      <c r="V9752">
        <v>8000</v>
      </c>
      <c r="W9752">
        <v>3310.060045816153</v>
      </c>
      <c r="X9752">
        <v>2800</v>
      </c>
      <c r="Y9752">
        <v>287.5</v>
      </c>
      <c r="Z9752">
        <v>20000</v>
      </c>
      <c r="AA9752">
        <v>1956.5743203344209</v>
      </c>
      <c r="AB9752">
        <v>1127</v>
      </c>
      <c r="AC9752">
        <v>86</v>
      </c>
      <c r="AD9752">
        <v>113333.33333333299</v>
      </c>
      <c r="AE9752">
        <v>170.91004036054159</v>
      </c>
      <c r="AF9752">
        <v>187.5</v>
      </c>
      <c r="AG9752">
        <v>93.75</v>
      </c>
      <c r="AH9752">
        <v>2500</v>
      </c>
      <c r="AI9752">
        <v>2690.8362703732109</v>
      </c>
      <c r="AJ9752">
        <v>2000</v>
      </c>
      <c r="AK9752">
        <v>333.33333333333297</v>
      </c>
      <c r="AL9752">
        <v>10000</v>
      </c>
      <c r="AM9752">
        <v>2741.188771009754</v>
      </c>
      <c r="AN9752">
        <v>1100</v>
      </c>
      <c r="AO9752">
        <v>83.3333333333333</v>
      </c>
      <c r="AP9752">
        <v>18250</v>
      </c>
      <c r="AQ9752">
        <v>7814.2002267673552</v>
      </c>
      <c r="AR9752">
        <v>3333.3333333333298</v>
      </c>
      <c r="AS9752">
        <v>200</v>
      </c>
      <c r="AT9752">
        <v>75000</v>
      </c>
      <c r="AU9752">
        <v>2041.468107897545</v>
      </c>
      <c r="AV9752">
        <v>3000</v>
      </c>
      <c r="AW9752">
        <v>285.71428571428601</v>
      </c>
      <c r="AX9752">
        <v>3000</v>
      </c>
      <c r="AY9752">
        <v>8806.2692635883068</v>
      </c>
      <c r="AZ9752">
        <v>15000</v>
      </c>
      <c r="BA9752">
        <v>466.66666666666703</v>
      </c>
      <c r="BB9752">
        <v>16666.666666666701</v>
      </c>
      <c r="BC9752">
        <v>1336</v>
      </c>
    </row>
    <row r="9753" spans="1:56">
      <c r="A9753" t="s">
        <v>194</v>
      </c>
      <c r="B9753" t="s">
        <v>199</v>
      </c>
      <c r="C9753">
        <v>12556.05248450931</v>
      </c>
      <c r="D9753">
        <v>9250</v>
      </c>
      <c r="E9753">
        <v>400</v>
      </c>
      <c r="F9753">
        <v>250000</v>
      </c>
      <c r="G9753">
        <v>7650.3696512096194</v>
      </c>
      <c r="H9753">
        <v>5000</v>
      </c>
      <c r="I9753">
        <v>166.666666666667</v>
      </c>
      <c r="J9753">
        <v>45000</v>
      </c>
      <c r="K9753">
        <v>24654.88746837667</v>
      </c>
      <c r="L9753">
        <v>12500</v>
      </c>
      <c r="M9753">
        <v>500</v>
      </c>
      <c r="N9753">
        <v>250000</v>
      </c>
      <c r="O9753">
        <v>2173.3126622248592</v>
      </c>
      <c r="P9753">
        <v>1333.3333333333301</v>
      </c>
      <c r="Q9753">
        <v>166.666666666667</v>
      </c>
      <c r="R9753">
        <v>15000</v>
      </c>
      <c r="S9753">
        <v>1597.96832128956</v>
      </c>
      <c r="T9753">
        <v>2000</v>
      </c>
      <c r="U9753">
        <v>333.33333333333297</v>
      </c>
      <c r="V9753">
        <v>8000</v>
      </c>
      <c r="W9753">
        <v>3308.3100654510899</v>
      </c>
      <c r="X9753">
        <v>3000</v>
      </c>
      <c r="Y9753">
        <v>312.5</v>
      </c>
      <c r="Z9753">
        <v>20000</v>
      </c>
      <c r="AA9753">
        <v>1058.0326817820289</v>
      </c>
      <c r="AB9753">
        <v>333.33333333333297</v>
      </c>
      <c r="AC9753">
        <v>122.857142857143</v>
      </c>
      <c r="AD9753">
        <v>20000</v>
      </c>
      <c r="AE9753">
        <v>2613.4236730591242</v>
      </c>
      <c r="AF9753">
        <v>2666.6666666666702</v>
      </c>
      <c r="AG9753">
        <v>96.6666666666667</v>
      </c>
      <c r="AH9753">
        <v>11000</v>
      </c>
      <c r="AI9753">
        <v>4074.9395449649342</v>
      </c>
      <c r="AJ9753">
        <v>3000</v>
      </c>
      <c r="AK9753">
        <v>200</v>
      </c>
      <c r="AL9753">
        <v>30000</v>
      </c>
      <c r="AM9753">
        <v>3202.149264813535</v>
      </c>
      <c r="AN9753">
        <v>1500</v>
      </c>
      <c r="AO9753">
        <v>87.5</v>
      </c>
      <c r="AP9753">
        <v>21000</v>
      </c>
      <c r="AQ9753">
        <v>3708.6262091587141</v>
      </c>
      <c r="AR9753">
        <v>1666.6666666666699</v>
      </c>
      <c r="AS9753">
        <v>400</v>
      </c>
      <c r="AT9753">
        <v>100000</v>
      </c>
      <c r="AU9753">
        <v>4806.2038358928476</v>
      </c>
      <c r="AV9753">
        <v>8333.3333333333303</v>
      </c>
      <c r="AW9753">
        <v>2500</v>
      </c>
      <c r="AX9753">
        <v>8333.3333333333303</v>
      </c>
      <c r="AY9753">
        <v>3687.7864677766188</v>
      </c>
      <c r="AZ9753">
        <v>1566.6666666666699</v>
      </c>
      <c r="BA9753">
        <v>240</v>
      </c>
      <c r="BB9753">
        <v>23333.333333333299</v>
      </c>
      <c r="BC9753">
        <v>1336</v>
      </c>
    </row>
    <row r="9754" spans="1:56">
      <c r="A9754" t="s">
        <v>200</v>
      </c>
      <c r="B9754" t="s">
        <v>200</v>
      </c>
      <c r="C9754">
        <v>11165.2535358478</v>
      </c>
      <c r="D9754">
        <v>8100</v>
      </c>
      <c r="E9754">
        <v>375</v>
      </c>
      <c r="F9754">
        <v>250000</v>
      </c>
      <c r="G9754">
        <v>6324.2773253692922</v>
      </c>
      <c r="H9754">
        <v>5000</v>
      </c>
      <c r="I9754">
        <v>28.571428571428601</v>
      </c>
      <c r="J9754">
        <v>45000</v>
      </c>
      <c r="K9754">
        <v>22424.035487214169</v>
      </c>
      <c r="L9754">
        <v>12500</v>
      </c>
      <c r="M9754">
        <v>500</v>
      </c>
      <c r="N9754">
        <v>250000</v>
      </c>
      <c r="O9754">
        <v>1930.9837390009279</v>
      </c>
      <c r="P9754">
        <v>1500</v>
      </c>
      <c r="Q9754">
        <v>166.666666666667</v>
      </c>
      <c r="R9754">
        <v>15000</v>
      </c>
      <c r="S9754">
        <v>1883.8547115085821</v>
      </c>
      <c r="T9754">
        <v>2000</v>
      </c>
      <c r="U9754">
        <v>333.33333333333297</v>
      </c>
      <c r="V9754">
        <v>8000</v>
      </c>
      <c r="W9754">
        <v>3309.2095672676551</v>
      </c>
      <c r="X9754">
        <v>2850</v>
      </c>
      <c r="Y9754">
        <v>287.5</v>
      </c>
      <c r="Z9754">
        <v>20000</v>
      </c>
      <c r="AA9754">
        <v>1520.4792925208751</v>
      </c>
      <c r="AB9754">
        <v>750</v>
      </c>
      <c r="AC9754">
        <v>86</v>
      </c>
      <c r="AD9754">
        <v>113333.33333333299</v>
      </c>
      <c r="AE9754">
        <v>2412.867543016428</v>
      </c>
      <c r="AF9754">
        <v>2600</v>
      </c>
      <c r="AG9754">
        <v>93.75</v>
      </c>
      <c r="AH9754">
        <v>11000</v>
      </c>
      <c r="AI9754">
        <v>3501.6474306016362</v>
      </c>
      <c r="AJ9754">
        <v>2500</v>
      </c>
      <c r="AK9754">
        <v>200</v>
      </c>
      <c r="AL9754">
        <v>30000</v>
      </c>
      <c r="AM9754">
        <v>2855.1426053542832</v>
      </c>
      <c r="AN9754">
        <v>1000</v>
      </c>
      <c r="AO9754">
        <v>83.3333333333333</v>
      </c>
      <c r="AP9754">
        <v>21000</v>
      </c>
      <c r="AQ9754">
        <v>5558.8396237689731</v>
      </c>
      <c r="AR9754">
        <v>2500</v>
      </c>
      <c r="AS9754">
        <v>200</v>
      </c>
      <c r="AT9754">
        <v>100000</v>
      </c>
      <c r="AU9754">
        <v>2397.7487721124221</v>
      </c>
      <c r="AV9754">
        <v>3000</v>
      </c>
      <c r="AW9754">
        <v>285.71428571428601</v>
      </c>
      <c r="AX9754">
        <v>8333.3333333333303</v>
      </c>
      <c r="AY9754">
        <v>5856.8204865562921</v>
      </c>
      <c r="AZ9754">
        <v>2500</v>
      </c>
      <c r="BA9754">
        <v>240</v>
      </c>
      <c r="BB9754">
        <v>23333.333333333299</v>
      </c>
      <c r="BC9754">
        <v>1336</v>
      </c>
    </row>
    <row r="9756" spans="1:56" ht="45">
      <c r="A9756" s="22" t="s">
        <v>1984</v>
      </c>
    </row>
    <row r="9757" spans="1:56">
      <c r="A9757" t="s">
        <v>184</v>
      </c>
      <c r="B9757" t="s">
        <v>185</v>
      </c>
      <c r="C9757" t="s">
        <v>186</v>
      </c>
      <c r="D9757" t="s">
        <v>1929</v>
      </c>
      <c r="E9757" t="s">
        <v>1930</v>
      </c>
      <c r="F9757" t="s">
        <v>1931</v>
      </c>
      <c r="G9757" t="s">
        <v>1932</v>
      </c>
      <c r="H9757" t="s">
        <v>1933</v>
      </c>
      <c r="I9757" t="s">
        <v>1934</v>
      </c>
      <c r="J9757" t="s">
        <v>1935</v>
      </c>
      <c r="K9757" t="s">
        <v>1936</v>
      </c>
      <c r="L9757" t="s">
        <v>1937</v>
      </c>
      <c r="M9757" t="s">
        <v>1938</v>
      </c>
      <c r="N9757" t="s">
        <v>1939</v>
      </c>
      <c r="O9757" t="s">
        <v>1940</v>
      </c>
      <c r="P9757" t="s">
        <v>1941</v>
      </c>
      <c r="Q9757" t="s">
        <v>1942</v>
      </c>
      <c r="R9757" t="s">
        <v>1943</v>
      </c>
      <c r="S9757" t="s">
        <v>1944</v>
      </c>
      <c r="T9757" t="s">
        <v>1945</v>
      </c>
      <c r="U9757" t="s">
        <v>1946</v>
      </c>
      <c r="V9757" t="s">
        <v>1947</v>
      </c>
      <c r="W9757" t="s">
        <v>1948</v>
      </c>
      <c r="X9757" t="s">
        <v>1949</v>
      </c>
      <c r="Y9757" t="s">
        <v>1950</v>
      </c>
      <c r="Z9757" t="s">
        <v>1951</v>
      </c>
      <c r="AA9757" t="s">
        <v>1952</v>
      </c>
      <c r="AB9757" t="s">
        <v>1953</v>
      </c>
      <c r="AC9757" t="s">
        <v>1954</v>
      </c>
      <c r="AD9757" t="s">
        <v>1955</v>
      </c>
      <c r="AE9757" t="s">
        <v>1956</v>
      </c>
      <c r="AF9757" t="s">
        <v>1957</v>
      </c>
      <c r="AG9757" t="s">
        <v>1958</v>
      </c>
      <c r="AH9757" t="s">
        <v>1959</v>
      </c>
      <c r="AI9757" t="s">
        <v>1960</v>
      </c>
      <c r="AJ9757" t="s">
        <v>1961</v>
      </c>
      <c r="AK9757" t="s">
        <v>1962</v>
      </c>
      <c r="AL9757" t="s">
        <v>1963</v>
      </c>
      <c r="AM9757" t="s">
        <v>1964</v>
      </c>
      <c r="AN9757" t="s">
        <v>1965</v>
      </c>
      <c r="AO9757" t="s">
        <v>1966</v>
      </c>
      <c r="AP9757" t="s">
        <v>1967</v>
      </c>
      <c r="AQ9757" t="s">
        <v>1968</v>
      </c>
      <c r="AR9757" t="s">
        <v>1969</v>
      </c>
      <c r="AS9757" t="s">
        <v>1970</v>
      </c>
      <c r="AT9757" t="s">
        <v>1971</v>
      </c>
      <c r="AU9757" t="s">
        <v>1972</v>
      </c>
      <c r="AV9757" t="s">
        <v>1973</v>
      </c>
      <c r="AW9757" t="s">
        <v>1974</v>
      </c>
      <c r="AX9757" t="s">
        <v>1975</v>
      </c>
      <c r="AY9757" t="s">
        <v>1976</v>
      </c>
      <c r="AZ9757" t="s">
        <v>1977</v>
      </c>
      <c r="BA9757" t="s">
        <v>1978</v>
      </c>
      <c r="BB9757" t="s">
        <v>1979</v>
      </c>
      <c r="BC9757" t="s">
        <v>1980</v>
      </c>
      <c r="BD9757" t="s">
        <v>193</v>
      </c>
    </row>
    <row r="9758" spans="1:56">
      <c r="A9758" t="s">
        <v>194</v>
      </c>
      <c r="B9758" t="s">
        <v>195</v>
      </c>
      <c r="C9758" t="s">
        <v>212</v>
      </c>
      <c r="D9758">
        <v>8440.853289498109</v>
      </c>
      <c r="E9758">
        <v>6666.6666666666697</v>
      </c>
      <c r="F9758">
        <v>533.33333333333303</v>
      </c>
      <c r="G9758">
        <v>50000</v>
      </c>
      <c r="H9758">
        <v>5100.150581005817</v>
      </c>
      <c r="I9758">
        <v>4000</v>
      </c>
      <c r="J9758">
        <v>66.6666666666667</v>
      </c>
      <c r="K9758">
        <v>20000</v>
      </c>
      <c r="L9758">
        <v>9471.507475508939</v>
      </c>
      <c r="M9758">
        <v>13333.333333333299</v>
      </c>
      <c r="N9758">
        <v>1500</v>
      </c>
      <c r="O9758">
        <v>30000</v>
      </c>
      <c r="P9758">
        <v>1667.913556556307</v>
      </c>
      <c r="Q9758">
        <v>2333.3333333333298</v>
      </c>
      <c r="R9758">
        <v>166.666666666667</v>
      </c>
      <c r="S9758">
        <v>5000</v>
      </c>
      <c r="T9758">
        <v>1882.3476765566841</v>
      </c>
      <c r="U9758">
        <v>2000</v>
      </c>
      <c r="V9758">
        <v>500</v>
      </c>
      <c r="W9758">
        <v>8000</v>
      </c>
      <c r="X9758">
        <v>2926.5848597114218</v>
      </c>
      <c r="Y9758">
        <v>2233.3333333333298</v>
      </c>
      <c r="Z9758">
        <v>575</v>
      </c>
      <c r="AA9758">
        <v>10000</v>
      </c>
      <c r="AB9758">
        <v>1967.377985744376</v>
      </c>
      <c r="AC9758">
        <v>1000</v>
      </c>
      <c r="AD9758">
        <v>113.333333333333</v>
      </c>
      <c r="AE9758">
        <v>113333.33333333299</v>
      </c>
      <c r="AF9758">
        <v>170.66610156748399</v>
      </c>
      <c r="AG9758">
        <v>93.75</v>
      </c>
      <c r="AH9758">
        <v>93.75</v>
      </c>
      <c r="AI9758">
        <v>2500</v>
      </c>
      <c r="AJ9758">
        <v>2845.165865291151</v>
      </c>
      <c r="AK9758">
        <v>2500</v>
      </c>
      <c r="AL9758">
        <v>333.33333333333297</v>
      </c>
      <c r="AM9758">
        <v>10000</v>
      </c>
      <c r="AN9758">
        <v>2855.6271358805989</v>
      </c>
      <c r="AO9758">
        <v>1100</v>
      </c>
      <c r="AP9758">
        <v>150</v>
      </c>
      <c r="AQ9758">
        <v>18250</v>
      </c>
      <c r="AR9758">
        <v>9292.8507648465456</v>
      </c>
      <c r="AS9758">
        <v>3333.3333333333298</v>
      </c>
      <c r="AT9758">
        <v>350</v>
      </c>
      <c r="AU9758">
        <v>75000</v>
      </c>
      <c r="AV9758">
        <v>1051.899718297419</v>
      </c>
      <c r="AW9758">
        <v>1333.3333333333301</v>
      </c>
      <c r="AX9758">
        <v>500</v>
      </c>
      <c r="AY9758">
        <v>1333.3333333333301</v>
      </c>
      <c r="AZ9758">
        <v>8980.0511615659416</v>
      </c>
      <c r="BA9758">
        <v>16666.666666666701</v>
      </c>
      <c r="BB9758">
        <v>466.66666666666703</v>
      </c>
      <c r="BC9758">
        <v>16666.666666666701</v>
      </c>
      <c r="BD9758">
        <v>1336</v>
      </c>
    </row>
    <row r="9759" spans="1:56">
      <c r="A9759" t="s">
        <v>194</v>
      </c>
      <c r="B9759" t="s">
        <v>195</v>
      </c>
      <c r="C9759" t="s">
        <v>214</v>
      </c>
      <c r="D9759">
        <v>16870.46414340696</v>
      </c>
      <c r="E9759">
        <v>15000</v>
      </c>
      <c r="F9759">
        <v>1600</v>
      </c>
      <c r="G9759">
        <v>52000</v>
      </c>
      <c r="H9759">
        <v>6441.7445701956922</v>
      </c>
      <c r="I9759">
        <v>6100</v>
      </c>
      <c r="J9759">
        <v>1000</v>
      </c>
      <c r="K9759">
        <v>37000</v>
      </c>
      <c r="L9759">
        <v>32461.724838016009</v>
      </c>
      <c r="M9759">
        <v>50000</v>
      </c>
      <c r="N9759">
        <v>15000</v>
      </c>
      <c r="O9759">
        <v>50000</v>
      </c>
      <c r="P9759">
        <v>13000</v>
      </c>
      <c r="Q9759">
        <v>13000</v>
      </c>
      <c r="R9759">
        <v>13000</v>
      </c>
      <c r="S9759">
        <v>13000</v>
      </c>
      <c r="T9759">
        <v>2077.3234357582542</v>
      </c>
      <c r="U9759">
        <v>2000</v>
      </c>
      <c r="V9759">
        <v>2000</v>
      </c>
      <c r="W9759">
        <v>6000</v>
      </c>
      <c r="X9759">
        <v>5247.4600106067128</v>
      </c>
      <c r="Y9759">
        <v>4000</v>
      </c>
      <c r="Z9759">
        <v>2300</v>
      </c>
      <c r="AA9759">
        <v>20000</v>
      </c>
      <c r="AB9759">
        <v>3390.2644142339232</v>
      </c>
      <c r="AC9759">
        <v>2000</v>
      </c>
      <c r="AD9759">
        <v>300</v>
      </c>
      <c r="AE9759">
        <v>22000</v>
      </c>
      <c r="AJ9759">
        <v>4636.6849932656496</v>
      </c>
      <c r="AK9759">
        <v>6000</v>
      </c>
      <c r="AL9759">
        <v>2000</v>
      </c>
      <c r="AM9759">
        <v>10000</v>
      </c>
      <c r="AN9759">
        <v>1463.9090170477971</v>
      </c>
      <c r="AO9759">
        <v>1500</v>
      </c>
      <c r="AP9759">
        <v>500</v>
      </c>
      <c r="AQ9759">
        <v>10800</v>
      </c>
      <c r="AR9759">
        <v>5055.950612861182</v>
      </c>
      <c r="AS9759">
        <v>5000</v>
      </c>
      <c r="AT9759">
        <v>200</v>
      </c>
      <c r="AU9759">
        <v>10000</v>
      </c>
      <c r="AV9759">
        <v>3000</v>
      </c>
      <c r="AW9759">
        <v>3000</v>
      </c>
      <c r="AX9759">
        <v>3000</v>
      </c>
      <c r="AY9759">
        <v>3000</v>
      </c>
      <c r="AZ9759">
        <v>8113.1882199488518</v>
      </c>
      <c r="BA9759">
        <v>9000</v>
      </c>
      <c r="BB9759">
        <v>4000</v>
      </c>
      <c r="BC9759">
        <v>9000</v>
      </c>
      <c r="BD9759">
        <v>1336</v>
      </c>
    </row>
    <row r="9760" spans="1:56">
      <c r="A9760" t="s">
        <v>194</v>
      </c>
      <c r="B9760" t="s">
        <v>195</v>
      </c>
      <c r="C9760" t="s">
        <v>215</v>
      </c>
      <c r="D9760">
        <v>4319.5181826268436</v>
      </c>
      <c r="E9760">
        <v>3333.3333333333298</v>
      </c>
      <c r="F9760">
        <v>375</v>
      </c>
      <c r="G9760">
        <v>12000</v>
      </c>
      <c r="H9760">
        <v>2054.618738359904</v>
      </c>
      <c r="I9760">
        <v>1000</v>
      </c>
      <c r="J9760">
        <v>28.571428571428601</v>
      </c>
      <c r="K9760">
        <v>9000</v>
      </c>
      <c r="L9760">
        <v>2119.3473305203802</v>
      </c>
      <c r="M9760">
        <v>3000</v>
      </c>
      <c r="N9760">
        <v>666.66666666666697</v>
      </c>
      <c r="O9760">
        <v>4000</v>
      </c>
      <c r="P9760">
        <v>593.44708605986807</v>
      </c>
      <c r="Q9760">
        <v>800</v>
      </c>
      <c r="R9760">
        <v>333.33333333333297</v>
      </c>
      <c r="S9760">
        <v>1166.6666666666699</v>
      </c>
      <c r="T9760">
        <v>1801.746623123842</v>
      </c>
      <c r="U9760">
        <v>2000</v>
      </c>
      <c r="V9760">
        <v>333.33333333333297</v>
      </c>
      <c r="W9760">
        <v>3000</v>
      </c>
      <c r="X9760">
        <v>973.88306526639678</v>
      </c>
      <c r="Y9760">
        <v>971.42857142857099</v>
      </c>
      <c r="Z9760">
        <v>287.5</v>
      </c>
      <c r="AA9760">
        <v>2071.4285714285702</v>
      </c>
      <c r="AB9760">
        <v>1113.250783899382</v>
      </c>
      <c r="AC9760">
        <v>1000</v>
      </c>
      <c r="AD9760">
        <v>86</v>
      </c>
      <c r="AE9760">
        <v>3666.6666666666702</v>
      </c>
      <c r="AF9760">
        <v>187.5</v>
      </c>
      <c r="AG9760">
        <v>187.5</v>
      </c>
      <c r="AH9760">
        <v>187.5</v>
      </c>
      <c r="AI9760">
        <v>187.5</v>
      </c>
      <c r="AJ9760">
        <v>704.92074037240582</v>
      </c>
      <c r="AK9760">
        <v>600</v>
      </c>
      <c r="AL9760">
        <v>428.57142857142901</v>
      </c>
      <c r="AM9760">
        <v>2000</v>
      </c>
      <c r="AN9760">
        <v>4227.6990942668144</v>
      </c>
      <c r="AO9760">
        <v>6600</v>
      </c>
      <c r="AP9760">
        <v>83.3333333333333</v>
      </c>
      <c r="AQ9760">
        <v>6600</v>
      </c>
      <c r="AR9760">
        <v>2337.3627490700328</v>
      </c>
      <c r="AS9760">
        <v>1200</v>
      </c>
      <c r="AT9760">
        <v>200</v>
      </c>
      <c r="AU9760">
        <v>7142.8571428571404</v>
      </c>
      <c r="AV9760">
        <v>383.05759987331561</v>
      </c>
      <c r="AW9760">
        <v>285.71428571428601</v>
      </c>
      <c r="AX9760">
        <v>285.71428571428601</v>
      </c>
      <c r="AY9760">
        <v>1320</v>
      </c>
      <c r="BD9760">
        <v>1336</v>
      </c>
    </row>
    <row r="9761" spans="1:56">
      <c r="A9761" t="s">
        <v>194</v>
      </c>
      <c r="B9761" t="s">
        <v>199</v>
      </c>
      <c r="C9761" t="s">
        <v>212</v>
      </c>
      <c r="D9761">
        <v>12318.15574828167</v>
      </c>
      <c r="E9761">
        <v>9333.3333333333303</v>
      </c>
      <c r="F9761">
        <v>400</v>
      </c>
      <c r="G9761">
        <v>83500</v>
      </c>
      <c r="H9761">
        <v>5135.9800183739044</v>
      </c>
      <c r="I9761">
        <v>4000</v>
      </c>
      <c r="J9761">
        <v>166.666666666667</v>
      </c>
      <c r="K9761">
        <v>26666.666666666701</v>
      </c>
      <c r="L9761">
        <v>24869.529046678661</v>
      </c>
      <c r="M9761">
        <v>12500</v>
      </c>
      <c r="N9761">
        <v>500</v>
      </c>
      <c r="O9761">
        <v>250000</v>
      </c>
      <c r="P9761">
        <v>2429.746201727618</v>
      </c>
      <c r="Q9761">
        <v>3000</v>
      </c>
      <c r="R9761">
        <v>166.666666666667</v>
      </c>
      <c r="S9761">
        <v>15000</v>
      </c>
      <c r="T9761">
        <v>1610.037032273289</v>
      </c>
      <c r="U9761">
        <v>1666.6666666666699</v>
      </c>
      <c r="V9761">
        <v>500</v>
      </c>
      <c r="W9761">
        <v>3000</v>
      </c>
      <c r="X9761">
        <v>3082.8243023538698</v>
      </c>
      <c r="Y9761">
        <v>2500</v>
      </c>
      <c r="Z9761">
        <v>575</v>
      </c>
      <c r="AA9761">
        <v>15000</v>
      </c>
      <c r="AB9761">
        <v>981.50986732970534</v>
      </c>
      <c r="AC9761">
        <v>286.66666666666703</v>
      </c>
      <c r="AD9761">
        <v>175</v>
      </c>
      <c r="AE9761">
        <v>20000</v>
      </c>
      <c r="AF9761">
        <v>2698.0787073513038</v>
      </c>
      <c r="AG9761">
        <v>3500</v>
      </c>
      <c r="AH9761">
        <v>96.6666666666667</v>
      </c>
      <c r="AI9761">
        <v>10000</v>
      </c>
      <c r="AJ9761">
        <v>3493.4426847645968</v>
      </c>
      <c r="AK9761">
        <v>2500</v>
      </c>
      <c r="AL9761">
        <v>500</v>
      </c>
      <c r="AM9761">
        <v>30000</v>
      </c>
      <c r="AN9761">
        <v>3704.7054230661402</v>
      </c>
      <c r="AO9761">
        <v>3750</v>
      </c>
      <c r="AP9761">
        <v>87.5</v>
      </c>
      <c r="AQ9761">
        <v>21000</v>
      </c>
      <c r="AR9761">
        <v>3785.0282321649111</v>
      </c>
      <c r="AS9761">
        <v>1666.6666666666699</v>
      </c>
      <c r="AT9761">
        <v>500</v>
      </c>
      <c r="AU9761">
        <v>25000</v>
      </c>
      <c r="AV9761">
        <v>5794.0267465262114</v>
      </c>
      <c r="AW9761">
        <v>8333.3333333333303</v>
      </c>
      <c r="AX9761">
        <v>2500</v>
      </c>
      <c r="AY9761">
        <v>8333.3333333333303</v>
      </c>
      <c r="AZ9761">
        <v>3906.4938150135699</v>
      </c>
      <c r="BA9761">
        <v>1566.6666666666699</v>
      </c>
      <c r="BB9761">
        <v>250</v>
      </c>
      <c r="BC9761">
        <v>23333.333333333299</v>
      </c>
      <c r="BD9761">
        <v>1336</v>
      </c>
    </row>
    <row r="9762" spans="1:56">
      <c r="A9762" t="s">
        <v>194</v>
      </c>
      <c r="B9762" t="s">
        <v>199</v>
      </c>
      <c r="C9762" t="s">
        <v>214</v>
      </c>
      <c r="D9762">
        <v>18920.237202466251</v>
      </c>
      <c r="E9762">
        <v>16000</v>
      </c>
      <c r="F9762">
        <v>2800</v>
      </c>
      <c r="G9762">
        <v>250000</v>
      </c>
      <c r="H9762">
        <v>18151.951095655011</v>
      </c>
      <c r="I9762">
        <v>17000</v>
      </c>
      <c r="J9762">
        <v>1000</v>
      </c>
      <c r="K9762">
        <v>45000</v>
      </c>
      <c r="L9762">
        <v>21000.37237319132</v>
      </c>
      <c r="M9762">
        <v>30000</v>
      </c>
      <c r="N9762">
        <v>15000</v>
      </c>
      <c r="O9762">
        <v>30000</v>
      </c>
      <c r="P9762">
        <v>300</v>
      </c>
      <c r="Q9762">
        <v>300</v>
      </c>
      <c r="R9762">
        <v>300</v>
      </c>
      <c r="S9762">
        <v>300</v>
      </c>
      <c r="T9762">
        <v>2215.3919884117008</v>
      </c>
      <c r="U9762">
        <v>2000</v>
      </c>
      <c r="V9762">
        <v>2000</v>
      </c>
      <c r="W9762">
        <v>8000</v>
      </c>
      <c r="X9762">
        <v>5078.5965616755147</v>
      </c>
      <c r="Y9762">
        <v>4500</v>
      </c>
      <c r="Z9762">
        <v>2300</v>
      </c>
      <c r="AA9762">
        <v>20000</v>
      </c>
      <c r="AB9762">
        <v>2400.691069475401</v>
      </c>
      <c r="AC9762">
        <v>3000</v>
      </c>
      <c r="AD9762">
        <v>245</v>
      </c>
      <c r="AE9762">
        <v>4000</v>
      </c>
      <c r="AF9762">
        <v>4123.7287052721567</v>
      </c>
      <c r="AG9762">
        <v>5000</v>
      </c>
      <c r="AH9762">
        <v>1500</v>
      </c>
      <c r="AI9762">
        <v>5000</v>
      </c>
      <c r="AJ9762">
        <v>6155.7822358968551</v>
      </c>
      <c r="AK9762">
        <v>10000</v>
      </c>
      <c r="AL9762">
        <v>2000</v>
      </c>
      <c r="AM9762">
        <v>12000</v>
      </c>
      <c r="AN9762">
        <v>1818.083609772041</v>
      </c>
      <c r="AO9762">
        <v>1500</v>
      </c>
      <c r="AP9762">
        <v>1500</v>
      </c>
      <c r="AQ9762">
        <v>3600</v>
      </c>
      <c r="AR9762">
        <v>3837.3081788046129</v>
      </c>
      <c r="AS9762">
        <v>4000</v>
      </c>
      <c r="AT9762">
        <v>500</v>
      </c>
      <c r="AU9762">
        <v>100000</v>
      </c>
      <c r="AV9762">
        <v>3000</v>
      </c>
      <c r="AW9762">
        <v>3000</v>
      </c>
      <c r="AX9762">
        <v>3000</v>
      </c>
      <c r="AY9762">
        <v>3000</v>
      </c>
      <c r="AZ9762">
        <v>5000</v>
      </c>
      <c r="BA9762">
        <v>5000</v>
      </c>
      <c r="BB9762">
        <v>5000</v>
      </c>
      <c r="BC9762">
        <v>5000</v>
      </c>
      <c r="BD9762">
        <v>1336</v>
      </c>
    </row>
    <row r="9763" spans="1:56">
      <c r="A9763" t="s">
        <v>194</v>
      </c>
      <c r="B9763" t="s">
        <v>199</v>
      </c>
      <c r="C9763" t="s">
        <v>215</v>
      </c>
      <c r="D9763">
        <v>5432.4353486349119</v>
      </c>
      <c r="E9763">
        <v>4000</v>
      </c>
      <c r="F9763">
        <v>400</v>
      </c>
      <c r="G9763">
        <v>24000</v>
      </c>
      <c r="H9763">
        <v>1717.107852981369</v>
      </c>
      <c r="I9763">
        <v>1600</v>
      </c>
      <c r="J9763">
        <v>500</v>
      </c>
      <c r="K9763">
        <v>6000</v>
      </c>
      <c r="L9763">
        <v>7296.7302213069252</v>
      </c>
      <c r="M9763">
        <v>10000</v>
      </c>
      <c r="N9763">
        <v>540</v>
      </c>
      <c r="O9763">
        <v>10000</v>
      </c>
      <c r="P9763">
        <v>1159.159636765366</v>
      </c>
      <c r="Q9763">
        <v>1200</v>
      </c>
      <c r="R9763">
        <v>285.71428571428601</v>
      </c>
      <c r="S9763">
        <v>2200</v>
      </c>
      <c r="T9763">
        <v>1152.655559086825</v>
      </c>
      <c r="U9763">
        <v>1200</v>
      </c>
      <c r="V9763">
        <v>333.33333333333297</v>
      </c>
      <c r="W9763">
        <v>2500</v>
      </c>
      <c r="X9763">
        <v>1293.2673248750641</v>
      </c>
      <c r="Y9763">
        <v>1400</v>
      </c>
      <c r="Z9763">
        <v>312.5</v>
      </c>
      <c r="AA9763">
        <v>3800</v>
      </c>
      <c r="AB9763">
        <v>676.83735323243502</v>
      </c>
      <c r="AC9763">
        <v>493.33333333333297</v>
      </c>
      <c r="AD9763">
        <v>122.857142857143</v>
      </c>
      <c r="AE9763">
        <v>2972</v>
      </c>
      <c r="AF9763">
        <v>1685.3733322482949</v>
      </c>
      <c r="AG9763">
        <v>833.33333333333303</v>
      </c>
      <c r="AH9763">
        <v>600</v>
      </c>
      <c r="AI9763">
        <v>11000</v>
      </c>
      <c r="AJ9763">
        <v>2238.7959562640108</v>
      </c>
      <c r="AK9763">
        <v>3000</v>
      </c>
      <c r="AL9763">
        <v>200</v>
      </c>
      <c r="AM9763">
        <v>6000</v>
      </c>
      <c r="AN9763">
        <v>619.01567181337407</v>
      </c>
      <c r="AO9763">
        <v>1500</v>
      </c>
      <c r="AP9763">
        <v>200</v>
      </c>
      <c r="AQ9763">
        <v>3333.3333333333298</v>
      </c>
      <c r="AR9763">
        <v>1378.3926277615401</v>
      </c>
      <c r="AS9763">
        <v>1000</v>
      </c>
      <c r="AT9763">
        <v>400</v>
      </c>
      <c r="AU9763">
        <v>10000</v>
      </c>
      <c r="AZ9763">
        <v>538.22994915497384</v>
      </c>
      <c r="BA9763">
        <v>800</v>
      </c>
      <c r="BB9763">
        <v>240</v>
      </c>
      <c r="BC9763">
        <v>800</v>
      </c>
      <c r="BD9763">
        <v>1336</v>
      </c>
    </row>
    <row r="9764" spans="1:56">
      <c r="A9764" t="s">
        <v>200</v>
      </c>
      <c r="B9764" t="s">
        <v>200</v>
      </c>
      <c r="C9764" t="s">
        <v>200</v>
      </c>
      <c r="D9764">
        <v>11165.2535358478</v>
      </c>
      <c r="E9764">
        <v>8100</v>
      </c>
      <c r="F9764">
        <v>375</v>
      </c>
      <c r="G9764">
        <v>250000</v>
      </c>
      <c r="H9764">
        <v>6324.2773253692922</v>
      </c>
      <c r="I9764">
        <v>5000</v>
      </c>
      <c r="J9764">
        <v>28.571428571428601</v>
      </c>
      <c r="K9764">
        <v>45000</v>
      </c>
      <c r="L9764">
        <v>22424.035487214169</v>
      </c>
      <c r="M9764">
        <v>12500</v>
      </c>
      <c r="N9764">
        <v>500</v>
      </c>
      <c r="O9764">
        <v>250000</v>
      </c>
      <c r="P9764">
        <v>1930.9837390009279</v>
      </c>
      <c r="Q9764">
        <v>1500</v>
      </c>
      <c r="R9764">
        <v>166.666666666667</v>
      </c>
      <c r="S9764">
        <v>15000</v>
      </c>
      <c r="T9764">
        <v>1883.8547115085821</v>
      </c>
      <c r="U9764">
        <v>2000</v>
      </c>
      <c r="V9764">
        <v>333.33333333333297</v>
      </c>
      <c r="W9764">
        <v>8000</v>
      </c>
      <c r="X9764">
        <v>3309.2095672676551</v>
      </c>
      <c r="Y9764">
        <v>2850</v>
      </c>
      <c r="Z9764">
        <v>287.5</v>
      </c>
      <c r="AA9764">
        <v>20000</v>
      </c>
      <c r="AB9764">
        <v>1520.4792925208751</v>
      </c>
      <c r="AC9764">
        <v>750</v>
      </c>
      <c r="AD9764">
        <v>86</v>
      </c>
      <c r="AE9764">
        <v>113333.33333333299</v>
      </c>
      <c r="AF9764">
        <v>2412.867543016428</v>
      </c>
      <c r="AG9764">
        <v>2600</v>
      </c>
      <c r="AH9764">
        <v>93.75</v>
      </c>
      <c r="AI9764">
        <v>11000</v>
      </c>
      <c r="AJ9764">
        <v>3501.6474306016362</v>
      </c>
      <c r="AK9764">
        <v>2500</v>
      </c>
      <c r="AL9764">
        <v>200</v>
      </c>
      <c r="AM9764">
        <v>30000</v>
      </c>
      <c r="AN9764">
        <v>2855.1426053542832</v>
      </c>
      <c r="AO9764">
        <v>1000</v>
      </c>
      <c r="AP9764">
        <v>83.3333333333333</v>
      </c>
      <c r="AQ9764">
        <v>21000</v>
      </c>
      <c r="AR9764">
        <v>5558.8396237689731</v>
      </c>
      <c r="AS9764">
        <v>2500</v>
      </c>
      <c r="AT9764">
        <v>200</v>
      </c>
      <c r="AU9764">
        <v>100000</v>
      </c>
      <c r="AV9764">
        <v>2397.7487721124221</v>
      </c>
      <c r="AW9764">
        <v>3000</v>
      </c>
      <c r="AX9764">
        <v>285.71428571428601</v>
      </c>
      <c r="AY9764">
        <v>8333.3333333333303</v>
      </c>
      <c r="AZ9764">
        <v>5856.8204865562921</v>
      </c>
      <c r="BA9764">
        <v>2500</v>
      </c>
      <c r="BB9764">
        <v>240</v>
      </c>
      <c r="BC9764">
        <v>23333.333333333299</v>
      </c>
      <c r="BD9764">
        <v>1336</v>
      </c>
    </row>
    <row r="9766" spans="1:56" ht="45">
      <c r="A9766" s="22" t="s">
        <v>1985</v>
      </c>
    </row>
    <row r="9767" spans="1:56">
      <c r="A9767" t="s">
        <v>184</v>
      </c>
      <c r="B9767" t="s">
        <v>185</v>
      </c>
      <c r="C9767" t="s">
        <v>186</v>
      </c>
      <c r="D9767" t="s">
        <v>1929</v>
      </c>
      <c r="E9767" t="s">
        <v>1930</v>
      </c>
      <c r="F9767" t="s">
        <v>1931</v>
      </c>
      <c r="G9767" t="s">
        <v>1932</v>
      </c>
      <c r="H9767" t="s">
        <v>1933</v>
      </c>
      <c r="I9767" t="s">
        <v>1934</v>
      </c>
      <c r="J9767" t="s">
        <v>1935</v>
      </c>
      <c r="K9767" t="s">
        <v>1936</v>
      </c>
      <c r="L9767" t="s">
        <v>1937</v>
      </c>
      <c r="M9767" t="s">
        <v>1938</v>
      </c>
      <c r="N9767" t="s">
        <v>1939</v>
      </c>
      <c r="O9767" t="s">
        <v>1940</v>
      </c>
      <c r="P9767" t="s">
        <v>1941</v>
      </c>
      <c r="Q9767" t="s">
        <v>1942</v>
      </c>
      <c r="R9767" t="s">
        <v>1943</v>
      </c>
      <c r="S9767" t="s">
        <v>1944</v>
      </c>
      <c r="T9767" t="s">
        <v>1945</v>
      </c>
      <c r="U9767" t="s">
        <v>1946</v>
      </c>
      <c r="V9767" t="s">
        <v>1947</v>
      </c>
      <c r="W9767" t="s">
        <v>1948</v>
      </c>
      <c r="X9767" t="s">
        <v>1949</v>
      </c>
      <c r="Y9767" t="s">
        <v>1950</v>
      </c>
      <c r="Z9767" t="s">
        <v>1951</v>
      </c>
      <c r="AA9767" t="s">
        <v>1952</v>
      </c>
      <c r="AB9767" t="s">
        <v>1953</v>
      </c>
      <c r="AC9767" t="s">
        <v>1954</v>
      </c>
      <c r="AD9767" t="s">
        <v>1955</v>
      </c>
      <c r="AE9767" t="s">
        <v>1956</v>
      </c>
      <c r="AF9767" t="s">
        <v>1957</v>
      </c>
      <c r="AG9767" t="s">
        <v>1958</v>
      </c>
      <c r="AH9767" t="s">
        <v>1959</v>
      </c>
      <c r="AI9767" t="s">
        <v>1960</v>
      </c>
      <c r="AJ9767" t="s">
        <v>1961</v>
      </c>
      <c r="AK9767" t="s">
        <v>1962</v>
      </c>
      <c r="AL9767" t="s">
        <v>1963</v>
      </c>
      <c r="AM9767" t="s">
        <v>1964</v>
      </c>
      <c r="AN9767" t="s">
        <v>1965</v>
      </c>
      <c r="AO9767" t="s">
        <v>1966</v>
      </c>
      <c r="AP9767" t="s">
        <v>1967</v>
      </c>
      <c r="AQ9767" t="s">
        <v>1968</v>
      </c>
      <c r="AR9767" t="s">
        <v>1969</v>
      </c>
      <c r="AS9767" t="s">
        <v>1970</v>
      </c>
      <c r="AT9767" t="s">
        <v>1971</v>
      </c>
      <c r="AU9767" t="s">
        <v>1972</v>
      </c>
      <c r="AV9767" t="s">
        <v>1973</v>
      </c>
      <c r="AW9767" t="s">
        <v>1974</v>
      </c>
      <c r="AX9767" t="s">
        <v>1975</v>
      </c>
      <c r="AY9767" t="s">
        <v>1976</v>
      </c>
      <c r="AZ9767" t="s">
        <v>1977</v>
      </c>
      <c r="BA9767" t="s">
        <v>1978</v>
      </c>
      <c r="BB9767" t="s">
        <v>1979</v>
      </c>
      <c r="BC9767" t="s">
        <v>1980</v>
      </c>
      <c r="BD9767" t="s">
        <v>193</v>
      </c>
    </row>
    <row r="9768" spans="1:56">
      <c r="A9768" t="s">
        <v>194</v>
      </c>
      <c r="B9768" t="s">
        <v>195</v>
      </c>
      <c r="C9768" t="s">
        <v>217</v>
      </c>
      <c r="D9768">
        <v>8586.9916410719579</v>
      </c>
      <c r="E9768">
        <v>6666.6666666666697</v>
      </c>
      <c r="F9768">
        <v>375</v>
      </c>
      <c r="G9768">
        <v>50000</v>
      </c>
      <c r="H9768">
        <v>4171.1176654925666</v>
      </c>
      <c r="I9768">
        <v>2333.3333333333298</v>
      </c>
      <c r="J9768">
        <v>28.571428571428601</v>
      </c>
      <c r="K9768">
        <v>12000</v>
      </c>
      <c r="L9768">
        <v>8903.8685884890674</v>
      </c>
      <c r="M9768">
        <v>5000</v>
      </c>
      <c r="N9768">
        <v>666.66666666666697</v>
      </c>
      <c r="O9768">
        <v>30000</v>
      </c>
      <c r="P9768">
        <v>1393.258224164354</v>
      </c>
      <c r="Q9768">
        <v>333.33333333333297</v>
      </c>
      <c r="R9768">
        <v>166.666666666667</v>
      </c>
      <c r="S9768">
        <v>5000</v>
      </c>
      <c r="T9768">
        <v>1743.371638446007</v>
      </c>
      <c r="U9768">
        <v>2000</v>
      </c>
      <c r="V9768">
        <v>333.33333333333297</v>
      </c>
      <c r="W9768">
        <v>8000</v>
      </c>
      <c r="X9768">
        <v>2718.4661173766331</v>
      </c>
      <c r="Y9768">
        <v>2071.4285714285702</v>
      </c>
      <c r="Z9768">
        <v>287.5</v>
      </c>
      <c r="AA9768">
        <v>10000</v>
      </c>
      <c r="AB9768">
        <v>1268.825237307997</v>
      </c>
      <c r="AC9768">
        <v>800</v>
      </c>
      <c r="AD9768">
        <v>86</v>
      </c>
      <c r="AE9768">
        <v>7000</v>
      </c>
      <c r="AF9768">
        <v>187.5</v>
      </c>
      <c r="AG9768">
        <v>187.5</v>
      </c>
      <c r="AH9768">
        <v>187.5</v>
      </c>
      <c r="AI9768">
        <v>187.5</v>
      </c>
      <c r="AJ9768">
        <v>1602.562131838687</v>
      </c>
      <c r="AK9768">
        <v>600</v>
      </c>
      <c r="AL9768">
        <v>333.33333333333297</v>
      </c>
      <c r="AM9768">
        <v>5666.6666666666697</v>
      </c>
      <c r="AN9768">
        <v>3124.9493277209531</v>
      </c>
      <c r="AO9768">
        <v>1125</v>
      </c>
      <c r="AP9768">
        <v>83.3333333333333</v>
      </c>
      <c r="AQ9768">
        <v>15000</v>
      </c>
      <c r="AR9768">
        <v>3162.6835738416662</v>
      </c>
      <c r="AS9768">
        <v>3333.3333333333298</v>
      </c>
      <c r="AT9768">
        <v>200</v>
      </c>
      <c r="AU9768">
        <v>19000</v>
      </c>
      <c r="AV9768">
        <v>285.71428571428601</v>
      </c>
      <c r="AW9768">
        <v>285.71428571428601</v>
      </c>
      <c r="AX9768">
        <v>285.71428571428601</v>
      </c>
      <c r="AY9768">
        <v>285.71428571428601</v>
      </c>
      <c r="AZ9768">
        <v>11394.01757852216</v>
      </c>
      <c r="BA9768">
        <v>16666.666666666701</v>
      </c>
      <c r="BB9768">
        <v>666.66666666666697</v>
      </c>
      <c r="BC9768">
        <v>16666.666666666701</v>
      </c>
      <c r="BD9768">
        <v>1336</v>
      </c>
    </row>
    <row r="9769" spans="1:56">
      <c r="A9769" t="s">
        <v>194</v>
      </c>
      <c r="B9769" t="s">
        <v>195</v>
      </c>
      <c r="C9769" t="s">
        <v>219</v>
      </c>
      <c r="D9769">
        <v>7306.0002864470971</v>
      </c>
      <c r="E9769">
        <v>5800</v>
      </c>
      <c r="F9769">
        <v>533.33333333333303</v>
      </c>
      <c r="G9769">
        <v>50000</v>
      </c>
      <c r="H9769">
        <v>3419.3257819341129</v>
      </c>
      <c r="I9769">
        <v>2500</v>
      </c>
      <c r="J9769">
        <v>150</v>
      </c>
      <c r="K9769">
        <v>12500</v>
      </c>
      <c r="L9769">
        <v>17765.561749508561</v>
      </c>
      <c r="M9769">
        <v>20000</v>
      </c>
      <c r="N9769">
        <v>15000</v>
      </c>
      <c r="O9769">
        <v>20000</v>
      </c>
      <c r="P9769">
        <v>2318.380695105609</v>
      </c>
      <c r="Q9769">
        <v>3000</v>
      </c>
      <c r="R9769">
        <v>750</v>
      </c>
      <c r="S9769">
        <v>13000</v>
      </c>
      <c r="T9769">
        <v>2118.8161361267598</v>
      </c>
      <c r="U9769">
        <v>2000</v>
      </c>
      <c r="V9769">
        <v>333.33333333333297</v>
      </c>
      <c r="W9769">
        <v>7500</v>
      </c>
      <c r="X9769">
        <v>3317.2028490121802</v>
      </c>
      <c r="Y9769">
        <v>3000</v>
      </c>
      <c r="Z9769">
        <v>450</v>
      </c>
      <c r="AA9769">
        <v>10000</v>
      </c>
      <c r="AB9769">
        <v>2416.8029098708462</v>
      </c>
      <c r="AC9769">
        <v>1500</v>
      </c>
      <c r="AD9769">
        <v>113.333333333333</v>
      </c>
      <c r="AE9769">
        <v>113333.33333333299</v>
      </c>
      <c r="AF9769">
        <v>93.75</v>
      </c>
      <c r="AG9769">
        <v>93.75</v>
      </c>
      <c r="AH9769">
        <v>93.75</v>
      </c>
      <c r="AI9769">
        <v>93.75</v>
      </c>
      <c r="AJ9769">
        <v>3208.538014536537</v>
      </c>
      <c r="AK9769">
        <v>2000</v>
      </c>
      <c r="AL9769">
        <v>333.33333333333297</v>
      </c>
      <c r="AM9769">
        <v>10000</v>
      </c>
      <c r="AN9769">
        <v>1449.8675872223821</v>
      </c>
      <c r="AO9769">
        <v>1000</v>
      </c>
      <c r="AP9769">
        <v>150</v>
      </c>
      <c r="AQ9769">
        <v>18250</v>
      </c>
      <c r="AR9769">
        <v>10444.76935543435</v>
      </c>
      <c r="AS9769">
        <v>3333.3333333333298</v>
      </c>
      <c r="AT9769">
        <v>500</v>
      </c>
      <c r="AU9769">
        <v>75000</v>
      </c>
      <c r="AV9769">
        <v>2430.4801740038988</v>
      </c>
      <c r="AW9769">
        <v>3000</v>
      </c>
      <c r="AX9769">
        <v>500</v>
      </c>
      <c r="AY9769">
        <v>3000</v>
      </c>
      <c r="AZ9769">
        <v>4795.2333518156656</v>
      </c>
      <c r="BA9769">
        <v>4000</v>
      </c>
      <c r="BB9769">
        <v>466.66666666666703</v>
      </c>
      <c r="BC9769">
        <v>9000</v>
      </c>
      <c r="BD9769">
        <v>1336</v>
      </c>
    </row>
    <row r="9770" spans="1:56">
      <c r="A9770" t="s">
        <v>194</v>
      </c>
      <c r="B9770" t="s">
        <v>195</v>
      </c>
      <c r="C9770" t="s">
        <v>220</v>
      </c>
      <c r="D9770">
        <v>12084.386649724431</v>
      </c>
      <c r="E9770">
        <v>9166.6666666666697</v>
      </c>
      <c r="F9770">
        <v>750</v>
      </c>
      <c r="G9770">
        <v>52000</v>
      </c>
      <c r="H9770">
        <v>7302.8101591854993</v>
      </c>
      <c r="I9770">
        <v>6600</v>
      </c>
      <c r="J9770">
        <v>625</v>
      </c>
      <c r="K9770">
        <v>37000</v>
      </c>
      <c r="L9770">
        <v>21204.58256559839</v>
      </c>
      <c r="M9770">
        <v>28000</v>
      </c>
      <c r="N9770">
        <v>1666.6666666666699</v>
      </c>
      <c r="O9770">
        <v>50000</v>
      </c>
      <c r="P9770">
        <v>500</v>
      </c>
      <c r="Q9770">
        <v>500</v>
      </c>
      <c r="R9770">
        <v>500</v>
      </c>
      <c r="S9770">
        <v>500</v>
      </c>
      <c r="T9770">
        <v>1695.609262817248</v>
      </c>
      <c r="U9770">
        <v>2000</v>
      </c>
      <c r="V9770">
        <v>500</v>
      </c>
      <c r="W9770">
        <v>3333.3333333333298</v>
      </c>
      <c r="X9770">
        <v>5067.6470493453726</v>
      </c>
      <c r="Y9770">
        <v>4950</v>
      </c>
      <c r="Z9770">
        <v>500</v>
      </c>
      <c r="AA9770">
        <v>20000</v>
      </c>
      <c r="AB9770">
        <v>2319.4006267866462</v>
      </c>
      <c r="AC9770">
        <v>1125</v>
      </c>
      <c r="AD9770">
        <v>143.333333333333</v>
      </c>
      <c r="AE9770">
        <v>22000</v>
      </c>
      <c r="AF9770">
        <v>2500</v>
      </c>
      <c r="AG9770">
        <v>2500</v>
      </c>
      <c r="AH9770">
        <v>2500</v>
      </c>
      <c r="AI9770">
        <v>2500</v>
      </c>
      <c r="AJ9770">
        <v>4744.2401180412598</v>
      </c>
      <c r="AK9770">
        <v>8000</v>
      </c>
      <c r="AL9770">
        <v>833.33333333333303</v>
      </c>
      <c r="AM9770">
        <v>10000</v>
      </c>
      <c r="AN9770">
        <v>4763.3106618353886</v>
      </c>
      <c r="AO9770">
        <v>10800</v>
      </c>
      <c r="AP9770">
        <v>1850</v>
      </c>
      <c r="AQ9770">
        <v>10800</v>
      </c>
      <c r="AR9770">
        <v>6654.0253079240329</v>
      </c>
      <c r="AS9770">
        <v>15000</v>
      </c>
      <c r="AT9770">
        <v>200</v>
      </c>
      <c r="AU9770">
        <v>15000</v>
      </c>
      <c r="AV9770">
        <v>3000</v>
      </c>
      <c r="AW9770">
        <v>3000</v>
      </c>
      <c r="AX9770">
        <v>3000</v>
      </c>
      <c r="AY9770">
        <v>3000</v>
      </c>
      <c r="AZ9770">
        <v>15000</v>
      </c>
      <c r="BA9770">
        <v>15000</v>
      </c>
      <c r="BB9770">
        <v>15000</v>
      </c>
      <c r="BC9770">
        <v>15000</v>
      </c>
      <c r="BD9770">
        <v>1336</v>
      </c>
    </row>
    <row r="9771" spans="1:56">
      <c r="A9771" t="s">
        <v>194</v>
      </c>
      <c r="B9771" t="s">
        <v>199</v>
      </c>
      <c r="C9771" t="s">
        <v>217</v>
      </c>
      <c r="D9771">
        <v>11053.76122819046</v>
      </c>
      <c r="E9771">
        <v>8333.3333333333303</v>
      </c>
      <c r="F9771">
        <v>428.57142857142901</v>
      </c>
      <c r="G9771">
        <v>83500</v>
      </c>
      <c r="H9771">
        <v>5146.9457558742097</v>
      </c>
      <c r="I9771">
        <v>4000</v>
      </c>
      <c r="J9771">
        <v>333.33333333333297</v>
      </c>
      <c r="K9771">
        <v>26666.666666666701</v>
      </c>
      <c r="L9771">
        <v>14049.864331607851</v>
      </c>
      <c r="M9771">
        <v>10000</v>
      </c>
      <c r="N9771">
        <v>500</v>
      </c>
      <c r="O9771">
        <v>66666.666666666701</v>
      </c>
      <c r="P9771">
        <v>1250.7496695561349</v>
      </c>
      <c r="Q9771">
        <v>1200</v>
      </c>
      <c r="R9771">
        <v>166.666666666667</v>
      </c>
      <c r="S9771">
        <v>10000</v>
      </c>
      <c r="T9771">
        <v>1685.5523657643189</v>
      </c>
      <c r="U9771">
        <v>1666.6666666666699</v>
      </c>
      <c r="V9771">
        <v>400</v>
      </c>
      <c r="W9771">
        <v>2500</v>
      </c>
      <c r="X9771">
        <v>2869.925892376516</v>
      </c>
      <c r="Y9771">
        <v>2150</v>
      </c>
      <c r="Z9771">
        <v>312.5</v>
      </c>
      <c r="AA9771">
        <v>15000</v>
      </c>
      <c r="AB9771">
        <v>776.01009358956799</v>
      </c>
      <c r="AC9771">
        <v>286.66666666666703</v>
      </c>
      <c r="AD9771">
        <v>122.857142857143</v>
      </c>
      <c r="AE9771">
        <v>11500</v>
      </c>
      <c r="AF9771">
        <v>2537.4956950576152</v>
      </c>
      <c r="AG9771">
        <v>3000</v>
      </c>
      <c r="AH9771">
        <v>104.25</v>
      </c>
      <c r="AI9771">
        <v>11000</v>
      </c>
      <c r="AJ9771">
        <v>2656.7124330083998</v>
      </c>
      <c r="AK9771">
        <v>2500</v>
      </c>
      <c r="AL9771">
        <v>200</v>
      </c>
      <c r="AM9771">
        <v>7500</v>
      </c>
      <c r="AN9771">
        <v>2295.6847906446919</v>
      </c>
      <c r="AO9771">
        <v>1000</v>
      </c>
      <c r="AP9771">
        <v>87.5</v>
      </c>
      <c r="AQ9771">
        <v>20000</v>
      </c>
      <c r="AR9771">
        <v>1602.9593881613509</v>
      </c>
      <c r="AS9771">
        <v>1666.6666666666699</v>
      </c>
      <c r="AT9771">
        <v>400</v>
      </c>
      <c r="AU9771">
        <v>10000</v>
      </c>
      <c r="AV9771">
        <v>5794.0267465262114</v>
      </c>
      <c r="AW9771">
        <v>8333.3333333333303</v>
      </c>
      <c r="AX9771">
        <v>2500</v>
      </c>
      <c r="AY9771">
        <v>8333.3333333333303</v>
      </c>
      <c r="AZ9771">
        <v>4108.6142769001508</v>
      </c>
      <c r="BA9771">
        <v>2500</v>
      </c>
      <c r="BB9771">
        <v>250</v>
      </c>
      <c r="BC9771">
        <v>17500</v>
      </c>
      <c r="BD9771">
        <v>1336</v>
      </c>
    </row>
    <row r="9772" spans="1:56">
      <c r="A9772" t="s">
        <v>194</v>
      </c>
      <c r="B9772" t="s">
        <v>199</v>
      </c>
      <c r="C9772" t="s">
        <v>219</v>
      </c>
      <c r="D9772">
        <v>12986.266724594119</v>
      </c>
      <c r="E9772">
        <v>10000</v>
      </c>
      <c r="F9772">
        <v>400</v>
      </c>
      <c r="G9772">
        <v>60000</v>
      </c>
      <c r="H9772">
        <v>7828.4788732591924</v>
      </c>
      <c r="I9772">
        <v>5000</v>
      </c>
      <c r="J9772">
        <v>166.666666666667</v>
      </c>
      <c r="K9772">
        <v>28000</v>
      </c>
      <c r="L9772">
        <v>28933.357727858751</v>
      </c>
      <c r="M9772">
        <v>30000</v>
      </c>
      <c r="N9772">
        <v>540</v>
      </c>
      <c r="O9772">
        <v>150000</v>
      </c>
      <c r="P9772">
        <v>2004.4739899307381</v>
      </c>
      <c r="Q9772">
        <v>1333.3333333333301</v>
      </c>
      <c r="R9772">
        <v>300</v>
      </c>
      <c r="S9772">
        <v>15000</v>
      </c>
      <c r="T9772">
        <v>1164.1835440137399</v>
      </c>
      <c r="U9772">
        <v>666.66666666666697</v>
      </c>
      <c r="V9772">
        <v>333.33333333333297</v>
      </c>
      <c r="W9772">
        <v>3000</v>
      </c>
      <c r="X9772">
        <v>3749.5347033396461</v>
      </c>
      <c r="Y9772">
        <v>3680</v>
      </c>
      <c r="Z9772">
        <v>380</v>
      </c>
      <c r="AA9772">
        <v>19500</v>
      </c>
      <c r="AB9772">
        <v>2032.221966453367</v>
      </c>
      <c r="AC9772">
        <v>1500</v>
      </c>
      <c r="AD9772">
        <v>215</v>
      </c>
      <c r="AE9772">
        <v>20000</v>
      </c>
      <c r="AF9772">
        <v>3006.4300857362359</v>
      </c>
      <c r="AG9772">
        <v>4000</v>
      </c>
      <c r="AH9772">
        <v>96.6666666666667</v>
      </c>
      <c r="AI9772">
        <v>5000</v>
      </c>
      <c r="AJ9772">
        <v>4235.6763834419098</v>
      </c>
      <c r="AK9772">
        <v>5000</v>
      </c>
      <c r="AL9772">
        <v>500</v>
      </c>
      <c r="AM9772">
        <v>30000</v>
      </c>
      <c r="AN9772">
        <v>3742.4709007790202</v>
      </c>
      <c r="AO9772">
        <v>1500</v>
      </c>
      <c r="AP9772">
        <v>1500</v>
      </c>
      <c r="AQ9772">
        <v>21000</v>
      </c>
      <c r="AR9772">
        <v>5901.2635642113828</v>
      </c>
      <c r="AS9772">
        <v>4000</v>
      </c>
      <c r="AT9772">
        <v>500</v>
      </c>
      <c r="AU9772">
        <v>100000</v>
      </c>
      <c r="AV9772">
        <v>3000</v>
      </c>
      <c r="AW9772">
        <v>3000</v>
      </c>
      <c r="AX9772">
        <v>3000</v>
      </c>
      <c r="AY9772">
        <v>3000</v>
      </c>
      <c r="AZ9772">
        <v>3342.6095109151288</v>
      </c>
      <c r="BA9772">
        <v>1566.6666666666699</v>
      </c>
      <c r="BB9772">
        <v>750</v>
      </c>
      <c r="BC9772">
        <v>23333.333333333299</v>
      </c>
      <c r="BD9772">
        <v>1336</v>
      </c>
    </row>
    <row r="9773" spans="1:56">
      <c r="A9773" t="s">
        <v>194</v>
      </c>
      <c r="B9773" t="s">
        <v>199</v>
      </c>
      <c r="C9773" t="s">
        <v>220</v>
      </c>
      <c r="D9773">
        <v>17854.16244120941</v>
      </c>
      <c r="E9773">
        <v>10000</v>
      </c>
      <c r="F9773">
        <v>400</v>
      </c>
      <c r="G9773">
        <v>250000</v>
      </c>
      <c r="H9773">
        <v>17182.163790064831</v>
      </c>
      <c r="I9773">
        <v>17000</v>
      </c>
      <c r="J9773">
        <v>250</v>
      </c>
      <c r="K9773">
        <v>45000</v>
      </c>
      <c r="L9773">
        <v>63673.880689249963</v>
      </c>
      <c r="M9773">
        <v>250000</v>
      </c>
      <c r="N9773">
        <v>500</v>
      </c>
      <c r="O9773">
        <v>250000</v>
      </c>
      <c r="P9773">
        <v>3385.2373726621531</v>
      </c>
      <c r="Q9773">
        <v>3000</v>
      </c>
      <c r="R9773">
        <v>1666.6666666666699</v>
      </c>
      <c r="S9773">
        <v>5000</v>
      </c>
      <c r="T9773">
        <v>2034.426771644635</v>
      </c>
      <c r="U9773">
        <v>2000</v>
      </c>
      <c r="V9773">
        <v>750</v>
      </c>
      <c r="W9773">
        <v>8000</v>
      </c>
      <c r="X9773">
        <v>4266.1925194943633</v>
      </c>
      <c r="Y9773">
        <v>4000</v>
      </c>
      <c r="Z9773">
        <v>675</v>
      </c>
      <c r="AA9773">
        <v>20000</v>
      </c>
      <c r="AB9773">
        <v>777.2605439612604</v>
      </c>
      <c r="AC9773">
        <v>500</v>
      </c>
      <c r="AD9773">
        <v>172</v>
      </c>
      <c r="AE9773">
        <v>9000</v>
      </c>
      <c r="AF9773">
        <v>2696.1909781123209</v>
      </c>
      <c r="AG9773">
        <v>4500</v>
      </c>
      <c r="AH9773">
        <v>1250</v>
      </c>
      <c r="AI9773">
        <v>5666.6666666666697</v>
      </c>
      <c r="AJ9773">
        <v>5256.6656462743513</v>
      </c>
      <c r="AK9773">
        <v>6666.6666666666697</v>
      </c>
      <c r="AL9773">
        <v>666.66666666666697</v>
      </c>
      <c r="AM9773">
        <v>12000</v>
      </c>
      <c r="AN9773">
        <v>4436.5263862753181</v>
      </c>
      <c r="AO9773">
        <v>10800</v>
      </c>
      <c r="AP9773">
        <v>500</v>
      </c>
      <c r="AQ9773">
        <v>10800</v>
      </c>
      <c r="AR9773">
        <v>1339.438460369654</v>
      </c>
      <c r="AS9773">
        <v>2000</v>
      </c>
      <c r="AT9773">
        <v>600</v>
      </c>
      <c r="AU9773">
        <v>2000</v>
      </c>
      <c r="AZ9773">
        <v>3928.7841770777231</v>
      </c>
      <c r="BA9773">
        <v>5000</v>
      </c>
      <c r="BB9773">
        <v>240</v>
      </c>
      <c r="BC9773">
        <v>5000</v>
      </c>
      <c r="BD9773">
        <v>1336</v>
      </c>
    </row>
    <row r="9774" spans="1:56">
      <c r="A9774" t="s">
        <v>200</v>
      </c>
      <c r="B9774" t="s">
        <v>200</v>
      </c>
      <c r="C9774" t="s">
        <v>200</v>
      </c>
      <c r="D9774">
        <v>11165.2535358478</v>
      </c>
      <c r="E9774">
        <v>8100</v>
      </c>
      <c r="F9774">
        <v>375</v>
      </c>
      <c r="G9774">
        <v>250000</v>
      </c>
      <c r="H9774">
        <v>6324.2773253692922</v>
      </c>
      <c r="I9774">
        <v>5000</v>
      </c>
      <c r="J9774">
        <v>28.571428571428601</v>
      </c>
      <c r="K9774">
        <v>45000</v>
      </c>
      <c r="L9774">
        <v>22424.035487214169</v>
      </c>
      <c r="M9774">
        <v>12500</v>
      </c>
      <c r="N9774">
        <v>500</v>
      </c>
      <c r="O9774">
        <v>250000</v>
      </c>
      <c r="P9774">
        <v>1930.9837390009279</v>
      </c>
      <c r="Q9774">
        <v>1500</v>
      </c>
      <c r="R9774">
        <v>166.666666666667</v>
      </c>
      <c r="S9774">
        <v>15000</v>
      </c>
      <c r="T9774">
        <v>1883.8547115085821</v>
      </c>
      <c r="U9774">
        <v>2000</v>
      </c>
      <c r="V9774">
        <v>333.33333333333297</v>
      </c>
      <c r="W9774">
        <v>8000</v>
      </c>
      <c r="X9774">
        <v>3309.2095672676551</v>
      </c>
      <c r="Y9774">
        <v>2850</v>
      </c>
      <c r="Z9774">
        <v>287.5</v>
      </c>
      <c r="AA9774">
        <v>20000</v>
      </c>
      <c r="AB9774">
        <v>1520.4792925208751</v>
      </c>
      <c r="AC9774">
        <v>750</v>
      </c>
      <c r="AD9774">
        <v>86</v>
      </c>
      <c r="AE9774">
        <v>113333.33333333299</v>
      </c>
      <c r="AF9774">
        <v>2412.867543016428</v>
      </c>
      <c r="AG9774">
        <v>2600</v>
      </c>
      <c r="AH9774">
        <v>93.75</v>
      </c>
      <c r="AI9774">
        <v>11000</v>
      </c>
      <c r="AJ9774">
        <v>3501.6474306016362</v>
      </c>
      <c r="AK9774">
        <v>2500</v>
      </c>
      <c r="AL9774">
        <v>200</v>
      </c>
      <c r="AM9774">
        <v>30000</v>
      </c>
      <c r="AN9774">
        <v>2855.1426053542832</v>
      </c>
      <c r="AO9774">
        <v>1000</v>
      </c>
      <c r="AP9774">
        <v>83.3333333333333</v>
      </c>
      <c r="AQ9774">
        <v>21000</v>
      </c>
      <c r="AR9774">
        <v>5558.8396237689731</v>
      </c>
      <c r="AS9774">
        <v>2500</v>
      </c>
      <c r="AT9774">
        <v>200</v>
      </c>
      <c r="AU9774">
        <v>100000</v>
      </c>
      <c r="AV9774">
        <v>2397.7487721124221</v>
      </c>
      <c r="AW9774">
        <v>3000</v>
      </c>
      <c r="AX9774">
        <v>285.71428571428601</v>
      </c>
      <c r="AY9774">
        <v>8333.3333333333303</v>
      </c>
      <c r="AZ9774">
        <v>5856.8204865562921</v>
      </c>
      <c r="BA9774">
        <v>2500</v>
      </c>
      <c r="BB9774">
        <v>240</v>
      </c>
      <c r="BC9774">
        <v>23333.333333333299</v>
      </c>
      <c r="BD9774">
        <v>1336</v>
      </c>
    </row>
  </sheetData>
  <autoFilter ref="D1:D9774" xr:uid="{00000000-0001-0000-0100-000000000000}"/>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5" ma:contentTypeDescription="Crée un document." ma:contentTypeScope="" ma:versionID="8613280934e54dd97320f0fb3b0482c0">
  <xsd:schema xmlns:xsd="http://www.w3.org/2001/XMLSchema" xmlns:xs="http://www.w3.org/2001/XMLSchema" xmlns:p="http://schemas.microsoft.com/office/2006/metadata/properties" xmlns:ns2="c228d1bd-650e-48eb-9f39-f684bd7bd257" xmlns:ns3="fa0b5fe5-391f-41b6-811a-90e0518c7af2" targetNamespace="http://schemas.microsoft.com/office/2006/metadata/properties" ma:root="true" ma:fieldsID="b173159dc18dd73eb575c3732c5504c5" ns2:_="" ns3:_="">
    <xsd:import namespace="c228d1bd-650e-48eb-9f39-f684bd7bd257"/>
    <xsd:import namespace="fa0b5fe5-391f-41b6-811a-90e0518c7a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467c31-3563-4463-b194-9d16e3020301}"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28d1bd-650e-48eb-9f39-f684bd7bd257">
      <Terms xmlns="http://schemas.microsoft.com/office/infopath/2007/PartnerControls"/>
    </lcf76f155ced4ddcb4097134ff3c332f>
    <TaxCatchAll xmlns="fa0b5fe5-391f-41b6-811a-90e0518c7af2" xsi:nil="true"/>
  </documentManagement>
</p:properties>
</file>

<file path=customXml/itemProps1.xml><?xml version="1.0" encoding="utf-8"?>
<ds:datastoreItem xmlns:ds="http://schemas.openxmlformats.org/officeDocument/2006/customXml" ds:itemID="{79F58B78-7777-4E29-ABF5-E47E1B2E5B00}"/>
</file>

<file path=customXml/itemProps2.xml><?xml version="1.0" encoding="utf-8"?>
<ds:datastoreItem xmlns:ds="http://schemas.openxmlformats.org/officeDocument/2006/customXml" ds:itemID="{37A902AA-543D-49B8-BF84-27DE91070819}"/>
</file>

<file path=customXml/itemProps3.xml><?xml version="1.0" encoding="utf-8"?>
<ds:datastoreItem xmlns:ds="http://schemas.openxmlformats.org/officeDocument/2006/customXml" ds:itemID="{ABC94859-154C-4B24-A34B-88987DD191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Mackenzie SEAMAN</cp:lastModifiedBy>
  <cp:revision/>
  <dcterms:created xsi:type="dcterms:W3CDTF">2024-09-03T09:19:10Z</dcterms:created>
  <dcterms:modified xsi:type="dcterms:W3CDTF">2024-09-16T15:32:56Z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ies>
</file>