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melie Salmon\Documents\5. AGORA\8. Diffusion\BDD à partager\"/>
    </mc:Choice>
  </mc:AlternateContent>
  <bookViews>
    <workbookView xWindow="0" yWindow="0" windowWidth="19200" windowHeight="7060"/>
  </bookViews>
  <sheets>
    <sheet name="Lisez-moi" sheetId="73" r:id="rId1"/>
    <sheet name="CleaningLog" sheetId="74" r:id="rId2"/>
    <sheet name="ZEMIO_Cleaned Data" sheetId="19" r:id="rId3"/>
    <sheet name="ZEMIO_EDUCATION" sheetId="20" r:id="rId4"/>
    <sheet name="ZEMIO_EAU" sheetId="18" r:id="rId5"/>
    <sheet name="ZEMIO_SANTE" sheetId="22" r:id="rId6"/>
    <sheet name="ZEMIO_MARCHES" sheetId="21" r:id="rId7"/>
    <sheet name="OBO_Cleaned Data" sheetId="24" r:id="rId8"/>
    <sheet name="OBO_EAU " sheetId="46" r:id="rId9"/>
    <sheet name="OBO_SANTE" sheetId="47" r:id="rId10"/>
    <sheet name="OBO_EDUCATION" sheetId="48" r:id="rId11"/>
    <sheet name="OBO_MARCHES" sheetId="49" r:id="rId12"/>
  </sheets>
  <definedNames>
    <definedName name="_xlnm._FilterDatabase" localSheetId="7" hidden="1">'OBO_Cleaned Data'!$A$1:$AWH$63</definedName>
    <definedName name="_xlnm._FilterDatabase" localSheetId="2" hidden="1">'ZEMIO_Cleaned Data'!$A$1:$AXY$63</definedName>
    <definedName name="marches_frequentation_changement">#REF!</definedName>
    <definedName name="marches_frequentation_evolution">#REF!</definedName>
    <definedName name="marches_taxes_transport">#REF!</definedName>
    <definedName name="_xlnm.Print_Area" localSheetId="10">OBO_EDUCATION!$A$1:$O$209</definedName>
    <definedName name="_xlnm.Print_Area" localSheetId="3">ZEMIO_EDUCATION!$A$1:$O$209</definedName>
  </definedNames>
  <calcPr calcId="162913"/>
</workbook>
</file>

<file path=xl/calcChain.xml><?xml version="1.0" encoding="utf-8"?>
<calcChain xmlns="http://schemas.openxmlformats.org/spreadsheetml/2006/main">
  <c r="A160" i="48" l="1"/>
  <c r="A157" i="48"/>
  <c r="B121" i="49" l="1"/>
  <c r="A160" i="20"/>
  <c r="A157" i="20"/>
  <c r="F12" i="20" l="1"/>
  <c r="H66" i="49" l="1"/>
  <c r="G66" i="49"/>
  <c r="F66" i="49"/>
  <c r="E66" i="49"/>
  <c r="D66" i="49"/>
  <c r="H66" i="21"/>
  <c r="G66" i="21"/>
  <c r="F66" i="21"/>
  <c r="D66" i="21"/>
  <c r="E66" i="21"/>
  <c r="F7" i="48" l="1"/>
  <c r="C13" i="46"/>
  <c r="I7" i="46"/>
  <c r="B3" i="49" l="1"/>
  <c r="B3" i="48"/>
  <c r="F8" i="48" s="1"/>
  <c r="C4" i="47"/>
  <c r="B3" i="46"/>
  <c r="I8" i="46" s="1"/>
  <c r="B121" i="21" l="1"/>
  <c r="C12" i="20"/>
  <c r="F7" i="20"/>
  <c r="G127" i="18"/>
  <c r="F127" i="18"/>
  <c r="E127" i="18"/>
  <c r="D127" i="18"/>
  <c r="C127" i="18"/>
  <c r="B3" i="21"/>
  <c r="B3" i="20"/>
  <c r="C4" i="22"/>
  <c r="B3" i="18"/>
  <c r="F8" i="20" l="1"/>
  <c r="E7" i="20"/>
  <c r="E7" i="48"/>
  <c r="D107" i="20"/>
  <c r="D107" i="48"/>
  <c r="E103" i="18"/>
  <c r="E103" i="46"/>
  <c r="I155" i="49"/>
  <c r="H155" i="49"/>
  <c r="G155" i="49"/>
  <c r="F155" i="49"/>
  <c r="E155" i="49"/>
  <c r="D155" i="49"/>
  <c r="C155" i="49"/>
  <c r="B155" i="49"/>
  <c r="A155" i="49"/>
  <c r="C150" i="49"/>
  <c r="B150" i="49"/>
  <c r="B151" i="49" s="1"/>
  <c r="L146" i="49"/>
  <c r="K146" i="49"/>
  <c r="J146" i="49"/>
  <c r="I146" i="49"/>
  <c r="H146" i="49"/>
  <c r="G146" i="49"/>
  <c r="F146" i="49"/>
  <c r="E146" i="49"/>
  <c r="D146" i="49"/>
  <c r="C146" i="49"/>
  <c r="B146" i="49"/>
  <c r="A146" i="49"/>
  <c r="P142" i="49"/>
  <c r="O142" i="49"/>
  <c r="N142" i="49"/>
  <c r="M142" i="49"/>
  <c r="L142" i="49"/>
  <c r="K142" i="49"/>
  <c r="J142" i="49"/>
  <c r="I142" i="49"/>
  <c r="H142" i="49"/>
  <c r="G142" i="49"/>
  <c r="F142" i="49"/>
  <c r="E142" i="49"/>
  <c r="D142" i="49"/>
  <c r="C142" i="49"/>
  <c r="B142" i="49"/>
  <c r="A142" i="49"/>
  <c r="F137" i="49"/>
  <c r="E137" i="49"/>
  <c r="D137" i="49"/>
  <c r="C137" i="49"/>
  <c r="B137" i="49"/>
  <c r="C132" i="49"/>
  <c r="B132" i="49"/>
  <c r="H127" i="49"/>
  <c r="G127" i="49"/>
  <c r="F127" i="49"/>
  <c r="E127" i="49"/>
  <c r="D127" i="49"/>
  <c r="C127" i="49"/>
  <c r="B127" i="49"/>
  <c r="B118" i="49"/>
  <c r="G113" i="49"/>
  <c r="F113" i="49"/>
  <c r="E113" i="49"/>
  <c r="D113" i="49"/>
  <c r="C113" i="49"/>
  <c r="B113" i="49"/>
  <c r="I107" i="49"/>
  <c r="H107" i="49"/>
  <c r="G107" i="49"/>
  <c r="F107" i="49"/>
  <c r="E107" i="49"/>
  <c r="D107" i="49"/>
  <c r="C107" i="49"/>
  <c r="I102" i="49"/>
  <c r="H102" i="49"/>
  <c r="G102" i="49"/>
  <c r="F102" i="49"/>
  <c r="E102" i="49"/>
  <c r="D102" i="49"/>
  <c r="C102" i="49"/>
  <c r="F97" i="49"/>
  <c r="E97" i="49"/>
  <c r="D97" i="49"/>
  <c r="C97" i="49"/>
  <c r="C92" i="49"/>
  <c r="B92" i="49"/>
  <c r="G86" i="49"/>
  <c r="F86" i="49"/>
  <c r="E86" i="49"/>
  <c r="D86" i="49"/>
  <c r="C86" i="49"/>
  <c r="H81" i="49"/>
  <c r="G81" i="49"/>
  <c r="F81" i="49"/>
  <c r="E81" i="49"/>
  <c r="D81" i="49"/>
  <c r="C81" i="49"/>
  <c r="I76" i="49"/>
  <c r="H76" i="49"/>
  <c r="G76" i="49"/>
  <c r="F76" i="49"/>
  <c r="E76" i="49"/>
  <c r="D76" i="49"/>
  <c r="C76" i="49"/>
  <c r="B76" i="49"/>
  <c r="G71" i="49"/>
  <c r="F71" i="49"/>
  <c r="E71" i="49"/>
  <c r="D71" i="49"/>
  <c r="C71" i="49"/>
  <c r="C66" i="49"/>
  <c r="I61" i="49"/>
  <c r="H61" i="49"/>
  <c r="G61" i="49"/>
  <c r="F61" i="49"/>
  <c r="E61" i="49"/>
  <c r="D61" i="49"/>
  <c r="C61" i="49"/>
  <c r="B61" i="49"/>
  <c r="L55" i="49"/>
  <c r="K55" i="49"/>
  <c r="J55" i="49"/>
  <c r="I55" i="49"/>
  <c r="H55" i="49"/>
  <c r="G55" i="49"/>
  <c r="F55" i="49"/>
  <c r="E55" i="49"/>
  <c r="D55" i="49"/>
  <c r="C55" i="49"/>
  <c r="B55" i="49"/>
  <c r="C50" i="49"/>
  <c r="B50" i="49"/>
  <c r="K45" i="49"/>
  <c r="J45" i="49"/>
  <c r="I45" i="49"/>
  <c r="H45" i="49"/>
  <c r="G45" i="49"/>
  <c r="F45" i="49"/>
  <c r="E45" i="49"/>
  <c r="D45" i="49"/>
  <c r="C45" i="49"/>
  <c r="M40" i="49"/>
  <c r="L40" i="49"/>
  <c r="K40" i="49"/>
  <c r="J40" i="49"/>
  <c r="I40" i="49"/>
  <c r="H40" i="49"/>
  <c r="G40" i="49"/>
  <c r="F40" i="49"/>
  <c r="E40" i="49"/>
  <c r="D40" i="49"/>
  <c r="C40" i="49"/>
  <c r="F35" i="49"/>
  <c r="E35" i="49"/>
  <c r="D35" i="49"/>
  <c r="C35" i="49"/>
  <c r="C30" i="49"/>
  <c r="B30" i="49"/>
  <c r="A26" i="49"/>
  <c r="I22" i="49"/>
  <c r="H22" i="49"/>
  <c r="G22" i="49"/>
  <c r="F22" i="49"/>
  <c r="E22" i="49"/>
  <c r="D22" i="49"/>
  <c r="C22" i="49"/>
  <c r="B22" i="49"/>
  <c r="D17" i="49"/>
  <c r="C17" i="49"/>
  <c r="C12" i="49"/>
  <c r="B12" i="49"/>
  <c r="D8" i="49"/>
  <c r="D7" i="49"/>
  <c r="C7" i="49"/>
  <c r="B7" i="49"/>
  <c r="L207" i="48"/>
  <c r="K207" i="48"/>
  <c r="J207" i="48"/>
  <c r="I207" i="48"/>
  <c r="H207" i="48"/>
  <c r="G207" i="48"/>
  <c r="F207" i="48"/>
  <c r="E207" i="48"/>
  <c r="D207" i="48"/>
  <c r="C207" i="48"/>
  <c r="B207" i="48"/>
  <c r="A207" i="48"/>
  <c r="H201" i="48"/>
  <c r="G201" i="48"/>
  <c r="F201" i="48"/>
  <c r="E201" i="48"/>
  <c r="D201" i="48"/>
  <c r="D196" i="48"/>
  <c r="C196" i="48"/>
  <c r="N191" i="48"/>
  <c r="M191" i="48"/>
  <c r="L191" i="48"/>
  <c r="K191" i="48"/>
  <c r="J191" i="48"/>
  <c r="I191" i="48"/>
  <c r="H191" i="48"/>
  <c r="G191" i="48"/>
  <c r="F191" i="48"/>
  <c r="E191" i="48"/>
  <c r="D191" i="48"/>
  <c r="C191" i="48"/>
  <c r="I186" i="48"/>
  <c r="H186" i="48"/>
  <c r="G186" i="48"/>
  <c r="F186" i="48"/>
  <c r="E186" i="48"/>
  <c r="D186" i="48"/>
  <c r="C186" i="48"/>
  <c r="C181" i="48"/>
  <c r="B181" i="48"/>
  <c r="M177" i="48"/>
  <c r="L177" i="48"/>
  <c r="K177" i="48"/>
  <c r="J177" i="48"/>
  <c r="I177" i="48"/>
  <c r="H177" i="48"/>
  <c r="G177" i="48"/>
  <c r="F177" i="48"/>
  <c r="E177" i="48"/>
  <c r="D177" i="48"/>
  <c r="C177" i="48"/>
  <c r="B177" i="48"/>
  <c r="A177" i="48"/>
  <c r="J173" i="48"/>
  <c r="I173" i="48"/>
  <c r="H173" i="48"/>
  <c r="G173" i="48"/>
  <c r="F173" i="48"/>
  <c r="E173" i="48"/>
  <c r="D173" i="48"/>
  <c r="C173" i="48"/>
  <c r="B173" i="48"/>
  <c r="A173" i="48"/>
  <c r="F168" i="48"/>
  <c r="E168" i="48"/>
  <c r="D168" i="48"/>
  <c r="C168" i="48"/>
  <c r="B168" i="48"/>
  <c r="F164" i="48"/>
  <c r="E164" i="48"/>
  <c r="D164" i="48"/>
  <c r="C164" i="48"/>
  <c r="B164" i="48"/>
  <c r="A164" i="48"/>
  <c r="G158" i="48"/>
  <c r="F158" i="48"/>
  <c r="C153" i="48"/>
  <c r="B153" i="48"/>
  <c r="D148" i="48"/>
  <c r="C148" i="48"/>
  <c r="B148" i="48"/>
  <c r="D141" i="48"/>
  <c r="C141" i="48"/>
  <c r="B141" i="48"/>
  <c r="D136" i="48"/>
  <c r="C136" i="48"/>
  <c r="B136" i="48"/>
  <c r="A132" i="48"/>
  <c r="A129" i="48"/>
  <c r="A126" i="48"/>
  <c r="J122" i="48"/>
  <c r="I122" i="48"/>
  <c r="H122" i="48"/>
  <c r="G122" i="48"/>
  <c r="F122" i="48"/>
  <c r="E122" i="48"/>
  <c r="D122" i="48"/>
  <c r="C122" i="48"/>
  <c r="I117" i="48"/>
  <c r="H117" i="48"/>
  <c r="G117" i="48"/>
  <c r="F117" i="48"/>
  <c r="E117" i="48"/>
  <c r="D117" i="48"/>
  <c r="C117" i="48"/>
  <c r="F112" i="48"/>
  <c r="E112" i="48"/>
  <c r="D112" i="48"/>
  <c r="C112" i="48"/>
  <c r="C107" i="48"/>
  <c r="B107" i="48"/>
  <c r="A103" i="48"/>
  <c r="A101" i="48"/>
  <c r="E96" i="48"/>
  <c r="A96" i="48"/>
  <c r="E91" i="48"/>
  <c r="A91" i="48"/>
  <c r="K86" i="48"/>
  <c r="J86" i="48"/>
  <c r="I86" i="48"/>
  <c r="H86" i="48"/>
  <c r="G86" i="48"/>
  <c r="F86" i="48"/>
  <c r="E86" i="48"/>
  <c r="D86" i="48"/>
  <c r="C86" i="48"/>
  <c r="C81" i="48"/>
  <c r="B81" i="48"/>
  <c r="D76" i="48"/>
  <c r="C76" i="48"/>
  <c r="C72" i="48"/>
  <c r="C70" i="48"/>
  <c r="D66" i="48"/>
  <c r="C66" i="48"/>
  <c r="B62" i="48"/>
  <c r="C58" i="48"/>
  <c r="B58" i="48"/>
  <c r="L53" i="48"/>
  <c r="K53" i="48"/>
  <c r="J53" i="48"/>
  <c r="I53" i="48"/>
  <c r="H53" i="48"/>
  <c r="G53" i="48"/>
  <c r="G54" i="48" s="1"/>
  <c r="F53" i="48"/>
  <c r="E53" i="48"/>
  <c r="D53" i="48"/>
  <c r="C53" i="48"/>
  <c r="B53" i="48"/>
  <c r="H48" i="48"/>
  <c r="G48" i="48"/>
  <c r="F48" i="48"/>
  <c r="E48" i="48"/>
  <c r="D48" i="48"/>
  <c r="C48" i="48"/>
  <c r="B48" i="48"/>
  <c r="G43" i="48"/>
  <c r="F43" i="48"/>
  <c r="E43" i="48"/>
  <c r="D43" i="48"/>
  <c r="C43" i="48"/>
  <c r="J38" i="48"/>
  <c r="I38" i="48"/>
  <c r="H38" i="48"/>
  <c r="G38" i="48"/>
  <c r="F38" i="48"/>
  <c r="E38" i="48"/>
  <c r="D38" i="48"/>
  <c r="C38" i="48"/>
  <c r="G33" i="48"/>
  <c r="F33" i="48"/>
  <c r="E33" i="48"/>
  <c r="D33" i="48"/>
  <c r="C33" i="48"/>
  <c r="K28" i="48"/>
  <c r="J28" i="48"/>
  <c r="I28" i="48"/>
  <c r="H28" i="48"/>
  <c r="G28" i="48"/>
  <c r="F28" i="48"/>
  <c r="E28" i="48"/>
  <c r="D28" i="48"/>
  <c r="C28" i="48"/>
  <c r="D23" i="48"/>
  <c r="C23" i="48"/>
  <c r="B23" i="48"/>
  <c r="D18" i="48"/>
  <c r="C18" i="48"/>
  <c r="B18" i="48"/>
  <c r="F12" i="48"/>
  <c r="E12" i="48"/>
  <c r="D12" i="48"/>
  <c r="C12" i="48"/>
  <c r="B12" i="48"/>
  <c r="D7" i="48"/>
  <c r="C7" i="48"/>
  <c r="B7" i="48"/>
  <c r="G7" i="48" s="1"/>
  <c r="C303" i="47"/>
  <c r="B303" i="47"/>
  <c r="C298" i="47"/>
  <c r="B298" i="47"/>
  <c r="C293" i="47"/>
  <c r="B293" i="47"/>
  <c r="C288" i="47"/>
  <c r="B288" i="47"/>
  <c r="C283" i="47"/>
  <c r="B283" i="47"/>
  <c r="C278" i="47"/>
  <c r="B278" i="47"/>
  <c r="C273" i="47"/>
  <c r="B273" i="47"/>
  <c r="H268" i="47"/>
  <c r="G268" i="47"/>
  <c r="F268" i="47"/>
  <c r="E268" i="47"/>
  <c r="D268" i="47"/>
  <c r="D263" i="47"/>
  <c r="C263" i="47"/>
  <c r="J258" i="47"/>
  <c r="I258" i="47"/>
  <c r="H258" i="47"/>
  <c r="G258" i="47"/>
  <c r="F258" i="47"/>
  <c r="E258" i="47"/>
  <c r="D258" i="47"/>
  <c r="C258" i="47"/>
  <c r="C253" i="47"/>
  <c r="B253" i="47"/>
  <c r="C248" i="47"/>
  <c r="B248" i="47"/>
  <c r="C243" i="47"/>
  <c r="B243" i="47"/>
  <c r="J238" i="47"/>
  <c r="I238" i="47"/>
  <c r="H238" i="47"/>
  <c r="G238" i="47"/>
  <c r="F238" i="47"/>
  <c r="E238" i="47"/>
  <c r="D238" i="47"/>
  <c r="C238" i="47"/>
  <c r="C233" i="47"/>
  <c r="B233" i="47"/>
  <c r="M228" i="47"/>
  <c r="L228" i="47"/>
  <c r="K228" i="47"/>
  <c r="J228" i="47"/>
  <c r="I228" i="47"/>
  <c r="H228" i="47"/>
  <c r="G228" i="47"/>
  <c r="F228" i="47"/>
  <c r="E228" i="47"/>
  <c r="D228" i="47"/>
  <c r="C228" i="47"/>
  <c r="B228" i="47"/>
  <c r="A228" i="47"/>
  <c r="H223" i="47"/>
  <c r="G223" i="47"/>
  <c r="F223" i="47"/>
  <c r="E223" i="47"/>
  <c r="D223" i="47"/>
  <c r="D218" i="47"/>
  <c r="C218" i="47"/>
  <c r="O213" i="47"/>
  <c r="N213" i="47"/>
  <c r="M213" i="47"/>
  <c r="L213" i="47"/>
  <c r="K213" i="47"/>
  <c r="J213" i="47"/>
  <c r="I213" i="47"/>
  <c r="H213" i="47"/>
  <c r="G213" i="47"/>
  <c r="F213" i="47"/>
  <c r="E213" i="47"/>
  <c r="D213" i="47"/>
  <c r="C213" i="47"/>
  <c r="I207" i="47"/>
  <c r="H207" i="47"/>
  <c r="G207" i="47"/>
  <c r="F207" i="47"/>
  <c r="E207" i="47"/>
  <c r="D207" i="47"/>
  <c r="C207" i="47"/>
  <c r="C202" i="47"/>
  <c r="B202" i="47"/>
  <c r="L198" i="47"/>
  <c r="K198" i="47"/>
  <c r="J198" i="47"/>
  <c r="I198" i="47"/>
  <c r="H198" i="47"/>
  <c r="G198" i="47"/>
  <c r="F198" i="47"/>
  <c r="E198" i="47"/>
  <c r="D198" i="47"/>
  <c r="C198" i="47"/>
  <c r="B198" i="47"/>
  <c r="A198" i="47"/>
  <c r="P194" i="47"/>
  <c r="O194" i="47"/>
  <c r="N194" i="47"/>
  <c r="M194" i="47"/>
  <c r="L194" i="47"/>
  <c r="K194" i="47"/>
  <c r="J194" i="47"/>
  <c r="I194" i="47"/>
  <c r="H194" i="47"/>
  <c r="G194" i="47"/>
  <c r="F194" i="47"/>
  <c r="E194" i="47"/>
  <c r="D194" i="47"/>
  <c r="C194" i="47"/>
  <c r="B194" i="47"/>
  <c r="A194" i="47"/>
  <c r="F189" i="47"/>
  <c r="E189" i="47"/>
  <c r="D189" i="47"/>
  <c r="C189" i="47"/>
  <c r="B189" i="47"/>
  <c r="C184" i="47"/>
  <c r="B184" i="47"/>
  <c r="B185" i="47" s="1"/>
  <c r="G179" i="47"/>
  <c r="F179" i="47"/>
  <c r="E179" i="47"/>
  <c r="D179" i="47"/>
  <c r="C179" i="47"/>
  <c r="B179" i="47"/>
  <c r="E173" i="47"/>
  <c r="E172" i="47"/>
  <c r="E171" i="47"/>
  <c r="E170" i="47"/>
  <c r="E169" i="47"/>
  <c r="E168" i="47"/>
  <c r="E167" i="47"/>
  <c r="E166" i="47"/>
  <c r="G162" i="47"/>
  <c r="F162" i="47"/>
  <c r="E162" i="47"/>
  <c r="D162" i="47"/>
  <c r="C162" i="47"/>
  <c r="B162" i="47"/>
  <c r="M157" i="47"/>
  <c r="L157" i="47"/>
  <c r="K157" i="47"/>
  <c r="J157" i="47"/>
  <c r="I157" i="47"/>
  <c r="H157" i="47"/>
  <c r="G157" i="47"/>
  <c r="F157" i="47"/>
  <c r="E157" i="47"/>
  <c r="D157" i="47"/>
  <c r="J152" i="47"/>
  <c r="I152" i="47"/>
  <c r="H152" i="47"/>
  <c r="G152" i="47"/>
  <c r="F152" i="47"/>
  <c r="E152" i="47"/>
  <c r="D152" i="47"/>
  <c r="F147" i="47"/>
  <c r="E147" i="47"/>
  <c r="D147" i="47"/>
  <c r="C147" i="47"/>
  <c r="C142" i="47"/>
  <c r="B142" i="47"/>
  <c r="E138" i="47"/>
  <c r="F134" i="47"/>
  <c r="E134" i="47"/>
  <c r="D134" i="47"/>
  <c r="C134" i="47"/>
  <c r="B134" i="47"/>
  <c r="C129" i="47"/>
  <c r="B129" i="47"/>
  <c r="G123" i="47"/>
  <c r="F123" i="47"/>
  <c r="E123" i="47"/>
  <c r="D123" i="47"/>
  <c r="C123" i="47"/>
  <c r="B123" i="47"/>
  <c r="K118" i="47"/>
  <c r="J118" i="47"/>
  <c r="I118" i="47"/>
  <c r="H118" i="47"/>
  <c r="G118" i="47"/>
  <c r="F118" i="47"/>
  <c r="E118" i="47"/>
  <c r="D118" i="47"/>
  <c r="K113" i="47"/>
  <c r="J113" i="47"/>
  <c r="I113" i="47"/>
  <c r="H113" i="47"/>
  <c r="G113" i="47"/>
  <c r="F113" i="47"/>
  <c r="E113" i="47"/>
  <c r="D113" i="47"/>
  <c r="G108" i="47"/>
  <c r="F108" i="47"/>
  <c r="E108" i="47"/>
  <c r="D108" i="47"/>
  <c r="D103" i="47"/>
  <c r="C103" i="47"/>
  <c r="D97" i="47"/>
  <c r="C97" i="47"/>
  <c r="B97" i="47"/>
  <c r="N92" i="47"/>
  <c r="M92" i="47"/>
  <c r="L92" i="47"/>
  <c r="K92" i="47"/>
  <c r="J92" i="47"/>
  <c r="I92" i="47"/>
  <c r="H92" i="47"/>
  <c r="G92" i="47"/>
  <c r="F92" i="47"/>
  <c r="E92" i="47"/>
  <c r="D92" i="47"/>
  <c r="C92" i="47"/>
  <c r="B92" i="47"/>
  <c r="F86" i="47"/>
  <c r="E86" i="47"/>
  <c r="D86" i="47"/>
  <c r="C86" i="47"/>
  <c r="C81" i="47"/>
  <c r="B81" i="47"/>
  <c r="G76" i="47"/>
  <c r="F76" i="47"/>
  <c r="E76" i="47"/>
  <c r="D76" i="47"/>
  <c r="C76" i="47"/>
  <c r="C71" i="47"/>
  <c r="B71" i="47"/>
  <c r="D66" i="47"/>
  <c r="C66" i="47"/>
  <c r="E62" i="47"/>
  <c r="E60" i="47"/>
  <c r="D57" i="47"/>
  <c r="C57" i="47"/>
  <c r="B53" i="47"/>
  <c r="D49" i="47"/>
  <c r="C49" i="47"/>
  <c r="B49" i="47"/>
  <c r="J44" i="47"/>
  <c r="I44" i="47"/>
  <c r="H44" i="47"/>
  <c r="G44" i="47"/>
  <c r="F44" i="47"/>
  <c r="E44" i="47"/>
  <c r="D44" i="47"/>
  <c r="C44" i="47"/>
  <c r="B44" i="47"/>
  <c r="E39" i="47"/>
  <c r="D39" i="47"/>
  <c r="C39" i="47"/>
  <c r="C34" i="47"/>
  <c r="B34" i="47"/>
  <c r="G29" i="47"/>
  <c r="F29" i="47"/>
  <c r="E29" i="47"/>
  <c r="D29" i="47"/>
  <c r="C29" i="47"/>
  <c r="L24" i="47"/>
  <c r="L25" i="47" s="1"/>
  <c r="K24" i="47"/>
  <c r="K25" i="47" s="1"/>
  <c r="J24" i="47"/>
  <c r="J25" i="47" s="1"/>
  <c r="I24" i="47"/>
  <c r="I25" i="47" s="1"/>
  <c r="H24" i="47"/>
  <c r="H25" i="47" s="1"/>
  <c r="G24" i="47"/>
  <c r="G25" i="47" s="1"/>
  <c r="F24" i="47"/>
  <c r="F25" i="47" s="1"/>
  <c r="E24" i="47"/>
  <c r="E25" i="47" s="1"/>
  <c r="D24" i="47"/>
  <c r="D25" i="47" s="1"/>
  <c r="C24" i="47"/>
  <c r="C25" i="47" s="1"/>
  <c r="G19" i="47"/>
  <c r="G20" i="47" s="1"/>
  <c r="F19" i="47"/>
  <c r="F20" i="47" s="1"/>
  <c r="E19" i="47"/>
  <c r="E20" i="47" s="1"/>
  <c r="D19" i="47"/>
  <c r="D20" i="47" s="1"/>
  <c r="C19" i="47"/>
  <c r="C20" i="47" s="1"/>
  <c r="H20" i="47" s="1"/>
  <c r="M14" i="47"/>
  <c r="L14" i="47"/>
  <c r="K14" i="47"/>
  <c r="J14" i="47"/>
  <c r="I14" i="47"/>
  <c r="H14" i="47"/>
  <c r="G14" i="47"/>
  <c r="F14" i="47"/>
  <c r="E14" i="47"/>
  <c r="D14" i="47"/>
  <c r="C14" i="47"/>
  <c r="D9" i="47"/>
  <c r="C9" i="47"/>
  <c r="B9" i="47"/>
  <c r="C3" i="47"/>
  <c r="M167" i="46"/>
  <c r="L167" i="46"/>
  <c r="K167" i="46"/>
  <c r="J167" i="46"/>
  <c r="I167" i="46"/>
  <c r="H167" i="46"/>
  <c r="G167" i="46"/>
  <c r="F167" i="46"/>
  <c r="E167" i="46"/>
  <c r="D167" i="46"/>
  <c r="C167" i="46"/>
  <c r="B167" i="46"/>
  <c r="A167" i="46"/>
  <c r="H160" i="46"/>
  <c r="G160" i="46"/>
  <c r="F160" i="46"/>
  <c r="E160" i="46"/>
  <c r="D160" i="46"/>
  <c r="D155" i="46"/>
  <c r="C155" i="46"/>
  <c r="O150" i="46"/>
  <c r="N150" i="46"/>
  <c r="M150" i="46"/>
  <c r="L150" i="46"/>
  <c r="K150" i="46"/>
  <c r="J150" i="46"/>
  <c r="I150" i="46"/>
  <c r="H150" i="46"/>
  <c r="G150" i="46"/>
  <c r="F150" i="46"/>
  <c r="E150" i="46"/>
  <c r="D150" i="46"/>
  <c r="C150" i="46"/>
  <c r="I145" i="46"/>
  <c r="H145" i="46"/>
  <c r="G145" i="46"/>
  <c r="F145" i="46"/>
  <c r="E145" i="46"/>
  <c r="D145" i="46"/>
  <c r="C145" i="46"/>
  <c r="C140" i="46"/>
  <c r="B140" i="46"/>
  <c r="L136" i="46"/>
  <c r="K136" i="46"/>
  <c r="J136" i="46"/>
  <c r="I136" i="46"/>
  <c r="H136" i="46"/>
  <c r="G136" i="46"/>
  <c r="F136" i="46"/>
  <c r="E136" i="46"/>
  <c r="D136" i="46"/>
  <c r="C136" i="46"/>
  <c r="B136" i="46"/>
  <c r="A136" i="46"/>
  <c r="L132" i="46"/>
  <c r="K132" i="46"/>
  <c r="J132" i="46"/>
  <c r="I132" i="46"/>
  <c r="H132" i="46"/>
  <c r="G132" i="46"/>
  <c r="F132" i="46"/>
  <c r="E132" i="46"/>
  <c r="D132" i="46"/>
  <c r="C132" i="46"/>
  <c r="B132" i="46"/>
  <c r="A132" i="46"/>
  <c r="F127" i="46"/>
  <c r="E127" i="46"/>
  <c r="D127" i="46"/>
  <c r="C127" i="46"/>
  <c r="B127" i="46"/>
  <c r="D122" i="46"/>
  <c r="C122" i="46"/>
  <c r="B122" i="46"/>
  <c r="I117" i="46"/>
  <c r="H117" i="46"/>
  <c r="G117" i="46"/>
  <c r="F117" i="46"/>
  <c r="E117" i="46"/>
  <c r="D117" i="46"/>
  <c r="C117" i="46"/>
  <c r="B117" i="46"/>
  <c r="G113" i="46"/>
  <c r="F113" i="46"/>
  <c r="E113" i="46"/>
  <c r="D113" i="46"/>
  <c r="C113" i="46"/>
  <c r="B113" i="46"/>
  <c r="F108" i="46"/>
  <c r="E108" i="46"/>
  <c r="D108" i="46"/>
  <c r="C108" i="46"/>
  <c r="D103" i="46"/>
  <c r="C103" i="46"/>
  <c r="B99" i="46"/>
  <c r="C95" i="46"/>
  <c r="B95" i="46"/>
  <c r="D90" i="46"/>
  <c r="C90" i="46"/>
  <c r="B90" i="46"/>
  <c r="B91" i="46" s="1"/>
  <c r="I83" i="46"/>
  <c r="H83" i="46"/>
  <c r="G83" i="46"/>
  <c r="F83" i="46"/>
  <c r="E83" i="46"/>
  <c r="D83" i="46"/>
  <c r="C83" i="46"/>
  <c r="J78" i="46"/>
  <c r="I78" i="46"/>
  <c r="H78" i="46"/>
  <c r="G78" i="46"/>
  <c r="F78" i="46"/>
  <c r="E78" i="46"/>
  <c r="D78" i="46"/>
  <c r="C78" i="46"/>
  <c r="F73" i="46"/>
  <c r="E73" i="46"/>
  <c r="D73" i="46"/>
  <c r="C73" i="46"/>
  <c r="C68" i="46"/>
  <c r="B68" i="46"/>
  <c r="H63" i="46"/>
  <c r="G63" i="46"/>
  <c r="F63" i="46"/>
  <c r="E63" i="46"/>
  <c r="D63" i="46"/>
  <c r="C63" i="46"/>
  <c r="B63" i="46"/>
  <c r="F58" i="46"/>
  <c r="E58" i="46"/>
  <c r="D58" i="46"/>
  <c r="C58" i="46"/>
  <c r="B58" i="46"/>
  <c r="H53" i="46"/>
  <c r="G53" i="46"/>
  <c r="F53" i="46"/>
  <c r="E53" i="46"/>
  <c r="D53" i="46"/>
  <c r="C53" i="46"/>
  <c r="B53" i="46"/>
  <c r="A49" i="46"/>
  <c r="E45" i="46"/>
  <c r="D45" i="46"/>
  <c r="C45" i="46"/>
  <c r="B45" i="46"/>
  <c r="L38" i="46"/>
  <c r="K38" i="46"/>
  <c r="J38" i="46"/>
  <c r="I38" i="46"/>
  <c r="H38" i="46"/>
  <c r="G38" i="46"/>
  <c r="F38" i="46"/>
  <c r="E38" i="46"/>
  <c r="D38" i="46"/>
  <c r="C38" i="46"/>
  <c r="B38" i="46"/>
  <c r="H33" i="46"/>
  <c r="G33" i="46"/>
  <c r="F33" i="46"/>
  <c r="E33" i="46"/>
  <c r="D33" i="46"/>
  <c r="I28" i="46"/>
  <c r="H28" i="46"/>
  <c r="G28" i="46"/>
  <c r="F28" i="46"/>
  <c r="E28" i="46"/>
  <c r="D28" i="46"/>
  <c r="H23" i="46"/>
  <c r="G23" i="46"/>
  <c r="F23" i="46"/>
  <c r="E23" i="46"/>
  <c r="D23" i="46"/>
  <c r="F18" i="46"/>
  <c r="E18" i="46"/>
  <c r="D18" i="46"/>
  <c r="D13" i="46"/>
  <c r="B13" i="46"/>
  <c r="H7" i="46"/>
  <c r="G7" i="46"/>
  <c r="F7" i="46"/>
  <c r="E7" i="46"/>
  <c r="D7" i="46"/>
  <c r="C7" i="46"/>
  <c r="B7" i="46"/>
  <c r="B95" i="18"/>
  <c r="B63" i="18"/>
  <c r="H63" i="18"/>
  <c r="E23" i="18"/>
  <c r="H7" i="18"/>
  <c r="J7" i="46" l="1"/>
  <c r="D36" i="49"/>
  <c r="C77" i="48"/>
  <c r="E76" i="48"/>
  <c r="F187" i="48"/>
  <c r="J192" i="48"/>
  <c r="C79" i="46"/>
  <c r="H87" i="48"/>
  <c r="I239" i="47"/>
  <c r="E263" i="47"/>
  <c r="D67" i="48"/>
  <c r="D87" i="48"/>
  <c r="D273" i="47"/>
  <c r="D293" i="47"/>
  <c r="J119" i="47"/>
  <c r="D129" i="47"/>
  <c r="D142" i="47"/>
  <c r="D233" i="47"/>
  <c r="I103" i="49"/>
  <c r="D77" i="47"/>
  <c r="C148" i="47"/>
  <c r="C239" i="47"/>
  <c r="D148" i="47"/>
  <c r="D239" i="47"/>
  <c r="F77" i="47"/>
  <c r="F109" i="47"/>
  <c r="E239" i="47"/>
  <c r="J114" i="47"/>
  <c r="K214" i="47"/>
  <c r="C264" i="47"/>
  <c r="H123" i="48"/>
  <c r="F103" i="49"/>
  <c r="E79" i="46"/>
  <c r="E161" i="46"/>
  <c r="I84" i="46"/>
  <c r="F192" i="48"/>
  <c r="F44" i="48"/>
  <c r="G46" i="49"/>
  <c r="H79" i="46"/>
  <c r="C123" i="46"/>
  <c r="J239" i="47"/>
  <c r="D98" i="49"/>
  <c r="H84" i="46"/>
  <c r="H29" i="46"/>
  <c r="I118" i="46"/>
  <c r="E18" i="48"/>
  <c r="C118" i="48"/>
  <c r="I29" i="46"/>
  <c r="D79" i="46"/>
  <c r="E109" i="46"/>
  <c r="B123" i="46"/>
  <c r="D140" i="46"/>
  <c r="D81" i="47"/>
  <c r="G239" i="47"/>
  <c r="E30" i="47"/>
  <c r="D132" i="49"/>
  <c r="D34" i="46"/>
  <c r="D104" i="46"/>
  <c r="F109" i="46"/>
  <c r="D44" i="48"/>
  <c r="E113" i="48"/>
  <c r="K41" i="49"/>
  <c r="D50" i="49"/>
  <c r="F29" i="46"/>
  <c r="G34" i="46"/>
  <c r="F118" i="46"/>
  <c r="F151" i="46"/>
  <c r="H161" i="46"/>
  <c r="I39" i="48"/>
  <c r="H34" i="46"/>
  <c r="F30" i="47"/>
  <c r="J29" i="48"/>
  <c r="G49" i="48"/>
  <c r="I87" i="48"/>
  <c r="E123" i="48"/>
  <c r="E148" i="48"/>
  <c r="E196" i="48"/>
  <c r="D30" i="49"/>
  <c r="I146" i="46"/>
  <c r="D161" i="46"/>
  <c r="H153" i="47"/>
  <c r="D243" i="47"/>
  <c r="G159" i="48"/>
  <c r="I108" i="49"/>
  <c r="F39" i="48"/>
  <c r="C113" i="48"/>
  <c r="G39" i="48"/>
  <c r="D93" i="48"/>
  <c r="H118" i="48"/>
  <c r="E141" i="48"/>
  <c r="C208" i="47"/>
  <c r="C74" i="46"/>
  <c r="E151" i="46"/>
  <c r="D113" i="48"/>
  <c r="E34" i="48"/>
  <c r="D98" i="48"/>
  <c r="G118" i="48"/>
  <c r="E29" i="46"/>
  <c r="I79" i="46"/>
  <c r="J39" i="48"/>
  <c r="D77" i="48"/>
  <c r="D123" i="48"/>
  <c r="E7" i="49"/>
  <c r="I62" i="49" s="1"/>
  <c r="D41" i="49"/>
  <c r="D34" i="48"/>
  <c r="E29" i="48"/>
  <c r="D109" i="46"/>
  <c r="I151" i="46"/>
  <c r="D156" i="46"/>
  <c r="J153" i="47"/>
  <c r="K119" i="47"/>
  <c r="F190" i="47"/>
  <c r="D259" i="47"/>
  <c r="D264" i="47"/>
  <c r="F34" i="48"/>
  <c r="J87" i="48"/>
  <c r="E98" i="49"/>
  <c r="J151" i="46"/>
  <c r="G41" i="49"/>
  <c r="C108" i="49"/>
  <c r="H146" i="46"/>
  <c r="E74" i="46"/>
  <c r="E84" i="46"/>
  <c r="E118" i="46"/>
  <c r="G214" i="47"/>
  <c r="D39" i="48"/>
  <c r="G103" i="49"/>
  <c r="H41" i="49"/>
  <c r="E46" i="49"/>
  <c r="F108" i="49"/>
  <c r="C46" i="49"/>
  <c r="D29" i="48"/>
  <c r="E104" i="46"/>
  <c r="I123" i="48"/>
  <c r="G202" i="48"/>
  <c r="F153" i="47"/>
  <c r="G29" i="48"/>
  <c r="F87" i="48"/>
  <c r="H202" i="48"/>
  <c r="F98" i="49"/>
  <c r="L41" i="49"/>
  <c r="H108" i="49"/>
  <c r="E146" i="46"/>
  <c r="N151" i="46"/>
  <c r="E87" i="48"/>
  <c r="D24" i="46"/>
  <c r="G29" i="46"/>
  <c r="F74" i="46"/>
  <c r="J79" i="46"/>
  <c r="C109" i="46"/>
  <c r="G109" i="46" s="1"/>
  <c r="H118" i="46"/>
  <c r="G146" i="46"/>
  <c r="H151" i="46"/>
  <c r="C156" i="46"/>
  <c r="G259" i="47"/>
  <c r="H45" i="47"/>
  <c r="E87" i="47"/>
  <c r="I158" i="47"/>
  <c r="G109" i="47"/>
  <c r="F119" i="47"/>
  <c r="G45" i="47"/>
  <c r="C45" i="47"/>
  <c r="D58" i="47"/>
  <c r="C67" i="47"/>
  <c r="G77" i="47"/>
  <c r="H158" i="47"/>
  <c r="D158" i="47"/>
  <c r="L158" i="47"/>
  <c r="G224" i="47"/>
  <c r="F239" i="47"/>
  <c r="I119" i="47"/>
  <c r="L15" i="47"/>
  <c r="G30" i="47"/>
  <c r="H119" i="47"/>
  <c r="D119" i="47"/>
  <c r="E109" i="47"/>
  <c r="H239" i="47"/>
  <c r="F146" i="46"/>
  <c r="K151" i="46"/>
  <c r="J123" i="48"/>
  <c r="D67" i="47"/>
  <c r="M158" i="47"/>
  <c r="I259" i="47"/>
  <c r="H224" i="47"/>
  <c r="D74" i="46"/>
  <c r="G118" i="46"/>
  <c r="O151" i="46"/>
  <c r="F114" i="47"/>
  <c r="F148" i="47"/>
  <c r="K158" i="47"/>
  <c r="E40" i="47"/>
  <c r="I45" i="47"/>
  <c r="E77" i="47"/>
  <c r="F87" i="47"/>
  <c r="E114" i="47"/>
  <c r="E119" i="47"/>
  <c r="E153" i="47"/>
  <c r="I153" i="47"/>
  <c r="J158" i="47"/>
  <c r="H29" i="48"/>
  <c r="G44" i="48"/>
  <c r="E41" i="49"/>
  <c r="C123" i="48"/>
  <c r="F202" i="48"/>
  <c r="E13" i="48"/>
  <c r="D49" i="48"/>
  <c r="E39" i="48"/>
  <c r="H43" i="48"/>
  <c r="E66" i="48"/>
  <c r="L86" i="48"/>
  <c r="K87" i="48"/>
  <c r="E107" i="48"/>
  <c r="F118" i="48"/>
  <c r="G123" i="48"/>
  <c r="E136" i="48"/>
  <c r="I192" i="48"/>
  <c r="I187" i="48"/>
  <c r="E202" i="48"/>
  <c r="D12" i="49"/>
  <c r="I41" i="49"/>
  <c r="F46" i="49"/>
  <c r="J56" i="49"/>
  <c r="I66" i="49"/>
  <c r="C103" i="49"/>
  <c r="E108" i="49"/>
  <c r="C151" i="49"/>
  <c r="D151" i="49" s="1"/>
  <c r="E8" i="48"/>
  <c r="J41" i="49"/>
  <c r="D103" i="49"/>
  <c r="E17" i="49"/>
  <c r="C41" i="49"/>
  <c r="H46" i="49"/>
  <c r="D56" i="49"/>
  <c r="L56" i="49"/>
  <c r="H71" i="49"/>
  <c r="I81" i="49"/>
  <c r="D92" i="49"/>
  <c r="G108" i="49"/>
  <c r="F138" i="49"/>
  <c r="H114" i="47"/>
  <c r="E158" i="47"/>
  <c r="I208" i="47"/>
  <c r="C49" i="48"/>
  <c r="C39" i="48"/>
  <c r="F123" i="48"/>
  <c r="F29" i="48"/>
  <c r="C8" i="46"/>
  <c r="E13" i="46"/>
  <c r="H64" i="46" s="1"/>
  <c r="H24" i="46"/>
  <c r="E34" i="46"/>
  <c r="F45" i="46"/>
  <c r="I53" i="46"/>
  <c r="D68" i="46"/>
  <c r="F79" i="46"/>
  <c r="F84" i="46"/>
  <c r="H113" i="46"/>
  <c r="J117" i="46"/>
  <c r="C146" i="46"/>
  <c r="D151" i="46"/>
  <c r="L151" i="46"/>
  <c r="F161" i="46"/>
  <c r="J45" i="47"/>
  <c r="F224" i="47"/>
  <c r="E269" i="47"/>
  <c r="G87" i="48"/>
  <c r="E118" i="48"/>
  <c r="D202" i="48"/>
  <c r="D8" i="48"/>
  <c r="D19" i="48"/>
  <c r="G97" i="49"/>
  <c r="H103" i="49"/>
  <c r="M41" i="49"/>
  <c r="G8" i="46"/>
  <c r="J39" i="46"/>
  <c r="E45" i="47"/>
  <c r="F45" i="47"/>
  <c r="I15" i="47"/>
  <c r="D45" i="47"/>
  <c r="H179" i="47"/>
  <c r="D224" i="47"/>
  <c r="H269" i="47"/>
  <c r="C151" i="46"/>
  <c r="E224" i="47"/>
  <c r="D118" i="46"/>
  <c r="D123" i="46"/>
  <c r="G151" i="46"/>
  <c r="D8" i="46"/>
  <c r="D19" i="46"/>
  <c r="D29" i="46"/>
  <c r="F34" i="46"/>
  <c r="G73" i="46"/>
  <c r="G79" i="46"/>
  <c r="G84" i="46"/>
  <c r="D146" i="46"/>
  <c r="M151" i="46"/>
  <c r="G161" i="46"/>
  <c r="D15" i="47"/>
  <c r="C58" i="47"/>
  <c r="D87" i="47"/>
  <c r="D104" i="47"/>
  <c r="E104" i="18"/>
  <c r="D46" i="49"/>
  <c r="I46" i="49"/>
  <c r="I56" i="49"/>
  <c r="D128" i="49"/>
  <c r="J46" i="49"/>
  <c r="H128" i="49"/>
  <c r="B128" i="49"/>
  <c r="C128" i="49"/>
  <c r="E36" i="49"/>
  <c r="K46" i="49"/>
  <c r="H56" i="49"/>
  <c r="B138" i="49"/>
  <c r="B56" i="49"/>
  <c r="E128" i="49"/>
  <c r="C138" i="49"/>
  <c r="C36" i="49"/>
  <c r="C98" i="49"/>
  <c r="E56" i="49"/>
  <c r="F56" i="49"/>
  <c r="B13" i="49"/>
  <c r="F36" i="49"/>
  <c r="F41" i="49"/>
  <c r="G56" i="49"/>
  <c r="D108" i="49"/>
  <c r="G128" i="49"/>
  <c r="E138" i="49"/>
  <c r="D150" i="49"/>
  <c r="D138" i="49"/>
  <c r="C13" i="49"/>
  <c r="F128" i="49"/>
  <c r="H86" i="49"/>
  <c r="E103" i="49"/>
  <c r="G35" i="49"/>
  <c r="C56" i="49"/>
  <c r="K56" i="49"/>
  <c r="J54" i="48"/>
  <c r="F159" i="48"/>
  <c r="L192" i="48"/>
  <c r="F13" i="48"/>
  <c r="E49" i="48"/>
  <c r="C59" i="48"/>
  <c r="D187" i="48"/>
  <c r="K192" i="48"/>
  <c r="B49" i="48"/>
  <c r="C82" i="48"/>
  <c r="H192" i="48"/>
  <c r="E44" i="48"/>
  <c r="F49" i="48"/>
  <c r="C67" i="48"/>
  <c r="E187" i="48"/>
  <c r="M192" i="48"/>
  <c r="B59" i="48"/>
  <c r="C19" i="48"/>
  <c r="H49" i="48"/>
  <c r="G187" i="48"/>
  <c r="N192" i="48"/>
  <c r="C197" i="48"/>
  <c r="B8" i="48"/>
  <c r="C44" i="48"/>
  <c r="B54" i="48"/>
  <c r="B182" i="48"/>
  <c r="H187" i="48"/>
  <c r="D192" i="48"/>
  <c r="E23" i="48"/>
  <c r="D108" i="48" s="1"/>
  <c r="H39" i="48"/>
  <c r="F54" i="48"/>
  <c r="C182" i="48"/>
  <c r="C192" i="48"/>
  <c r="G192" i="48"/>
  <c r="C13" i="48"/>
  <c r="I54" i="48"/>
  <c r="B13" i="48"/>
  <c r="C187" i="48"/>
  <c r="E192" i="48"/>
  <c r="C87" i="48"/>
  <c r="F113" i="48"/>
  <c r="D197" i="48"/>
  <c r="D13" i="48"/>
  <c r="C54" i="48"/>
  <c r="D54" i="48"/>
  <c r="L54" i="48"/>
  <c r="D81" i="48"/>
  <c r="D118" i="48"/>
  <c r="D181" i="48"/>
  <c r="B19" i="48"/>
  <c r="B24" i="48"/>
  <c r="K54" i="48"/>
  <c r="C24" i="48"/>
  <c r="D24" i="48"/>
  <c r="E54" i="48"/>
  <c r="B82" i="48"/>
  <c r="H158" i="48"/>
  <c r="G34" i="48"/>
  <c r="I29" i="48"/>
  <c r="H33" i="48"/>
  <c r="G112" i="48"/>
  <c r="I118" i="48" s="1"/>
  <c r="C34" i="48"/>
  <c r="H34" i="48" s="1"/>
  <c r="D58" i="48"/>
  <c r="D153" i="48"/>
  <c r="C8" i="48"/>
  <c r="G12" i="48"/>
  <c r="C29" i="48"/>
  <c r="K29" i="48"/>
  <c r="H54" i="48"/>
  <c r="K114" i="47"/>
  <c r="M15" i="47"/>
  <c r="C87" i="47"/>
  <c r="D114" i="47"/>
  <c r="C185" i="47"/>
  <c r="D185" i="47" s="1"/>
  <c r="H208" i="47"/>
  <c r="L214" i="47"/>
  <c r="E259" i="47"/>
  <c r="J15" i="47"/>
  <c r="D190" i="47"/>
  <c r="M214" i="47"/>
  <c r="F259" i="47"/>
  <c r="D269" i="47"/>
  <c r="E190" i="47"/>
  <c r="G114" i="47"/>
  <c r="G119" i="47"/>
  <c r="D180" i="47"/>
  <c r="C214" i="47"/>
  <c r="O214" i="47"/>
  <c r="H259" i="47"/>
  <c r="G269" i="47"/>
  <c r="E15" i="47"/>
  <c r="F180" i="47"/>
  <c r="N214" i="47"/>
  <c r="D214" i="47"/>
  <c r="C219" i="47"/>
  <c r="C180" i="47"/>
  <c r="I114" i="47"/>
  <c r="E214" i="47"/>
  <c r="J259" i="47"/>
  <c r="D10" i="47"/>
  <c r="F15" i="47"/>
  <c r="D40" i="47"/>
  <c r="D109" i="47"/>
  <c r="G180" i="47"/>
  <c r="D208" i="47"/>
  <c r="D219" i="47"/>
  <c r="F269" i="47"/>
  <c r="G15" i="47"/>
  <c r="E208" i="47"/>
  <c r="F214" i="47"/>
  <c r="C259" i="47"/>
  <c r="C203" i="47"/>
  <c r="G208" i="47"/>
  <c r="E9" i="47"/>
  <c r="C234" i="47" s="1"/>
  <c r="C15" i="47"/>
  <c r="K15" i="47"/>
  <c r="H19" i="47"/>
  <c r="H29" i="47"/>
  <c r="F39" i="47"/>
  <c r="D71" i="47"/>
  <c r="H162" i="47"/>
  <c r="D184" i="47"/>
  <c r="H214" i="47"/>
  <c r="B10" i="47"/>
  <c r="C30" i="47"/>
  <c r="H30" i="47" s="1"/>
  <c r="D34" i="47"/>
  <c r="C40" i="47"/>
  <c r="H76" i="47"/>
  <c r="B190" i="47"/>
  <c r="I214" i="47"/>
  <c r="D253" i="47"/>
  <c r="D288" i="47"/>
  <c r="D153" i="47"/>
  <c r="C10" i="47"/>
  <c r="D30" i="47"/>
  <c r="E49" i="47"/>
  <c r="E57" i="47"/>
  <c r="E66" i="47"/>
  <c r="C77" i="47"/>
  <c r="G86" i="47"/>
  <c r="G147" i="47"/>
  <c r="G153" i="47"/>
  <c r="F158" i="47"/>
  <c r="E180" i="47"/>
  <c r="C190" i="47"/>
  <c r="F208" i="47"/>
  <c r="J214" i="47"/>
  <c r="E218" i="47"/>
  <c r="G158" i="47"/>
  <c r="D248" i="47"/>
  <c r="D283" i="47"/>
  <c r="D303" i="47"/>
  <c r="E103" i="47"/>
  <c r="D202" i="47"/>
  <c r="H15" i="47"/>
  <c r="E97" i="47"/>
  <c r="C104" i="47"/>
  <c r="E148" i="47"/>
  <c r="B203" i="47"/>
  <c r="D278" i="47"/>
  <c r="D298" i="47"/>
  <c r="B180" i="47"/>
  <c r="B45" i="47"/>
  <c r="G18" i="46"/>
  <c r="D128" i="46"/>
  <c r="E8" i="46"/>
  <c r="F19" i="46"/>
  <c r="K39" i="46"/>
  <c r="B8" i="46"/>
  <c r="E24" i="46"/>
  <c r="F39" i="46"/>
  <c r="G24" i="46"/>
  <c r="I39" i="46"/>
  <c r="F8" i="46"/>
  <c r="B39" i="46"/>
  <c r="E19" i="46"/>
  <c r="C39" i="46"/>
  <c r="F24" i="46"/>
  <c r="I63" i="46"/>
  <c r="H8" i="46"/>
  <c r="D39" i="46"/>
  <c r="L39" i="46"/>
  <c r="E39" i="46"/>
  <c r="C46" i="46"/>
  <c r="H39" i="46"/>
  <c r="C141" i="46"/>
  <c r="D14" i="46"/>
  <c r="B118" i="46"/>
  <c r="C91" i="46"/>
  <c r="C14" i="46"/>
  <c r="D91" i="46"/>
  <c r="B14" i="46"/>
  <c r="G39" i="46"/>
  <c r="B128" i="46"/>
  <c r="B141" i="46"/>
  <c r="I33" i="46"/>
  <c r="C118" i="46"/>
  <c r="C84" i="46"/>
  <c r="F103" i="46"/>
  <c r="G108" i="46"/>
  <c r="F128" i="46"/>
  <c r="I23" i="46"/>
  <c r="C128" i="46"/>
  <c r="E128" i="46"/>
  <c r="D84" i="46"/>
  <c r="D95" i="46"/>
  <c r="C104" i="46"/>
  <c r="E155" i="46"/>
  <c r="E90" i="46"/>
  <c r="E122" i="46"/>
  <c r="G58" i="46"/>
  <c r="G8" i="48" l="1"/>
  <c r="J8" i="46"/>
  <c r="E77" i="48"/>
  <c r="E104" i="47"/>
  <c r="G98" i="49"/>
  <c r="H159" i="48"/>
  <c r="G74" i="46"/>
  <c r="E67" i="48"/>
  <c r="L87" i="48"/>
  <c r="E219" i="47"/>
  <c r="E264" i="47"/>
  <c r="F87" i="49"/>
  <c r="E67" i="47"/>
  <c r="E58" i="47"/>
  <c r="B54" i="46"/>
  <c r="F62" i="49"/>
  <c r="D142" i="48"/>
  <c r="C8" i="49"/>
  <c r="I34" i="46"/>
  <c r="E156" i="46"/>
  <c r="F104" i="46"/>
  <c r="F59" i="46"/>
  <c r="B64" i="46"/>
  <c r="E123" i="46"/>
  <c r="E64" i="46"/>
  <c r="B59" i="46"/>
  <c r="G54" i="46"/>
  <c r="G148" i="47"/>
  <c r="B96" i="46"/>
  <c r="E46" i="46"/>
  <c r="D59" i="46"/>
  <c r="J118" i="46"/>
  <c r="C59" i="46"/>
  <c r="G77" i="49"/>
  <c r="G113" i="48"/>
  <c r="G87" i="49"/>
  <c r="G114" i="49"/>
  <c r="G87" i="47"/>
  <c r="B154" i="48"/>
  <c r="D114" i="49"/>
  <c r="H77" i="47"/>
  <c r="C31" i="49"/>
  <c r="C169" i="48"/>
  <c r="B142" i="48"/>
  <c r="C149" i="48"/>
  <c r="B108" i="48"/>
  <c r="C154" i="48"/>
  <c r="D59" i="48"/>
  <c r="D149" i="48"/>
  <c r="G67" i="49"/>
  <c r="E87" i="49"/>
  <c r="C18" i="49"/>
  <c r="C82" i="49"/>
  <c r="C23" i="49"/>
  <c r="B114" i="49"/>
  <c r="H23" i="49"/>
  <c r="C64" i="46"/>
  <c r="B93" i="49"/>
  <c r="E82" i="49"/>
  <c r="E23" i="49"/>
  <c r="C133" i="49"/>
  <c r="E67" i="49"/>
  <c r="D72" i="49"/>
  <c r="C114" i="49"/>
  <c r="E72" i="49"/>
  <c r="E77" i="49"/>
  <c r="C67" i="49"/>
  <c r="D77" i="49"/>
  <c r="D87" i="49"/>
  <c r="C51" i="49"/>
  <c r="D67" i="49"/>
  <c r="G82" i="49"/>
  <c r="H77" i="49"/>
  <c r="B62" i="49"/>
  <c r="H62" i="49"/>
  <c r="B51" i="49"/>
  <c r="G62" i="49"/>
  <c r="B77" i="49"/>
  <c r="D18" i="49"/>
  <c r="C93" i="49"/>
  <c r="H82" i="49"/>
  <c r="F72" i="49"/>
  <c r="I23" i="49"/>
  <c r="G23" i="49"/>
  <c r="D64" i="46"/>
  <c r="F23" i="49"/>
  <c r="E62" i="49"/>
  <c r="E114" i="49"/>
  <c r="H67" i="49"/>
  <c r="C87" i="49"/>
  <c r="C62" i="49"/>
  <c r="B133" i="49"/>
  <c r="E54" i="46"/>
  <c r="B31" i="49"/>
  <c r="F114" i="49"/>
  <c r="D23" i="49"/>
  <c r="F67" i="49"/>
  <c r="C72" i="49"/>
  <c r="I77" i="49"/>
  <c r="B23" i="49"/>
  <c r="F77" i="49"/>
  <c r="E59" i="46"/>
  <c r="C77" i="49"/>
  <c r="G72" i="49"/>
  <c r="D82" i="49"/>
  <c r="F82" i="49"/>
  <c r="D62" i="49"/>
  <c r="B8" i="49"/>
  <c r="E8" i="49" s="1"/>
  <c r="C137" i="48"/>
  <c r="C108" i="48"/>
  <c r="C142" i="48"/>
  <c r="B137" i="48"/>
  <c r="D203" i="47"/>
  <c r="F169" i="48"/>
  <c r="B149" i="48"/>
  <c r="E24" i="48"/>
  <c r="D137" i="48"/>
  <c r="B169" i="48"/>
  <c r="I24" i="46"/>
  <c r="B46" i="46"/>
  <c r="G19" i="46"/>
  <c r="D46" i="46"/>
  <c r="C96" i="46"/>
  <c r="C82" i="47"/>
  <c r="F64" i="46"/>
  <c r="E14" i="46"/>
  <c r="D54" i="46"/>
  <c r="B254" i="47"/>
  <c r="G13" i="48"/>
  <c r="D182" i="48"/>
  <c r="G64" i="46"/>
  <c r="C54" i="46"/>
  <c r="B69" i="46"/>
  <c r="H54" i="46"/>
  <c r="C69" i="46"/>
  <c r="F54" i="46"/>
  <c r="E19" i="48"/>
  <c r="E197" i="48"/>
  <c r="D13" i="49"/>
  <c r="G36" i="49"/>
  <c r="H44" i="48"/>
  <c r="E169" i="48"/>
  <c r="D169" i="48"/>
  <c r="D82" i="48"/>
  <c r="C249" i="47"/>
  <c r="H180" i="47"/>
  <c r="C274" i="47"/>
  <c r="E10" i="47"/>
  <c r="B249" i="47"/>
  <c r="F93" i="47"/>
  <c r="D124" i="47"/>
  <c r="B289" i="47"/>
  <c r="B93" i="47"/>
  <c r="B72" i="47"/>
  <c r="D98" i="47"/>
  <c r="E163" i="47"/>
  <c r="B98" i="47"/>
  <c r="B82" i="47"/>
  <c r="F40" i="47"/>
  <c r="B143" i="47"/>
  <c r="C72" i="47"/>
  <c r="C143" i="47"/>
  <c r="B284" i="47"/>
  <c r="N93" i="47"/>
  <c r="E93" i="47"/>
  <c r="B294" i="47"/>
  <c r="B274" i="47"/>
  <c r="I93" i="47"/>
  <c r="C294" i="47"/>
  <c r="B244" i="47"/>
  <c r="B124" i="47"/>
  <c r="K93" i="47"/>
  <c r="C93" i="47"/>
  <c r="C98" i="47"/>
  <c r="L93" i="47"/>
  <c r="C289" i="47"/>
  <c r="C299" i="47"/>
  <c r="C244" i="47"/>
  <c r="G93" i="47"/>
  <c r="D93" i="47"/>
  <c r="C279" i="47"/>
  <c r="B130" i="47"/>
  <c r="C124" i="47"/>
  <c r="B304" i="47"/>
  <c r="G163" i="47"/>
  <c r="D163" i="47"/>
  <c r="C163" i="47"/>
  <c r="B163" i="47"/>
  <c r="C304" i="47"/>
  <c r="C284" i="47"/>
  <c r="B299" i="47"/>
  <c r="B279" i="47"/>
  <c r="E124" i="47"/>
  <c r="J93" i="47"/>
  <c r="C254" i="47"/>
  <c r="C130" i="47"/>
  <c r="F163" i="47"/>
  <c r="F124" i="47"/>
  <c r="D50" i="47"/>
  <c r="C50" i="47"/>
  <c r="B234" i="47"/>
  <c r="D234" i="47" s="1"/>
  <c r="H93" i="47"/>
  <c r="G124" i="47"/>
  <c r="M93" i="47"/>
  <c r="C35" i="47"/>
  <c r="B35" i="47"/>
  <c r="B50" i="47"/>
  <c r="D141" i="46"/>
  <c r="E91" i="46"/>
  <c r="E18" i="49" l="1"/>
  <c r="D133" i="49"/>
  <c r="D51" i="49"/>
  <c r="E149" i="48"/>
  <c r="H72" i="49"/>
  <c r="H87" i="49"/>
  <c r="D93" i="49"/>
  <c r="I67" i="49"/>
  <c r="D154" i="48"/>
  <c r="D31" i="49"/>
  <c r="I82" i="49"/>
  <c r="E108" i="48"/>
  <c r="E142" i="48"/>
  <c r="D82" i="47"/>
  <c r="E137" i="48"/>
  <c r="D96" i="46"/>
  <c r="I64" i="46"/>
  <c r="G59" i="46"/>
  <c r="D69" i="46"/>
  <c r="D254" i="47"/>
  <c r="F46" i="46"/>
  <c r="D249" i="47"/>
  <c r="I54" i="46"/>
  <c r="D143" i="47"/>
  <c r="D289" i="47"/>
  <c r="H163" i="47"/>
  <c r="D35" i="47"/>
  <c r="D299" i="47"/>
  <c r="D274" i="47"/>
  <c r="E98" i="47"/>
  <c r="D294" i="47"/>
  <c r="E50" i="47"/>
  <c r="D244" i="47"/>
  <c r="D72" i="47"/>
  <c r="D284" i="47"/>
  <c r="D130" i="47"/>
  <c r="D279" i="47"/>
  <c r="D304" i="47"/>
  <c r="H44" i="22"/>
  <c r="H33" i="18"/>
  <c r="G33" i="18"/>
  <c r="F33" i="18"/>
  <c r="E33" i="18"/>
  <c r="D33" i="18"/>
  <c r="I33" i="18" l="1"/>
  <c r="K141" i="18" l="1"/>
  <c r="L141" i="18"/>
  <c r="J141" i="18"/>
  <c r="C73" i="18"/>
  <c r="F53" i="18"/>
  <c r="L24" i="22" l="1"/>
  <c r="L25" i="22" s="1"/>
  <c r="K24" i="22"/>
  <c r="K25" i="22" s="1"/>
  <c r="J24" i="22"/>
  <c r="J25" i="22" s="1"/>
  <c r="I24" i="22"/>
  <c r="I25" i="22" s="1"/>
  <c r="H24" i="22"/>
  <c r="H25" i="22" s="1"/>
  <c r="G24" i="22"/>
  <c r="G25" i="22" s="1"/>
  <c r="F24" i="22"/>
  <c r="F25" i="22" s="1"/>
  <c r="E24" i="22"/>
  <c r="E25" i="22" s="1"/>
  <c r="D24" i="22"/>
  <c r="D25" i="22" s="1"/>
  <c r="C24" i="22"/>
  <c r="C25" i="22" s="1"/>
  <c r="F81" i="21"/>
  <c r="K86" i="20" l="1"/>
  <c r="J86" i="20"/>
  <c r="I86" i="20"/>
  <c r="H86" i="20"/>
  <c r="G86" i="20"/>
  <c r="F86" i="20"/>
  <c r="E86" i="20"/>
  <c r="D86" i="20"/>
  <c r="C86" i="20"/>
  <c r="C108" i="18"/>
  <c r="L86" i="20" l="1"/>
  <c r="A49" i="18" l="1"/>
  <c r="B7" i="18"/>
  <c r="I155" i="21"/>
  <c r="H155" i="21"/>
  <c r="G155" i="21"/>
  <c r="F155" i="21"/>
  <c r="E155" i="21"/>
  <c r="D155" i="21"/>
  <c r="C155" i="21"/>
  <c r="B155" i="21"/>
  <c r="A155" i="21"/>
  <c r="C150" i="21"/>
  <c r="B150" i="21"/>
  <c r="L146" i="21"/>
  <c r="K146" i="21"/>
  <c r="J146" i="21"/>
  <c r="I146" i="21"/>
  <c r="H146" i="21"/>
  <c r="G146" i="21"/>
  <c r="F146" i="21"/>
  <c r="E146" i="21"/>
  <c r="D146" i="21"/>
  <c r="C146" i="21"/>
  <c r="B146" i="21"/>
  <c r="A146" i="21"/>
  <c r="P142" i="21"/>
  <c r="O142" i="21"/>
  <c r="N142" i="21"/>
  <c r="M142" i="21"/>
  <c r="L142" i="21"/>
  <c r="K142" i="21"/>
  <c r="J142" i="21"/>
  <c r="I142" i="21"/>
  <c r="H142" i="21"/>
  <c r="G142" i="21"/>
  <c r="F142" i="21"/>
  <c r="E142" i="21"/>
  <c r="D142" i="21"/>
  <c r="C142" i="21"/>
  <c r="B142" i="21"/>
  <c r="A142" i="21"/>
  <c r="F137" i="21"/>
  <c r="E137" i="21"/>
  <c r="D137" i="21"/>
  <c r="C137" i="21"/>
  <c r="B137" i="21"/>
  <c r="C132" i="21"/>
  <c r="B132" i="21"/>
  <c r="H127" i="21"/>
  <c r="G127" i="21"/>
  <c r="F127" i="21"/>
  <c r="E127" i="21"/>
  <c r="D127" i="21"/>
  <c r="C127" i="21"/>
  <c r="B127" i="21"/>
  <c r="B118" i="21"/>
  <c r="G113" i="21"/>
  <c r="F113" i="21"/>
  <c r="E113" i="21"/>
  <c r="D113" i="21"/>
  <c r="C113" i="21"/>
  <c r="B113" i="21"/>
  <c r="I107" i="21"/>
  <c r="H107" i="21"/>
  <c r="G107" i="21"/>
  <c r="F107" i="21"/>
  <c r="E107" i="21"/>
  <c r="D107" i="21"/>
  <c r="C107" i="21"/>
  <c r="I102" i="21"/>
  <c r="H102" i="21"/>
  <c r="G102" i="21"/>
  <c r="F102" i="21"/>
  <c r="E102" i="21"/>
  <c r="D102" i="21"/>
  <c r="C102" i="21"/>
  <c r="F97" i="21"/>
  <c r="E97" i="21"/>
  <c r="D97" i="21"/>
  <c r="C97" i="21"/>
  <c r="C92" i="21"/>
  <c r="B92" i="21"/>
  <c r="G86" i="21"/>
  <c r="F86" i="21"/>
  <c r="E86" i="21"/>
  <c r="D86" i="21"/>
  <c r="C86" i="21"/>
  <c r="H81" i="21"/>
  <c r="G81" i="21"/>
  <c r="E81" i="21"/>
  <c r="D81" i="21"/>
  <c r="C81" i="21"/>
  <c r="I76" i="21"/>
  <c r="H76" i="21"/>
  <c r="G76" i="21"/>
  <c r="F76" i="21"/>
  <c r="E76" i="21"/>
  <c r="D76" i="21"/>
  <c r="C76" i="21"/>
  <c r="B76" i="21"/>
  <c r="G71" i="21"/>
  <c r="F71" i="21"/>
  <c r="E71" i="21"/>
  <c r="D71" i="21"/>
  <c r="C71" i="21"/>
  <c r="C66" i="21"/>
  <c r="I61" i="21"/>
  <c r="H61" i="21"/>
  <c r="G61" i="21"/>
  <c r="F61" i="21"/>
  <c r="E61" i="21"/>
  <c r="D61" i="21"/>
  <c r="C61" i="21"/>
  <c r="B61" i="21"/>
  <c r="L55" i="21"/>
  <c r="K55" i="21"/>
  <c r="J55" i="21"/>
  <c r="I55" i="21"/>
  <c r="H55" i="21"/>
  <c r="G55" i="21"/>
  <c r="F55" i="21"/>
  <c r="E55" i="21"/>
  <c r="D55" i="21"/>
  <c r="C55" i="21"/>
  <c r="B55" i="21"/>
  <c r="C50" i="21"/>
  <c r="B50" i="21"/>
  <c r="K45" i="21"/>
  <c r="J45" i="21"/>
  <c r="I45" i="21"/>
  <c r="H45" i="21"/>
  <c r="G45" i="21"/>
  <c r="F45" i="21"/>
  <c r="E45" i="21"/>
  <c r="D45" i="21"/>
  <c r="C45" i="21"/>
  <c r="M40" i="21"/>
  <c r="L40" i="21"/>
  <c r="K40" i="21"/>
  <c r="J40" i="21"/>
  <c r="I40" i="21"/>
  <c r="H40" i="21"/>
  <c r="G40" i="21"/>
  <c r="F40" i="21"/>
  <c r="E40" i="21"/>
  <c r="D40" i="21"/>
  <c r="C40" i="21"/>
  <c r="F35" i="21"/>
  <c r="E35" i="21"/>
  <c r="D35" i="21"/>
  <c r="C35" i="21"/>
  <c r="C30" i="21"/>
  <c r="B30" i="21"/>
  <c r="A26" i="21"/>
  <c r="I22" i="21"/>
  <c r="H22" i="21"/>
  <c r="G22" i="21"/>
  <c r="F22" i="21"/>
  <c r="E22" i="21"/>
  <c r="D22" i="21"/>
  <c r="C22" i="21"/>
  <c r="B22" i="21"/>
  <c r="D17" i="21"/>
  <c r="C17" i="21"/>
  <c r="C12" i="21"/>
  <c r="B12" i="21"/>
  <c r="D8" i="21"/>
  <c r="D7" i="21"/>
  <c r="C7" i="21"/>
  <c r="B7" i="21"/>
  <c r="C303" i="22"/>
  <c r="B303" i="22"/>
  <c r="C298" i="22"/>
  <c r="B298" i="22"/>
  <c r="C293" i="22"/>
  <c r="B293" i="22"/>
  <c r="C288" i="22"/>
  <c r="B288" i="22"/>
  <c r="C283" i="22"/>
  <c r="B283" i="22"/>
  <c r="C278" i="22"/>
  <c r="B278" i="22"/>
  <c r="C273" i="22"/>
  <c r="B273" i="22"/>
  <c r="H268" i="22"/>
  <c r="G268" i="22"/>
  <c r="F268" i="22"/>
  <c r="E268" i="22"/>
  <c r="D268" i="22"/>
  <c r="D263" i="22"/>
  <c r="C263" i="22"/>
  <c r="J258" i="22"/>
  <c r="I258" i="22"/>
  <c r="H258" i="22"/>
  <c r="G258" i="22"/>
  <c r="F258" i="22"/>
  <c r="E258" i="22"/>
  <c r="D258" i="22"/>
  <c r="C258" i="22"/>
  <c r="C253" i="22"/>
  <c r="B253" i="22"/>
  <c r="C248" i="22"/>
  <c r="B248" i="22"/>
  <c r="C243" i="22"/>
  <c r="B243" i="22"/>
  <c r="J238" i="22"/>
  <c r="I238" i="22"/>
  <c r="H238" i="22"/>
  <c r="G238" i="22"/>
  <c r="F238" i="22"/>
  <c r="E238" i="22"/>
  <c r="D238" i="22"/>
  <c r="C238" i="22"/>
  <c r="C233" i="22"/>
  <c r="B233" i="22"/>
  <c r="M228" i="22"/>
  <c r="L228" i="22"/>
  <c r="K228" i="22"/>
  <c r="J228" i="22"/>
  <c r="I228" i="22"/>
  <c r="H228" i="22"/>
  <c r="G228" i="22"/>
  <c r="F228" i="22"/>
  <c r="E228" i="22"/>
  <c r="D228" i="22"/>
  <c r="C228" i="22"/>
  <c r="B228" i="22"/>
  <c r="A228" i="22"/>
  <c r="H223" i="22"/>
  <c r="G223" i="22"/>
  <c r="F223" i="22"/>
  <c r="E223" i="22"/>
  <c r="D223" i="22"/>
  <c r="D218" i="22"/>
  <c r="C218" i="22"/>
  <c r="O213" i="22"/>
  <c r="N213" i="22"/>
  <c r="M213" i="22"/>
  <c r="L213" i="22"/>
  <c r="K213" i="22"/>
  <c r="J213" i="22"/>
  <c r="I213" i="22"/>
  <c r="H213" i="22"/>
  <c r="G213" i="22"/>
  <c r="F213" i="22"/>
  <c r="E213" i="22"/>
  <c r="D213" i="22"/>
  <c r="C213" i="22"/>
  <c r="I207" i="22"/>
  <c r="H207" i="22"/>
  <c r="G207" i="22"/>
  <c r="F207" i="22"/>
  <c r="E207" i="22"/>
  <c r="D207" i="22"/>
  <c r="C207" i="22"/>
  <c r="C202" i="22"/>
  <c r="B202" i="22"/>
  <c r="L198" i="22"/>
  <c r="K198" i="22"/>
  <c r="J198" i="22"/>
  <c r="I198" i="22"/>
  <c r="H198" i="22"/>
  <c r="G198" i="22"/>
  <c r="F198" i="22"/>
  <c r="E198" i="22"/>
  <c r="D198" i="22"/>
  <c r="C198" i="22"/>
  <c r="B198" i="22"/>
  <c r="A198" i="22"/>
  <c r="P194" i="22"/>
  <c r="O194" i="22"/>
  <c r="N194" i="22"/>
  <c r="M194" i="22"/>
  <c r="L194" i="22"/>
  <c r="K194" i="22"/>
  <c r="J194" i="22"/>
  <c r="I194" i="22"/>
  <c r="H194" i="22"/>
  <c r="G194" i="22"/>
  <c r="F194" i="22"/>
  <c r="E194" i="22"/>
  <c r="D194" i="22"/>
  <c r="C194" i="22"/>
  <c r="B194" i="22"/>
  <c r="A194" i="22"/>
  <c r="F189" i="22"/>
  <c r="E189" i="22"/>
  <c r="D189" i="22"/>
  <c r="C189" i="22"/>
  <c r="B189" i="22"/>
  <c r="C184" i="22"/>
  <c r="B184" i="22"/>
  <c r="G179" i="22"/>
  <c r="F179" i="22"/>
  <c r="E179" i="22"/>
  <c r="D179" i="22"/>
  <c r="C179" i="22"/>
  <c r="B179" i="22"/>
  <c r="E173" i="22"/>
  <c r="E172" i="22"/>
  <c r="E171" i="22"/>
  <c r="E170" i="22"/>
  <c r="E169" i="22"/>
  <c r="E168" i="22"/>
  <c r="E167" i="22"/>
  <c r="E166" i="22"/>
  <c r="G162" i="22"/>
  <c r="F162" i="22"/>
  <c r="E162" i="22"/>
  <c r="D162" i="22"/>
  <c r="C162" i="22"/>
  <c r="B162" i="22"/>
  <c r="M157" i="22"/>
  <c r="L157" i="22"/>
  <c r="K157" i="22"/>
  <c r="J157" i="22"/>
  <c r="I157" i="22"/>
  <c r="H157" i="22"/>
  <c r="G157" i="22"/>
  <c r="F157" i="22"/>
  <c r="E157" i="22"/>
  <c r="D157" i="22"/>
  <c r="J152" i="22"/>
  <c r="I152" i="22"/>
  <c r="H152" i="22"/>
  <c r="G152" i="22"/>
  <c r="F152" i="22"/>
  <c r="E152" i="22"/>
  <c r="D152" i="22"/>
  <c r="F147" i="22"/>
  <c r="E147" i="22"/>
  <c r="D147" i="22"/>
  <c r="C147" i="22"/>
  <c r="C142" i="22"/>
  <c r="B142" i="22"/>
  <c r="E138" i="22"/>
  <c r="F134" i="22"/>
  <c r="E134" i="22"/>
  <c r="D134" i="22"/>
  <c r="C134" i="22"/>
  <c r="B134" i="22"/>
  <c r="C129" i="22"/>
  <c r="B129" i="22"/>
  <c r="G123" i="22"/>
  <c r="F123" i="22"/>
  <c r="E123" i="22"/>
  <c r="D123" i="22"/>
  <c r="C123" i="22"/>
  <c r="B123" i="22"/>
  <c r="K118" i="22"/>
  <c r="J118" i="22"/>
  <c r="I118" i="22"/>
  <c r="H118" i="22"/>
  <c r="G118" i="22"/>
  <c r="F118" i="22"/>
  <c r="E118" i="22"/>
  <c r="D118" i="22"/>
  <c r="K113" i="22"/>
  <c r="J113" i="22"/>
  <c r="I113" i="22"/>
  <c r="H113" i="22"/>
  <c r="G113" i="22"/>
  <c r="F113" i="22"/>
  <c r="E113" i="22"/>
  <c r="D113" i="22"/>
  <c r="G108" i="22"/>
  <c r="F108" i="22"/>
  <c r="E108" i="22"/>
  <c r="D108" i="22"/>
  <c r="D103" i="22"/>
  <c r="C103" i="22"/>
  <c r="D97" i="22"/>
  <c r="C97" i="22"/>
  <c r="B97" i="22"/>
  <c r="N92" i="22"/>
  <c r="M92" i="22"/>
  <c r="L92" i="22"/>
  <c r="K92" i="22"/>
  <c r="J92" i="22"/>
  <c r="I92" i="22"/>
  <c r="H92" i="22"/>
  <c r="G92" i="22"/>
  <c r="F92" i="22"/>
  <c r="E92" i="22"/>
  <c r="D92" i="22"/>
  <c r="C92" i="22"/>
  <c r="B92" i="22"/>
  <c r="F86" i="22"/>
  <c r="E86" i="22"/>
  <c r="D86" i="22"/>
  <c r="C86" i="22"/>
  <c r="C81" i="22"/>
  <c r="B81" i="22"/>
  <c r="G76" i="22"/>
  <c r="F76" i="22"/>
  <c r="E76" i="22"/>
  <c r="D76" i="22"/>
  <c r="C76" i="22"/>
  <c r="C71" i="22"/>
  <c r="B71" i="22"/>
  <c r="D66" i="22"/>
  <c r="C66" i="22"/>
  <c r="E62" i="22"/>
  <c r="E60" i="22"/>
  <c r="D57" i="22"/>
  <c r="C57" i="22"/>
  <c r="B53" i="22"/>
  <c r="D49" i="22"/>
  <c r="C49" i="22"/>
  <c r="B49" i="22"/>
  <c r="J44" i="22"/>
  <c r="I44" i="22"/>
  <c r="G44" i="22"/>
  <c r="F44" i="22"/>
  <c r="E44" i="22"/>
  <c r="D44" i="22"/>
  <c r="C44" i="22"/>
  <c r="B44" i="22"/>
  <c r="E39" i="22"/>
  <c r="D39" i="22"/>
  <c r="C39" i="22"/>
  <c r="C34" i="22"/>
  <c r="B34" i="22"/>
  <c r="G29" i="22"/>
  <c r="F29" i="22"/>
  <c r="E29" i="22"/>
  <c r="D29" i="22"/>
  <c r="C29" i="22"/>
  <c r="G19" i="22"/>
  <c r="G20" i="22" s="1"/>
  <c r="F19" i="22"/>
  <c r="F20" i="22" s="1"/>
  <c r="E19" i="22"/>
  <c r="E20" i="22" s="1"/>
  <c r="D19" i="22"/>
  <c r="D20" i="22" s="1"/>
  <c r="C19" i="22"/>
  <c r="M14" i="22"/>
  <c r="L14" i="22"/>
  <c r="K14" i="22"/>
  <c r="J14" i="22"/>
  <c r="I14" i="22"/>
  <c r="H14" i="22"/>
  <c r="G14" i="22"/>
  <c r="F14" i="22"/>
  <c r="E14" i="22"/>
  <c r="D14" i="22"/>
  <c r="C14" i="22"/>
  <c r="D9" i="22"/>
  <c r="C9" i="22"/>
  <c r="B9" i="22"/>
  <c r="H45" i="22" s="1"/>
  <c r="C3" i="22"/>
  <c r="L207" i="20"/>
  <c r="K207" i="20"/>
  <c r="J207" i="20"/>
  <c r="I207" i="20"/>
  <c r="H207" i="20"/>
  <c r="G207" i="20"/>
  <c r="F207" i="20"/>
  <c r="E207" i="20"/>
  <c r="D207" i="20"/>
  <c r="C207" i="20"/>
  <c r="B207" i="20"/>
  <c r="A207" i="20"/>
  <c r="H201" i="20"/>
  <c r="G201" i="20"/>
  <c r="F201" i="20"/>
  <c r="E201" i="20"/>
  <c r="D201" i="20"/>
  <c r="D196" i="20"/>
  <c r="C196" i="20"/>
  <c r="N191" i="20"/>
  <c r="M191" i="20"/>
  <c r="L191" i="20"/>
  <c r="K191" i="20"/>
  <c r="J191" i="20"/>
  <c r="I191" i="20"/>
  <c r="H191" i="20"/>
  <c r="G191" i="20"/>
  <c r="F191" i="20"/>
  <c r="E191" i="20"/>
  <c r="D191" i="20"/>
  <c r="C191" i="20"/>
  <c r="I186" i="20"/>
  <c r="H186" i="20"/>
  <c r="G186" i="20"/>
  <c r="F186" i="20"/>
  <c r="E186" i="20"/>
  <c r="D186" i="20"/>
  <c r="C186" i="20"/>
  <c r="C181" i="20"/>
  <c r="B181" i="20"/>
  <c r="M177" i="20"/>
  <c r="L177" i="20"/>
  <c r="K177" i="20"/>
  <c r="J177" i="20"/>
  <c r="I177" i="20"/>
  <c r="H177" i="20"/>
  <c r="G177" i="20"/>
  <c r="F177" i="20"/>
  <c r="E177" i="20"/>
  <c r="D177" i="20"/>
  <c r="C177" i="20"/>
  <c r="B177" i="20"/>
  <c r="A177" i="20"/>
  <c r="J173" i="20"/>
  <c r="I173" i="20"/>
  <c r="H173" i="20"/>
  <c r="G173" i="20"/>
  <c r="F173" i="20"/>
  <c r="E173" i="20"/>
  <c r="D173" i="20"/>
  <c r="C173" i="20"/>
  <c r="B173" i="20"/>
  <c r="A173" i="20"/>
  <c r="F168" i="20"/>
  <c r="E168" i="20"/>
  <c r="D168" i="20"/>
  <c r="C168" i="20"/>
  <c r="B168" i="20"/>
  <c r="F164" i="20"/>
  <c r="E164" i="20"/>
  <c r="D164" i="20"/>
  <c r="C164" i="20"/>
  <c r="B164" i="20"/>
  <c r="A164" i="20"/>
  <c r="G158" i="20"/>
  <c r="F158" i="20"/>
  <c r="C153" i="20"/>
  <c r="B153" i="20"/>
  <c r="D148" i="20"/>
  <c r="C148" i="20"/>
  <c r="B148" i="20"/>
  <c r="D141" i="20"/>
  <c r="C141" i="20"/>
  <c r="B141" i="20"/>
  <c r="D136" i="20"/>
  <c r="C136" i="20"/>
  <c r="B136" i="20"/>
  <c r="A132" i="20"/>
  <c r="A129" i="20"/>
  <c r="A126" i="20"/>
  <c r="J122" i="20"/>
  <c r="I122" i="20"/>
  <c r="H122" i="20"/>
  <c r="G122" i="20"/>
  <c r="F122" i="20"/>
  <c r="E122" i="20"/>
  <c r="D122" i="20"/>
  <c r="C122" i="20"/>
  <c r="I117" i="20"/>
  <c r="H117" i="20"/>
  <c r="G117" i="20"/>
  <c r="F117" i="20"/>
  <c r="E117" i="20"/>
  <c r="D117" i="20"/>
  <c r="C117" i="20"/>
  <c r="F112" i="20"/>
  <c r="E112" i="20"/>
  <c r="D112" i="20"/>
  <c r="C112" i="20"/>
  <c r="C107" i="20"/>
  <c r="B107" i="20"/>
  <c r="A103" i="20"/>
  <c r="A101" i="20"/>
  <c r="E96" i="20"/>
  <c r="A96" i="20"/>
  <c r="E91" i="20"/>
  <c r="A91" i="20"/>
  <c r="C81" i="20"/>
  <c r="B81" i="20"/>
  <c r="D76" i="20"/>
  <c r="C76" i="20"/>
  <c r="C72" i="20"/>
  <c r="C70" i="20"/>
  <c r="D66" i="20"/>
  <c r="C66" i="20"/>
  <c r="B62" i="20"/>
  <c r="C58" i="20"/>
  <c r="B58" i="20"/>
  <c r="L53" i="20"/>
  <c r="K53" i="20"/>
  <c r="J53" i="20"/>
  <c r="I53" i="20"/>
  <c r="H53" i="20"/>
  <c r="G53" i="20"/>
  <c r="F53" i="20"/>
  <c r="E53" i="20"/>
  <c r="D53" i="20"/>
  <c r="C53" i="20"/>
  <c r="B53" i="20"/>
  <c r="H48" i="20"/>
  <c r="G48" i="20"/>
  <c r="F48" i="20"/>
  <c r="E48" i="20"/>
  <c r="D48" i="20"/>
  <c r="C48" i="20"/>
  <c r="B48" i="20"/>
  <c r="G43" i="20"/>
  <c r="F43" i="20"/>
  <c r="E43" i="20"/>
  <c r="D43" i="20"/>
  <c r="C43" i="20"/>
  <c r="J38" i="20"/>
  <c r="I38" i="20"/>
  <c r="H38" i="20"/>
  <c r="G38" i="20"/>
  <c r="F38" i="20"/>
  <c r="E38" i="20"/>
  <c r="D38" i="20"/>
  <c r="C38" i="20"/>
  <c r="G33" i="20"/>
  <c r="F33" i="20"/>
  <c r="E33" i="20"/>
  <c r="D33" i="20"/>
  <c r="C33" i="20"/>
  <c r="K28" i="20"/>
  <c r="J28" i="20"/>
  <c r="I28" i="20"/>
  <c r="H28" i="20"/>
  <c r="G28" i="20"/>
  <c r="F28" i="20"/>
  <c r="E28" i="20"/>
  <c r="D28" i="20"/>
  <c r="C28" i="20"/>
  <c r="D23" i="20"/>
  <c r="C23" i="20"/>
  <c r="B23" i="20"/>
  <c r="D18" i="20"/>
  <c r="C18" i="20"/>
  <c r="B18" i="20"/>
  <c r="E12" i="20"/>
  <c r="D12" i="20"/>
  <c r="B12" i="20"/>
  <c r="D7" i="20"/>
  <c r="C7" i="20"/>
  <c r="B7" i="20"/>
  <c r="M172" i="18"/>
  <c r="L172" i="18"/>
  <c r="K172" i="18"/>
  <c r="J172" i="18"/>
  <c r="I172" i="18"/>
  <c r="H172" i="18"/>
  <c r="G172" i="18"/>
  <c r="F172" i="18"/>
  <c r="E172" i="18"/>
  <c r="D172" i="18"/>
  <c r="C172" i="18"/>
  <c r="B172" i="18"/>
  <c r="A172" i="18"/>
  <c r="H165" i="18"/>
  <c r="G165" i="18"/>
  <c r="F165" i="18"/>
  <c r="E165" i="18"/>
  <c r="D165" i="18"/>
  <c r="D160" i="18"/>
  <c r="C160" i="18"/>
  <c r="O155" i="18"/>
  <c r="N155" i="18"/>
  <c r="M155" i="18"/>
  <c r="L155" i="18"/>
  <c r="K155" i="18"/>
  <c r="J155" i="18"/>
  <c r="I155" i="18"/>
  <c r="H155" i="18"/>
  <c r="G155" i="18"/>
  <c r="F155" i="18"/>
  <c r="E155" i="18"/>
  <c r="D155" i="18"/>
  <c r="C155" i="18"/>
  <c r="I150" i="18"/>
  <c r="H150" i="18"/>
  <c r="G150" i="18"/>
  <c r="F150" i="18"/>
  <c r="E150" i="18"/>
  <c r="D150" i="18"/>
  <c r="C150" i="18"/>
  <c r="C145" i="18"/>
  <c r="B145" i="18"/>
  <c r="I141" i="18"/>
  <c r="H141" i="18"/>
  <c r="G141" i="18"/>
  <c r="F141" i="18"/>
  <c r="E141" i="18"/>
  <c r="D141" i="18"/>
  <c r="C141" i="18"/>
  <c r="B141" i="18"/>
  <c r="A141" i="18"/>
  <c r="L137" i="18"/>
  <c r="K137" i="18"/>
  <c r="J137" i="18"/>
  <c r="I137" i="18"/>
  <c r="H137" i="18"/>
  <c r="G137" i="18"/>
  <c r="F137" i="18"/>
  <c r="E137" i="18"/>
  <c r="D137" i="18"/>
  <c r="C137" i="18"/>
  <c r="B137" i="18"/>
  <c r="A137" i="18"/>
  <c r="F132" i="18"/>
  <c r="E132" i="18"/>
  <c r="D132" i="18"/>
  <c r="C132" i="18"/>
  <c r="B132" i="18"/>
  <c r="D122" i="18"/>
  <c r="D123" i="18" s="1"/>
  <c r="C122" i="18"/>
  <c r="C123" i="18" s="1"/>
  <c r="B122" i="18"/>
  <c r="I117" i="18"/>
  <c r="I118" i="18" s="1"/>
  <c r="H117" i="18"/>
  <c r="H118" i="18" s="1"/>
  <c r="G117" i="18"/>
  <c r="G118" i="18" s="1"/>
  <c r="F117" i="18"/>
  <c r="F118" i="18" s="1"/>
  <c r="E117" i="18"/>
  <c r="E118" i="18" s="1"/>
  <c r="D117" i="18"/>
  <c r="D118" i="18" s="1"/>
  <c r="C117" i="18"/>
  <c r="C118" i="18" s="1"/>
  <c r="B117" i="18"/>
  <c r="B118" i="18" s="1"/>
  <c r="G113" i="18"/>
  <c r="F113" i="18"/>
  <c r="E113" i="18"/>
  <c r="D113" i="18"/>
  <c r="C113" i="18"/>
  <c r="B113" i="18"/>
  <c r="F108" i="18"/>
  <c r="E108" i="18"/>
  <c r="D108" i="18"/>
  <c r="D103" i="18"/>
  <c r="D104" i="18" s="1"/>
  <c r="C103" i="18"/>
  <c r="C104" i="18" s="1"/>
  <c r="B99" i="18"/>
  <c r="C95" i="18"/>
  <c r="D90" i="18"/>
  <c r="C90" i="18"/>
  <c r="B90" i="18"/>
  <c r="I83" i="18"/>
  <c r="H83" i="18"/>
  <c r="G83" i="18"/>
  <c r="F83" i="18"/>
  <c r="E83" i="18"/>
  <c r="D83" i="18"/>
  <c r="C83" i="18"/>
  <c r="J78" i="18"/>
  <c r="I78" i="18"/>
  <c r="H78" i="18"/>
  <c r="G78" i="18"/>
  <c r="F78" i="18"/>
  <c r="E78" i="18"/>
  <c r="D78" i="18"/>
  <c r="C78" i="18"/>
  <c r="F73" i="18"/>
  <c r="E73" i="18"/>
  <c r="D73" i="18"/>
  <c r="C68" i="18"/>
  <c r="B68" i="18"/>
  <c r="G63" i="18"/>
  <c r="F63" i="18"/>
  <c r="E63" i="18"/>
  <c r="D63" i="18"/>
  <c r="C63" i="18"/>
  <c r="F58" i="18"/>
  <c r="E58" i="18"/>
  <c r="D58" i="18"/>
  <c r="C58" i="18"/>
  <c r="B58" i="18"/>
  <c r="H53" i="18"/>
  <c r="G53" i="18"/>
  <c r="E53" i="18"/>
  <c r="D53" i="18"/>
  <c r="C53" i="18"/>
  <c r="B53" i="18"/>
  <c r="E45" i="18"/>
  <c r="D45" i="18"/>
  <c r="C45" i="18"/>
  <c r="B45" i="18"/>
  <c r="L38" i="18"/>
  <c r="K38" i="18"/>
  <c r="J38" i="18"/>
  <c r="I38" i="18"/>
  <c r="H38" i="18"/>
  <c r="G38" i="18"/>
  <c r="F38" i="18"/>
  <c r="E38" i="18"/>
  <c r="D38" i="18"/>
  <c r="C38" i="18"/>
  <c r="B38" i="18"/>
  <c r="I28" i="18"/>
  <c r="H28" i="18"/>
  <c r="G28" i="18"/>
  <c r="F28" i="18"/>
  <c r="E28" i="18"/>
  <c r="D28" i="18"/>
  <c r="H23" i="18"/>
  <c r="G23" i="18"/>
  <c r="F23" i="18"/>
  <c r="D23" i="18"/>
  <c r="F18" i="18"/>
  <c r="E18" i="18"/>
  <c r="D18" i="18"/>
  <c r="D13" i="18"/>
  <c r="C13" i="18"/>
  <c r="B13" i="18"/>
  <c r="G7" i="18"/>
  <c r="F7" i="18"/>
  <c r="E7" i="18"/>
  <c r="D7" i="18"/>
  <c r="C7" i="18"/>
  <c r="E23" i="20" l="1"/>
  <c r="E107" i="20"/>
  <c r="G7" i="20"/>
  <c r="B123" i="18"/>
  <c r="D128" i="18"/>
  <c r="E128" i="18"/>
  <c r="F128" i="18"/>
  <c r="G128" i="18"/>
  <c r="C128" i="18"/>
  <c r="G108" i="18"/>
  <c r="E90" i="18"/>
  <c r="G18" i="18"/>
  <c r="E160" i="18"/>
  <c r="D81" i="20"/>
  <c r="I23" i="18"/>
  <c r="H29" i="18"/>
  <c r="F104" i="18"/>
  <c r="B56" i="21"/>
  <c r="D202" i="20"/>
  <c r="F202" i="20"/>
  <c r="E196" i="20"/>
  <c r="F239" i="22"/>
  <c r="H259" i="22"/>
  <c r="G269" i="22"/>
  <c r="D239" i="22"/>
  <c r="D132" i="21"/>
  <c r="E239" i="22"/>
  <c r="G239" i="22"/>
  <c r="E263" i="22"/>
  <c r="C19" i="20"/>
  <c r="E8" i="20"/>
  <c r="H239" i="22"/>
  <c r="J259" i="22"/>
  <c r="I259" i="22"/>
  <c r="E133" i="18"/>
  <c r="I239" i="22"/>
  <c r="C259" i="22"/>
  <c r="J239" i="22"/>
  <c r="D259" i="22"/>
  <c r="C239" i="22"/>
  <c r="E259" i="22"/>
  <c r="D269" i="22"/>
  <c r="C133" i="18"/>
  <c r="H269" i="22"/>
  <c r="D133" i="18"/>
  <c r="F133" i="18"/>
  <c r="F259" i="22"/>
  <c r="E269" i="22"/>
  <c r="B133" i="18"/>
  <c r="D253" i="22"/>
  <c r="G259" i="22"/>
  <c r="F269" i="22"/>
  <c r="H108" i="21"/>
  <c r="D12" i="21"/>
  <c r="F103" i="21"/>
  <c r="H86" i="21"/>
  <c r="G103" i="21"/>
  <c r="I108" i="21"/>
  <c r="G97" i="21"/>
  <c r="I103" i="21"/>
  <c r="E7" i="21"/>
  <c r="F82" i="21" s="1"/>
  <c r="D30" i="21"/>
  <c r="H103" i="21"/>
  <c r="C108" i="21"/>
  <c r="B138" i="21"/>
  <c r="D108" i="21"/>
  <c r="C138" i="21"/>
  <c r="B151" i="21"/>
  <c r="D150" i="21"/>
  <c r="C103" i="21"/>
  <c r="E108" i="21"/>
  <c r="D138" i="21"/>
  <c r="C151" i="21"/>
  <c r="D103" i="21"/>
  <c r="F108" i="21"/>
  <c r="E138" i="21"/>
  <c r="H71" i="21"/>
  <c r="E103" i="21"/>
  <c r="G108" i="21"/>
  <c r="F138" i="21"/>
  <c r="I66" i="21"/>
  <c r="G35" i="21"/>
  <c r="D50" i="21"/>
  <c r="I81" i="21"/>
  <c r="D92" i="21"/>
  <c r="E17" i="21"/>
  <c r="D233" i="22"/>
  <c r="D298" i="22"/>
  <c r="D293" i="22"/>
  <c r="D278" i="22"/>
  <c r="D273" i="22"/>
  <c r="D248" i="22"/>
  <c r="D288" i="22"/>
  <c r="D243" i="22"/>
  <c r="D283" i="22"/>
  <c r="D303" i="22"/>
  <c r="E148" i="20"/>
  <c r="B180" i="22"/>
  <c r="B190" i="22"/>
  <c r="C180" i="22"/>
  <c r="C190" i="22"/>
  <c r="D202" i="22"/>
  <c r="D224" i="22"/>
  <c r="D180" i="22"/>
  <c r="D190" i="22"/>
  <c r="E224" i="22"/>
  <c r="E180" i="22"/>
  <c r="E190" i="22"/>
  <c r="F224" i="22"/>
  <c r="F180" i="22"/>
  <c r="G224" i="22"/>
  <c r="G180" i="22"/>
  <c r="H224" i="22"/>
  <c r="B185" i="22"/>
  <c r="C185" i="22"/>
  <c r="E218" i="22"/>
  <c r="B45" i="22"/>
  <c r="G77" i="22"/>
  <c r="D104" i="22"/>
  <c r="D184" i="22"/>
  <c r="E202" i="20"/>
  <c r="H162" i="22"/>
  <c r="D129" i="22"/>
  <c r="D142" i="22"/>
  <c r="F39" i="22"/>
  <c r="G147" i="22"/>
  <c r="H179" i="22"/>
  <c r="D29" i="18"/>
  <c r="E29" i="18"/>
  <c r="F29" i="18"/>
  <c r="D77" i="22"/>
  <c r="E77" i="22"/>
  <c r="D181" i="20"/>
  <c r="C45" i="22"/>
  <c r="D67" i="22"/>
  <c r="D81" i="22"/>
  <c r="D45" i="22"/>
  <c r="E45" i="22"/>
  <c r="C87" i="22"/>
  <c r="G86" i="22"/>
  <c r="F45" i="22"/>
  <c r="C58" i="22"/>
  <c r="H76" i="22"/>
  <c r="C77" i="22"/>
  <c r="D87" i="22"/>
  <c r="E97" i="22"/>
  <c r="F190" i="22"/>
  <c r="G45" i="22"/>
  <c r="D58" i="22"/>
  <c r="E87" i="22"/>
  <c r="I45" i="22"/>
  <c r="F87" i="22"/>
  <c r="J45" i="22"/>
  <c r="F77" i="22"/>
  <c r="E103" i="22"/>
  <c r="C104" i="22"/>
  <c r="E104" i="22" s="1"/>
  <c r="C67" i="22"/>
  <c r="E66" i="22"/>
  <c r="D71" i="22"/>
  <c r="E49" i="22"/>
  <c r="H208" i="22"/>
  <c r="I214" i="22"/>
  <c r="D219" i="22"/>
  <c r="E57" i="22"/>
  <c r="G202" i="20"/>
  <c r="E9" i="22"/>
  <c r="B50" i="22" s="1"/>
  <c r="D34" i="22"/>
  <c r="E66" i="20"/>
  <c r="H202" i="20"/>
  <c r="H29" i="22"/>
  <c r="C20" i="22"/>
  <c r="H20" i="22" s="1"/>
  <c r="H19" i="22"/>
  <c r="D166" i="18"/>
  <c r="F166" i="18"/>
  <c r="G166" i="18"/>
  <c r="H166" i="18"/>
  <c r="G12" i="20"/>
  <c r="D58" i="20"/>
  <c r="E166" i="18"/>
  <c r="E18" i="20"/>
  <c r="E76" i="20"/>
  <c r="E136" i="20"/>
  <c r="D153" i="20"/>
  <c r="G112" i="20"/>
  <c r="I118" i="20" s="1"/>
  <c r="E141" i="20"/>
  <c r="H158" i="20"/>
  <c r="H43" i="20"/>
  <c r="H33" i="20"/>
  <c r="F103" i="18"/>
  <c r="D145" i="18"/>
  <c r="E122" i="18"/>
  <c r="J117" i="18"/>
  <c r="H113" i="18"/>
  <c r="G73" i="18"/>
  <c r="H8" i="18"/>
  <c r="I63" i="18"/>
  <c r="F45" i="18"/>
  <c r="G29" i="18"/>
  <c r="G58" i="18"/>
  <c r="I7" i="18"/>
  <c r="D95" i="18"/>
  <c r="I29" i="18"/>
  <c r="I53" i="18"/>
  <c r="D68" i="18"/>
  <c r="F39" i="18"/>
  <c r="G39" i="18"/>
  <c r="E39" i="18"/>
  <c r="H39" i="18"/>
  <c r="I39" i="18"/>
  <c r="B39" i="18"/>
  <c r="C39" i="18"/>
  <c r="K39" i="18"/>
  <c r="J39" i="18"/>
  <c r="D39" i="18"/>
  <c r="L39" i="18"/>
  <c r="B14" i="18"/>
  <c r="C14" i="18"/>
  <c r="D14" i="18"/>
  <c r="G114" i="22"/>
  <c r="H34" i="18"/>
  <c r="E34" i="18"/>
  <c r="G34" i="18"/>
  <c r="D34" i="18"/>
  <c r="F34" i="18"/>
  <c r="F30" i="22"/>
  <c r="D98" i="20"/>
  <c r="I153" i="22"/>
  <c r="C30" i="22"/>
  <c r="H30" i="22" s="1"/>
  <c r="H41" i="21"/>
  <c r="N214" i="22"/>
  <c r="G49" i="20"/>
  <c r="J87" i="20"/>
  <c r="H87" i="20"/>
  <c r="E87" i="20"/>
  <c r="G87" i="20"/>
  <c r="D87" i="20"/>
  <c r="F87" i="20"/>
  <c r="I87" i="20"/>
  <c r="K87" i="20"/>
  <c r="C87" i="20"/>
  <c r="E118" i="20"/>
  <c r="F192" i="20"/>
  <c r="C44" i="20"/>
  <c r="G41" i="21"/>
  <c r="D119" i="22"/>
  <c r="C77" i="20"/>
  <c r="J153" i="22"/>
  <c r="D46" i="21"/>
  <c r="F46" i="21"/>
  <c r="D77" i="20"/>
  <c r="F98" i="21"/>
  <c r="I39" i="20"/>
  <c r="D15" i="22"/>
  <c r="E148" i="22"/>
  <c r="F34" i="20"/>
  <c r="H158" i="22"/>
  <c r="E46" i="21"/>
  <c r="D118" i="20"/>
  <c r="D30" i="22"/>
  <c r="D79" i="18"/>
  <c r="C46" i="21"/>
  <c r="D67" i="20"/>
  <c r="I41" i="21"/>
  <c r="C67" i="20"/>
  <c r="D98" i="21"/>
  <c r="F119" i="22"/>
  <c r="C118" i="20"/>
  <c r="D148" i="22"/>
  <c r="E15" i="22"/>
  <c r="K15" i="22"/>
  <c r="H118" i="20"/>
  <c r="I15" i="22"/>
  <c r="J119" i="22"/>
  <c r="F153" i="22"/>
  <c r="F41" i="21"/>
  <c r="K46" i="21"/>
  <c r="J15" i="22"/>
  <c r="D113" i="20"/>
  <c r="F123" i="20"/>
  <c r="F15" i="22"/>
  <c r="G119" i="22"/>
  <c r="G123" i="20"/>
  <c r="F159" i="20"/>
  <c r="J41" i="21"/>
  <c r="C148" i="22"/>
  <c r="D93" i="20"/>
  <c r="E123" i="20"/>
  <c r="H15" i="22"/>
  <c r="E153" i="22"/>
  <c r="C36" i="21"/>
  <c r="M15" i="22"/>
  <c r="L15" i="22"/>
  <c r="E30" i="22"/>
  <c r="C15" i="22"/>
  <c r="F109" i="22"/>
  <c r="G15" i="22"/>
  <c r="C264" i="22"/>
  <c r="D161" i="18"/>
  <c r="F79" i="18"/>
  <c r="G79" i="18"/>
  <c r="I84" i="18"/>
  <c r="E109" i="18"/>
  <c r="J123" i="20"/>
  <c r="G109" i="22"/>
  <c r="K119" i="22"/>
  <c r="G153" i="22"/>
  <c r="C79" i="18"/>
  <c r="I123" i="20"/>
  <c r="E114" i="22"/>
  <c r="E119" i="22"/>
  <c r="C40" i="22"/>
  <c r="I151" i="18"/>
  <c r="C156" i="18"/>
  <c r="K156" i="18"/>
  <c r="I156" i="18"/>
  <c r="H123" i="20"/>
  <c r="E109" i="22"/>
  <c r="I119" i="22"/>
  <c r="E36" i="21"/>
  <c r="E41" i="21"/>
  <c r="M41" i="21"/>
  <c r="J46" i="21"/>
  <c r="E123" i="18"/>
  <c r="I79" i="18"/>
  <c r="F156" i="18"/>
  <c r="J214" i="22"/>
  <c r="J118" i="18"/>
  <c r="D19" i="18"/>
  <c r="F74" i="18"/>
  <c r="F151" i="18"/>
  <c r="G156" i="18"/>
  <c r="O156" i="18"/>
  <c r="G151" i="18"/>
  <c r="H156" i="18"/>
  <c r="G84" i="18"/>
  <c r="J39" i="20"/>
  <c r="C41" i="21"/>
  <c r="G208" i="22"/>
  <c r="F84" i="18"/>
  <c r="C161" i="18"/>
  <c r="C123" i="20"/>
  <c r="D109" i="18"/>
  <c r="D123" i="20"/>
  <c r="C219" i="22"/>
  <c r="E74" i="18"/>
  <c r="E79" i="18"/>
  <c r="F109" i="18"/>
  <c r="E151" i="18"/>
  <c r="J156" i="18"/>
  <c r="J79" i="18"/>
  <c r="F114" i="22"/>
  <c r="K41" i="21"/>
  <c r="H46" i="21"/>
  <c r="G30" i="22"/>
  <c r="H114" i="22"/>
  <c r="H119" i="22"/>
  <c r="E158" i="22"/>
  <c r="M158" i="22"/>
  <c r="I208" i="22"/>
  <c r="D41" i="21"/>
  <c r="L41" i="21"/>
  <c r="I46" i="21"/>
  <c r="H128" i="21"/>
  <c r="C59" i="20"/>
  <c r="I187" i="20"/>
  <c r="L158" i="22"/>
  <c r="H49" i="20"/>
  <c r="D13" i="20"/>
  <c r="J29" i="20"/>
  <c r="D39" i="20"/>
  <c r="F49" i="20"/>
  <c r="C192" i="20"/>
  <c r="K192" i="20"/>
  <c r="H192" i="20"/>
  <c r="M156" i="18"/>
  <c r="J158" i="22"/>
  <c r="B8" i="20"/>
  <c r="D158" i="22"/>
  <c r="N156" i="18"/>
  <c r="C151" i="18"/>
  <c r="L156" i="18"/>
  <c r="H79" i="18"/>
  <c r="H84" i="18"/>
  <c r="C109" i="18"/>
  <c r="G109" i="18" s="1"/>
  <c r="D151" i="18"/>
  <c r="E156" i="18"/>
  <c r="C29" i="20"/>
  <c r="C13" i="20"/>
  <c r="I29" i="20"/>
  <c r="E49" i="20"/>
  <c r="C74" i="18"/>
  <c r="D156" i="18"/>
  <c r="H151" i="18"/>
  <c r="G34" i="20"/>
  <c r="F113" i="20"/>
  <c r="F44" i="20"/>
  <c r="G44" i="20"/>
  <c r="H54" i="20"/>
  <c r="D187" i="20"/>
  <c r="H56" i="21"/>
  <c r="B128" i="21"/>
  <c r="D109" i="22"/>
  <c r="F148" i="22"/>
  <c r="K214" i="22"/>
  <c r="D264" i="22"/>
  <c r="B49" i="20"/>
  <c r="N192" i="20"/>
  <c r="L214" i="22"/>
  <c r="E13" i="20"/>
  <c r="F39" i="20"/>
  <c r="D192" i="20"/>
  <c r="J56" i="21"/>
  <c r="D128" i="21"/>
  <c r="I158" i="22"/>
  <c r="C208" i="22"/>
  <c r="F13" i="20"/>
  <c r="F29" i="20"/>
  <c r="D34" i="20"/>
  <c r="G39" i="20"/>
  <c r="D49" i="20"/>
  <c r="G187" i="20"/>
  <c r="L192" i="20"/>
  <c r="K56" i="21"/>
  <c r="E128" i="21"/>
  <c r="K114" i="22"/>
  <c r="K158" i="22"/>
  <c r="D208" i="22"/>
  <c r="E214" i="22"/>
  <c r="O214" i="22"/>
  <c r="B24" i="20"/>
  <c r="C182" i="20"/>
  <c r="B13" i="21"/>
  <c r="C56" i="21"/>
  <c r="D40" i="22"/>
  <c r="H29" i="20"/>
  <c r="C39" i="20"/>
  <c r="C187" i="20"/>
  <c r="C13" i="21"/>
  <c r="E56" i="21"/>
  <c r="E40" i="22"/>
  <c r="G158" i="22"/>
  <c r="E39" i="20"/>
  <c r="C214" i="22"/>
  <c r="C49" i="20"/>
  <c r="J114" i="22"/>
  <c r="L54" i="20"/>
  <c r="B19" i="20"/>
  <c r="G29" i="20"/>
  <c r="E34" i="20"/>
  <c r="H39" i="20"/>
  <c r="C113" i="20"/>
  <c r="C197" i="20"/>
  <c r="G128" i="21"/>
  <c r="D114" i="22"/>
  <c r="E208" i="22"/>
  <c r="G214" i="22"/>
  <c r="F214" i="22"/>
  <c r="C8" i="20"/>
  <c r="B13" i="20"/>
  <c r="E29" i="20"/>
  <c r="B54" i="20"/>
  <c r="I192" i="20"/>
  <c r="K29" i="20"/>
  <c r="I54" i="20"/>
  <c r="F187" i="20"/>
  <c r="I56" i="21"/>
  <c r="C128" i="21"/>
  <c r="I114" i="22"/>
  <c r="C203" i="22"/>
  <c r="D29" i="20"/>
  <c r="C34" i="20"/>
  <c r="J54" i="20"/>
  <c r="D214" i="22"/>
  <c r="M214" i="22"/>
  <c r="D197" i="20"/>
  <c r="F128" i="21"/>
  <c r="F208" i="22"/>
  <c r="H214" i="22"/>
  <c r="D44" i="20"/>
  <c r="E54" i="20"/>
  <c r="E98" i="21"/>
  <c r="D10" i="22"/>
  <c r="G46" i="21"/>
  <c r="F56" i="21"/>
  <c r="B203" i="22"/>
  <c r="D153" i="22"/>
  <c r="G118" i="20"/>
  <c r="D36" i="21"/>
  <c r="G54" i="20"/>
  <c r="G159" i="20"/>
  <c r="H187" i="20"/>
  <c r="E192" i="20"/>
  <c r="C24" i="20"/>
  <c r="B182" i="20"/>
  <c r="G192" i="20"/>
  <c r="E44" i="20"/>
  <c r="F54" i="20"/>
  <c r="C82" i="20"/>
  <c r="M192" i="20"/>
  <c r="G56" i="21"/>
  <c r="D24" i="20"/>
  <c r="E113" i="20"/>
  <c r="F36" i="21"/>
  <c r="F158" i="22"/>
  <c r="B82" i="20"/>
  <c r="D8" i="20"/>
  <c r="D19" i="20"/>
  <c r="C54" i="20"/>
  <c r="K54" i="20"/>
  <c r="C98" i="21"/>
  <c r="B10" i="22"/>
  <c r="H153" i="22"/>
  <c r="F118" i="20"/>
  <c r="B59" i="20"/>
  <c r="D54" i="20"/>
  <c r="E187" i="20"/>
  <c r="J192" i="20"/>
  <c r="D56" i="21"/>
  <c r="L56" i="21"/>
  <c r="C10" i="22"/>
  <c r="E24" i="18"/>
  <c r="F24" i="18"/>
  <c r="C84" i="18"/>
  <c r="G24" i="18"/>
  <c r="H24" i="18"/>
  <c r="E19" i="18"/>
  <c r="F19" i="18"/>
  <c r="D24" i="18"/>
  <c r="F8" i="18"/>
  <c r="E8" i="18"/>
  <c r="G8" i="18"/>
  <c r="C91" i="18"/>
  <c r="C8" i="18"/>
  <c r="D91" i="18"/>
  <c r="D8" i="18"/>
  <c r="B146" i="18"/>
  <c r="D84" i="18"/>
  <c r="C146" i="18"/>
  <c r="B8" i="18"/>
  <c r="E84" i="18"/>
  <c r="B91" i="18"/>
  <c r="E13" i="18"/>
  <c r="B96" i="18" s="1"/>
  <c r="D74" i="18"/>
  <c r="H34" i="20" l="1"/>
  <c r="G8" i="20"/>
  <c r="H44" i="20"/>
  <c r="G72" i="21"/>
  <c r="B23" i="21"/>
  <c r="E82" i="21"/>
  <c r="F67" i="21"/>
  <c r="B62" i="21"/>
  <c r="C87" i="21"/>
  <c r="B77" i="21"/>
  <c r="E87" i="21"/>
  <c r="D23" i="21"/>
  <c r="G82" i="21"/>
  <c r="G67" i="21"/>
  <c r="D62" i="21"/>
  <c r="F87" i="21"/>
  <c r="F72" i="21"/>
  <c r="B254" i="22"/>
  <c r="C234" i="22"/>
  <c r="E67" i="21"/>
  <c r="H23" i="21"/>
  <c r="C82" i="21"/>
  <c r="H62" i="21"/>
  <c r="I62" i="21"/>
  <c r="C77" i="21"/>
  <c r="I23" i="21"/>
  <c r="D82" i="21"/>
  <c r="H82" i="21"/>
  <c r="G87" i="21"/>
  <c r="C23" i="21"/>
  <c r="D67" i="21"/>
  <c r="G62" i="21"/>
  <c r="B244" i="22"/>
  <c r="C249" i="22"/>
  <c r="B154" i="20"/>
  <c r="D108" i="20"/>
  <c r="G23" i="21"/>
  <c r="F62" i="21"/>
  <c r="D77" i="21"/>
  <c r="D72" i="21"/>
  <c r="C244" i="22"/>
  <c r="E264" i="22"/>
  <c r="F23" i="21"/>
  <c r="C67" i="21"/>
  <c r="E62" i="21"/>
  <c r="D87" i="21"/>
  <c r="C254" i="22"/>
  <c r="E23" i="21"/>
  <c r="H67" i="21"/>
  <c r="C62" i="21"/>
  <c r="C72" i="21"/>
  <c r="H77" i="21"/>
  <c r="B249" i="22"/>
  <c r="D151" i="21"/>
  <c r="G98" i="21"/>
  <c r="G77" i="21"/>
  <c r="E72" i="21"/>
  <c r="E77" i="21"/>
  <c r="F77" i="21"/>
  <c r="I77" i="21"/>
  <c r="G36" i="21"/>
  <c r="D13" i="21"/>
  <c r="B234" i="22"/>
  <c r="B289" i="22"/>
  <c r="C304" i="22"/>
  <c r="B304" i="22"/>
  <c r="C299" i="22"/>
  <c r="B299" i="22"/>
  <c r="C294" i="22"/>
  <c r="B294" i="22"/>
  <c r="B284" i="22"/>
  <c r="C289" i="22"/>
  <c r="C284" i="22"/>
  <c r="C279" i="22"/>
  <c r="C274" i="22"/>
  <c r="B279" i="22"/>
  <c r="B274" i="22"/>
  <c r="E219" i="22"/>
  <c r="D203" i="22"/>
  <c r="E58" i="22"/>
  <c r="H180" i="22"/>
  <c r="B143" i="22"/>
  <c r="E67" i="22"/>
  <c r="E124" i="22"/>
  <c r="B130" i="22"/>
  <c r="B124" i="22"/>
  <c r="F163" i="22"/>
  <c r="D163" i="22"/>
  <c r="C124" i="22"/>
  <c r="C143" i="22"/>
  <c r="B163" i="22"/>
  <c r="G163" i="22"/>
  <c r="C130" i="22"/>
  <c r="G124" i="22"/>
  <c r="G148" i="22"/>
  <c r="D124" i="22"/>
  <c r="C163" i="22"/>
  <c r="F124" i="22"/>
  <c r="E163" i="22"/>
  <c r="M93" i="22"/>
  <c r="L93" i="22"/>
  <c r="K93" i="22"/>
  <c r="E93" i="22"/>
  <c r="G93" i="22"/>
  <c r="G87" i="22"/>
  <c r="E10" i="22"/>
  <c r="D98" i="22"/>
  <c r="I93" i="22"/>
  <c r="C93" i="22"/>
  <c r="C98" i="22"/>
  <c r="H77" i="22"/>
  <c r="C82" i="22"/>
  <c r="D93" i="22"/>
  <c r="C72" i="22"/>
  <c r="H93" i="22"/>
  <c r="B82" i="22"/>
  <c r="N93" i="22"/>
  <c r="B35" i="22"/>
  <c r="J93" i="22"/>
  <c r="B98" i="22"/>
  <c r="F93" i="22"/>
  <c r="B93" i="22"/>
  <c r="C35" i="22"/>
  <c r="B72" i="22"/>
  <c r="C50" i="22"/>
  <c r="D50" i="22"/>
  <c r="E197" i="20"/>
  <c r="D182" i="20"/>
  <c r="E161" i="18"/>
  <c r="F40" i="22"/>
  <c r="G113" i="20"/>
  <c r="D146" i="18"/>
  <c r="E67" i="20"/>
  <c r="E77" i="20"/>
  <c r="D59" i="20"/>
  <c r="C108" i="20"/>
  <c r="H159" i="20"/>
  <c r="G13" i="20"/>
  <c r="L87" i="20"/>
  <c r="B108" i="20"/>
  <c r="D82" i="20"/>
  <c r="E24" i="20"/>
  <c r="E19" i="20"/>
  <c r="I8" i="18"/>
  <c r="I24" i="18"/>
  <c r="I34" i="18"/>
  <c r="C96" i="18"/>
  <c r="D96" i="18" s="1"/>
  <c r="E91" i="18"/>
  <c r="G19" i="18"/>
  <c r="G74" i="18"/>
  <c r="C59" i="18"/>
  <c r="E14" i="18"/>
  <c r="E114" i="21"/>
  <c r="B31" i="21"/>
  <c r="C133" i="21"/>
  <c r="B133" i="21"/>
  <c r="C31" i="21"/>
  <c r="C114" i="21"/>
  <c r="B51" i="21"/>
  <c r="B137" i="20"/>
  <c r="D18" i="21"/>
  <c r="D137" i="20"/>
  <c r="C18" i="21"/>
  <c r="C8" i="21"/>
  <c r="G114" i="21"/>
  <c r="C93" i="21"/>
  <c r="C51" i="21"/>
  <c r="D169" i="20"/>
  <c r="C137" i="20"/>
  <c r="B149" i="20"/>
  <c r="B142" i="20"/>
  <c r="C142" i="20"/>
  <c r="F169" i="20"/>
  <c r="D149" i="20"/>
  <c r="D142" i="20"/>
  <c r="E169" i="20"/>
  <c r="C149" i="20"/>
  <c r="B114" i="21"/>
  <c r="C169" i="20"/>
  <c r="B8" i="21"/>
  <c r="E8" i="21" s="1"/>
  <c r="D114" i="21"/>
  <c r="B93" i="21"/>
  <c r="F114" i="21"/>
  <c r="B169" i="20"/>
  <c r="C154" i="20"/>
  <c r="B69" i="18"/>
  <c r="B64" i="18"/>
  <c r="B54" i="18"/>
  <c r="D54" i="18"/>
  <c r="F64" i="18"/>
  <c r="F54" i="18"/>
  <c r="E54" i="18"/>
  <c r="D64" i="18"/>
  <c r="E64" i="18"/>
  <c r="C69" i="18"/>
  <c r="B46" i="18"/>
  <c r="C46" i="18"/>
  <c r="H64" i="18"/>
  <c r="H54" i="18"/>
  <c r="F59" i="18"/>
  <c r="E59" i="18"/>
  <c r="E46" i="18"/>
  <c r="G64" i="18"/>
  <c r="C64" i="18"/>
  <c r="D59" i="18"/>
  <c r="G54" i="18"/>
  <c r="C54" i="18"/>
  <c r="B59" i="18"/>
  <c r="D46" i="18"/>
  <c r="D133" i="21" l="1"/>
  <c r="D289" i="22"/>
  <c r="I67" i="21"/>
  <c r="D254" i="22"/>
  <c r="D299" i="22"/>
  <c r="D249" i="22"/>
  <c r="H87" i="21"/>
  <c r="I82" i="21"/>
  <c r="D234" i="22"/>
  <c r="H72" i="21"/>
  <c r="D244" i="22"/>
  <c r="D154" i="20"/>
  <c r="D304" i="22"/>
  <c r="D31" i="21"/>
  <c r="D93" i="21"/>
  <c r="D51" i="21"/>
  <c r="E18" i="21"/>
  <c r="D284" i="22"/>
  <c r="D294" i="22"/>
  <c r="D274" i="22"/>
  <c r="D279" i="22"/>
  <c r="D185" i="22"/>
  <c r="E98" i="22"/>
  <c r="H163" i="22"/>
  <c r="D143" i="22"/>
  <c r="D82" i="22"/>
  <c r="D130" i="22"/>
  <c r="D35" i="22"/>
  <c r="D72" i="22"/>
  <c r="G59" i="18"/>
  <c r="E50" i="22"/>
  <c r="E108" i="20"/>
  <c r="E137" i="20"/>
  <c r="E142" i="20"/>
  <c r="E149" i="20"/>
  <c r="I64" i="18"/>
  <c r="D69" i="18"/>
  <c r="F46" i="18"/>
  <c r="I54" i="18"/>
</calcChain>
</file>

<file path=xl/sharedStrings.xml><?xml version="1.0" encoding="utf-8"?>
<sst xmlns="http://schemas.openxmlformats.org/spreadsheetml/2006/main" count="9459" uniqueCount="2832">
  <si>
    <t>start</t>
  </si>
  <si>
    <t>end</t>
  </si>
  <si>
    <t>today</t>
  </si>
  <si>
    <t>diviceid</t>
  </si>
  <si>
    <t>date</t>
  </si>
  <si>
    <t>enqueteur</t>
  </si>
  <si>
    <t>admin1</t>
  </si>
  <si>
    <t>admin2</t>
  </si>
  <si>
    <t>admin3</t>
  </si>
  <si>
    <t>nom_ic</t>
  </si>
  <si>
    <t>fonction_ic</t>
  </si>
  <si>
    <t>secteur_ic</t>
  </si>
  <si>
    <t>secteur_ic/eau</t>
  </si>
  <si>
    <t>secteur_ic/hygiene</t>
  </si>
  <si>
    <t>secteur_ic/education</t>
  </si>
  <si>
    <t>secteur_ic/sante</t>
  </si>
  <si>
    <t>secteur_ic/marche</t>
  </si>
  <si>
    <t>fonction_ic_autre</t>
  </si>
  <si>
    <t>point_eau_type</t>
  </si>
  <si>
    <t>point_eau_type_autre</t>
  </si>
  <si>
    <t>point_eau_fonctionnel</t>
  </si>
  <si>
    <t>point_eau_non_fonctionnel</t>
  </si>
  <si>
    <t>point_eau_non_fonctionnel/destruction</t>
  </si>
  <si>
    <t>point_eau_non_fonctionnel/contamination</t>
  </si>
  <si>
    <t>point_eau_non_fonctionnel/cadavre</t>
  </si>
  <si>
    <t>point_eau_non_fonctionnel/vol_equipement</t>
  </si>
  <si>
    <t>point_eau_non_fonctionnel/coupure_eau</t>
  </si>
  <si>
    <t>point_eau_non_fonctionnel/assechement_source</t>
  </si>
  <si>
    <t>point_eau_non_fonctionnel/non_acces</t>
  </si>
  <si>
    <t>point_eau_non_fonctionnel/degradation</t>
  </si>
  <si>
    <t>point_eau_non_fonctionnel/autre</t>
  </si>
  <si>
    <t>point_eau_non_fonctionnel_autre</t>
  </si>
  <si>
    <t>point_eau_utilisation</t>
  </si>
  <si>
    <t>point_eau_utilisateurs</t>
  </si>
  <si>
    <t>point_eau_attente</t>
  </si>
  <si>
    <t>point_eau_provenance_utilisateurs</t>
  </si>
  <si>
    <t>point_eau_provenance_utilisateurs_autre</t>
  </si>
  <si>
    <t>point_eau_frequentation</t>
  </si>
  <si>
    <t>point_eau_frequentation_evolution</t>
  </si>
  <si>
    <t>point_eau_frequentation_augmentation</t>
  </si>
  <si>
    <t>point_eau_frequentation_augmentation/destruction</t>
  </si>
  <si>
    <t>point_eau_frequentation_augmentation/insecurite</t>
  </si>
  <si>
    <t>point_eau_frequentation_augmentation/augmentation_population</t>
  </si>
  <si>
    <t>point_eau_frequentation_augmentation/deplaces</t>
  </si>
  <si>
    <t>point_eau_frequentation_augmentation/sensibilisation_eha</t>
  </si>
  <si>
    <t>point_eau_frequentation_augmentation/creation_rehab</t>
  </si>
  <si>
    <t>point_eau_frequentation_augmentation/nsp</t>
  </si>
  <si>
    <t>point_eau_frequentation_augmentation/autre</t>
  </si>
  <si>
    <t>point_eau_frequentation_augmentation_autre</t>
  </si>
  <si>
    <t>point_eau_frequentation_diminution</t>
  </si>
  <si>
    <t>point_eau_frequentation_diminution/rehabilitation</t>
  </si>
  <si>
    <t>point_eau_frequentation_diminution/insecurite</t>
  </si>
  <si>
    <t>point_eau_frequentation_diminution/diminution_population</t>
  </si>
  <si>
    <t>point_eau_frequentation_diminution/point_eau_prive</t>
  </si>
  <si>
    <t>point_eau_frequentation_diminution/dommages_evenements</t>
  </si>
  <si>
    <t>point_eau_frequentation_diminution/nsp</t>
  </si>
  <si>
    <t>point_eau_frequentation_diminution/autre</t>
  </si>
  <si>
    <t>point_eau_frequentation_diminution_autre</t>
  </si>
  <si>
    <t>point_eau_construction</t>
  </si>
  <si>
    <t>point_eau_construction/gvt</t>
  </si>
  <si>
    <t>point_eau_construction/mairie</t>
  </si>
  <si>
    <t>point_eau_construction/communaute</t>
  </si>
  <si>
    <t>point_eau_construction/secteur_prive</t>
  </si>
  <si>
    <t>point_eau_construction/ong_nationales</t>
  </si>
  <si>
    <t>point_eau_construction/ong_internationales</t>
  </si>
  <si>
    <t>point_eau_construction/organisation_religieuse</t>
  </si>
  <si>
    <t>point_eau_construction/nsp</t>
  </si>
  <si>
    <t>point_eau_construction/autre</t>
  </si>
  <si>
    <t>point_eau_construction_autre</t>
  </si>
  <si>
    <t>point_eau_payant</t>
  </si>
  <si>
    <t>point_eau_payant_modalite</t>
  </si>
  <si>
    <t>point_eau_payant_modalite_autre</t>
  </si>
  <si>
    <t>point_eau_payant_prix</t>
  </si>
  <si>
    <t>point_eau_prix_changement</t>
  </si>
  <si>
    <t>point_eau_prix_evolution</t>
  </si>
  <si>
    <t>point_eau_prix_augmentation</t>
  </si>
  <si>
    <t>point_eau_prix_augmentation/prix_equipement</t>
  </si>
  <si>
    <t>point_eau_prix_augmentation/prix_personnel</t>
  </si>
  <si>
    <t>point_eau_prix_augmentation/prix_maintenance</t>
  </si>
  <si>
    <t>point_eau_prix_augmentation/mode_gestion</t>
  </si>
  <si>
    <t>point_eau_prix_augmentation/nsp</t>
  </si>
  <si>
    <t>point_eau_prix_augmentation/autre</t>
  </si>
  <si>
    <t>point_eau_prix_augmentation_autre</t>
  </si>
  <si>
    <t>point_eau_prix_diminution</t>
  </si>
  <si>
    <t>point_eau_prix_diminution/prix_equipement</t>
  </si>
  <si>
    <t>point_eau_prix_diminution/prix_personnel</t>
  </si>
  <si>
    <t>point_eau_prix_diminution/prix_maintenance</t>
  </si>
  <si>
    <t>point_eau_prix_diminution/mode_gestion</t>
  </si>
  <si>
    <t>point_eau_prix_diminution/nsp</t>
  </si>
  <si>
    <t>point_eau_prix_diminution/autre</t>
  </si>
  <si>
    <t>point_eau_prix_diminution_autre</t>
  </si>
  <si>
    <t>point_eau_collecteur_redevance</t>
  </si>
  <si>
    <t>point_eau_collecteur_redevance/constructeur</t>
  </si>
  <si>
    <t>point_eau_collecteur_redevance/mairie</t>
  </si>
  <si>
    <t>point_eau_collecteur_redevance/communaute</t>
  </si>
  <si>
    <t>point_eau_collecteur_redevance/gvt</t>
  </si>
  <si>
    <t>point_eau_collecteur_redevance/comite-gestion</t>
  </si>
  <si>
    <t>point_eau_collecteur_redevance/menage</t>
  </si>
  <si>
    <t>point_eau_collecteur_redevance/nsp</t>
  </si>
  <si>
    <t>point_eau_collecteur_redevance/autre</t>
  </si>
  <si>
    <t>point_eau_collecteur_redevance_autre</t>
  </si>
  <si>
    <t>point_eau_mecanisme_sanction</t>
  </si>
  <si>
    <t>point_eau_mecanisme_sanction_type</t>
  </si>
  <si>
    <t>point_eau_mecanisme_sanction_type/amende</t>
  </si>
  <si>
    <t>point_eau_mecanisme_sanction_type/fin_droits</t>
  </si>
  <si>
    <t>point_eau_mecanisme_sanction_type/fin_droits_indefinie</t>
  </si>
  <si>
    <t>point_eau_mecanisme_sanction_type/nsp</t>
  </si>
  <si>
    <t>point_eau_mecanisme_sanction_type/autre</t>
  </si>
  <si>
    <t>point_eau_mecanisme_sanction_type_autre</t>
  </si>
  <si>
    <t>point_eau_fin_communautaire</t>
  </si>
  <si>
    <t>point_eau_fin_communautaire/dons_argent</t>
  </si>
  <si>
    <t>point_eau_fin_communautaire/dons_materiaux</t>
  </si>
  <si>
    <t>point_eau_fin_communautaire/nsp</t>
  </si>
  <si>
    <t>point_eau_fin_communautaire/autre</t>
  </si>
  <si>
    <t>point_eau_fin_communautaire/aucun</t>
  </si>
  <si>
    <t>point_eau_fin_communautaire_autre</t>
  </si>
  <si>
    <t>point_eau_contraintes_gestion</t>
  </si>
  <si>
    <t>point_eau_contraintes_gestion/financier</t>
  </si>
  <si>
    <t>point_eau_contraintes_gestion/materiel</t>
  </si>
  <si>
    <t>point_eau_contraintes_gestion/personnels_qualifies</t>
  </si>
  <si>
    <t>point_eau_contraintes_gestion/insecurite</t>
  </si>
  <si>
    <t>point_eau_contraintes_gestion/vols</t>
  </si>
  <si>
    <t>point_eau_contraintes_gestion/pression</t>
  </si>
  <si>
    <t>point_eau_contraintes_gestion/influences_politiques</t>
  </si>
  <si>
    <t>point_eau_contraintes_gestion/mauvaise_qualite</t>
  </si>
  <si>
    <t>point_eau_contraintes_gestion/finance_maintenance</t>
  </si>
  <si>
    <t>point_eau_contraintes_gestion/aucun</t>
  </si>
  <si>
    <t>point_eau_contraintes_gestion/nsp</t>
  </si>
  <si>
    <t>point_eau_contraintes_gestion/autre</t>
  </si>
  <si>
    <t>point_eau_contraintes_gestion_autre</t>
  </si>
  <si>
    <t>point_eau_acteurs_locaux</t>
  </si>
  <si>
    <t>point_eau_acteurs_locaux/mairie</t>
  </si>
  <si>
    <t>point_eau_acteurs_locaux/gvt</t>
  </si>
  <si>
    <t>point_eau_acteurs_locaux/ong_locales</t>
  </si>
  <si>
    <t>point_eau_acteurs_locaux/ong_nationales</t>
  </si>
  <si>
    <t>point_eau_acteurs_locaux/ong_Internationales</t>
  </si>
  <si>
    <t>point_eau_acteurs_locaux/leaders_communautaires</t>
  </si>
  <si>
    <t>point_eau_acteurs_locaux/chef_quartiers</t>
  </si>
  <si>
    <t>point_eau_acteurs_locaux/chef_village</t>
  </si>
  <si>
    <t>point_eau_acteurs_locaux/leaders_religieux</t>
  </si>
  <si>
    <t>point_eau_acteurs_locaux/aucun</t>
  </si>
  <si>
    <t>point_eau_acteurs_locaux/nsp</t>
  </si>
  <si>
    <t>point_eau_acteurs_locaux/autre</t>
  </si>
  <si>
    <t>point_eau_acteurs_locaux_autre</t>
  </si>
  <si>
    <t>point_eau_aide_fonctionnement</t>
  </si>
  <si>
    <t>point_eau_aide_fonctionnement_source</t>
  </si>
  <si>
    <t>point_eau_aide_fonctionnement_source/usagers</t>
  </si>
  <si>
    <t>point_eau_aide_fonctionnement_source/autorités</t>
  </si>
  <si>
    <t>point_eau_aide_fonctionnement_source/gouvernement</t>
  </si>
  <si>
    <t>point_eau_aide_fonctionnement_source/ong_locales</t>
  </si>
  <si>
    <t>point_eau_aide_fonctionnement_source/ong_internationales</t>
  </si>
  <si>
    <t>point_eau_aide_fonctionnement_source/nsp</t>
  </si>
  <si>
    <t>point_eau_aide_fonctionnement_source/autre</t>
  </si>
  <si>
    <t>point_eau_aide_fonctionnement_source_autre</t>
  </si>
  <si>
    <t>point_eau_aide_fonctionnement_type</t>
  </si>
  <si>
    <t>point_eau_aide_fonctionnement_type/subventions</t>
  </si>
  <si>
    <t>point_eau_aide_fonctionnement_type/dotation_materiaux</t>
  </si>
  <si>
    <t>point_eau_aide_fonctionnement_type/dotation_equipements</t>
  </si>
  <si>
    <t>point_eau_aide_fonctionnement_type/personnel</t>
  </si>
  <si>
    <t>point_eau_aide_fonctionnement_type/personnel_maintenance</t>
  </si>
  <si>
    <t>point_eau_aide_fonctionnement_type/rehab_bâtiments</t>
  </si>
  <si>
    <t>point_eau_aide_fonctionnement_type/rehab_equipements</t>
  </si>
  <si>
    <t>point_eau_aide_fonctionnement_type/construction</t>
  </si>
  <si>
    <t>point_eau_aide_fonctionnement_type/rehabilitation</t>
  </si>
  <si>
    <t>point_eau_aide_fonctionnement_type/sensibilisation</t>
  </si>
  <si>
    <t>point_eau_aide_fonctionnement_type/formation_gestion</t>
  </si>
  <si>
    <t>point_eau_aide_fonctionnement_type/nsp</t>
  </si>
  <si>
    <t>point_eau_aide_fonctionnement_type/autre</t>
  </si>
  <si>
    <t>point_eau_aide_fonctionnement_type_autre</t>
  </si>
  <si>
    <t>point_eau_aide_fonctionnement_satisfaction</t>
  </si>
  <si>
    <t>point_eau_aide_fonctionnement_insatisfaction_cause</t>
  </si>
  <si>
    <t>point_eau_aide_fonctionnement_insatisfaction_cause/insuffisant</t>
  </si>
  <si>
    <t>point_eau_aide_fonctionnement_insatisfaction_cause/inadapte</t>
  </si>
  <si>
    <t>point_eau_aide_fonctionnement_insatisfaction_cause/non_durable</t>
  </si>
  <si>
    <t>point_eau_aide_fonctionnement_insatisfaction_cause/corruption</t>
  </si>
  <si>
    <t>point_eau_aide_fonctionnement_insatisfaction_cause/autre</t>
  </si>
  <si>
    <t>point_eau_aide_fonctionnement_insatisfaction_cause_autre</t>
  </si>
  <si>
    <t>point_eau_amelioration</t>
  </si>
  <si>
    <t>point_eau_amelioration/subventions</t>
  </si>
  <si>
    <t>point_eau_amelioration/dotation_materiaux</t>
  </si>
  <si>
    <t>point_eau_amelioration/dotation_equipements</t>
  </si>
  <si>
    <t>point_eau_amelioration/personnel</t>
  </si>
  <si>
    <t>point_eau_amelioration/personnel_maintenance</t>
  </si>
  <si>
    <t>point_eau_amelioration/rehab_bâtiments</t>
  </si>
  <si>
    <t>point_eau_amelioration/rehab_equipements</t>
  </si>
  <si>
    <t>point_eau_amelioration/construction</t>
  </si>
  <si>
    <t>point_eau_amelioration/rehabilitation</t>
  </si>
  <si>
    <t>point_eau_amelioration/sensibilisation</t>
  </si>
  <si>
    <t>point_eau_amelioration/formation_gestion</t>
  </si>
  <si>
    <t>point_eau_amelioration/nsp</t>
  </si>
  <si>
    <t>point_eau_amelioration/autre</t>
  </si>
  <si>
    <t>point_eau_amelioration_autre</t>
  </si>
  <si>
    <t>latrines_type</t>
  </si>
  <si>
    <t>latrines_type_autre</t>
  </si>
  <si>
    <t>latrines_bati</t>
  </si>
  <si>
    <t>latrines_bati_autre</t>
  </si>
  <si>
    <t>latrines_fonctionnement</t>
  </si>
  <si>
    <t>latrines_fonctionnement_cause</t>
  </si>
  <si>
    <t>latrines_fonctionnement_cause/destruction</t>
  </si>
  <si>
    <t>latrines_fonctionnement_cause/non_fermees</t>
  </si>
  <si>
    <t>latrines_fonctionnement_cause/non_hygieniques</t>
  </si>
  <si>
    <t>latrines_fonctionnement_cause/saturees</t>
  </si>
  <si>
    <t>latrines_fonctionnement_cause/non_separees</t>
  </si>
  <si>
    <t>latrines_fonctionnement_cause/serpents</t>
  </si>
  <si>
    <t>latrines_fonctionnement_cause/degradation</t>
  </si>
  <si>
    <t>latrines_fonctionnement_cause/nsp</t>
  </si>
  <si>
    <t>latrines_fonctionnement_cause/autre</t>
  </si>
  <si>
    <t>latrines_fonctionnement_cause_autre</t>
  </si>
  <si>
    <t>latrines_saison_pluies</t>
  </si>
  <si>
    <t>latrines_genre</t>
  </si>
  <si>
    <t>latrines_hommes</t>
  </si>
  <si>
    <t>latrines_femmes</t>
  </si>
  <si>
    <t>latrines_verrou</t>
  </si>
  <si>
    <t>latrines_acces_nuit</t>
  </si>
  <si>
    <t>latrines_acces_nuit_cause</t>
  </si>
  <si>
    <t>latrines_acces_nuit_cause_autre</t>
  </si>
  <si>
    <t>latrines_lavage_mains</t>
  </si>
  <si>
    <t>latrines_utilisateurs</t>
  </si>
  <si>
    <t>latrines_attente</t>
  </si>
  <si>
    <t>latrines_provenance_utilisateurs</t>
  </si>
  <si>
    <t>latrines_provenance_utilisateurs_autre</t>
  </si>
  <si>
    <t>latrines_frequentation</t>
  </si>
  <si>
    <t>latrines_frequentation_evolution</t>
  </si>
  <si>
    <t>latrines_frequentation_augmentation</t>
  </si>
  <si>
    <t>latrines_frequentation_augmentation/latrines_detruites</t>
  </si>
  <si>
    <t>latrines_frequentation_augmentation/insecurite</t>
  </si>
  <si>
    <t>latrines_frequentation_augmentation/aug_population</t>
  </si>
  <si>
    <t>latrines_frequentation_augmentation/deplaces</t>
  </si>
  <si>
    <t>latrines_frequentation_augmentation/sensibilisation_eha</t>
  </si>
  <si>
    <t>latrines_frequentation_augmentation/rehab</t>
  </si>
  <si>
    <t>latrines_frequentation_augmentation/nsp</t>
  </si>
  <si>
    <t>latrines_frequentation_augmentation/autre</t>
  </si>
  <si>
    <t>latrines_frequentation_augmentation_autre</t>
  </si>
  <si>
    <t>latrines_frequentation_diminution</t>
  </si>
  <si>
    <t>latrines_frequentation_diminution/latrines_non_hygieniques</t>
  </si>
  <si>
    <t>latrines_frequentation_diminution/manque_maintenance</t>
  </si>
  <si>
    <t>latrines_frequentation_diminution/insecurite</t>
  </si>
  <si>
    <t>latrines_frequentation_diminution/diminution_population</t>
  </si>
  <si>
    <t>latrines_frequentation_diminution/latrines_privees</t>
  </si>
  <si>
    <t>latrines_frequentation_diminution/nsp</t>
  </si>
  <si>
    <t>latrines_frequentation_diminution/autre</t>
  </si>
  <si>
    <t>latrines_frequentation_diminution_autre</t>
  </si>
  <si>
    <t>latrines_construction</t>
  </si>
  <si>
    <t>latrines_construction/gvt</t>
  </si>
  <si>
    <t>latrines_construction/mairie</t>
  </si>
  <si>
    <t>latrines_construction/communaute</t>
  </si>
  <si>
    <t>latrines_construction/secteur_prive</t>
  </si>
  <si>
    <t>latrines_construction/ong_nationales</t>
  </si>
  <si>
    <t>latrines_construction/ong_internationales</t>
  </si>
  <si>
    <t>latrines_construction/organisation_religieuse</t>
  </si>
  <si>
    <t>latrines_construction/nsp</t>
  </si>
  <si>
    <t>latrines_construction/autre</t>
  </si>
  <si>
    <t>latrines_construction_autre</t>
  </si>
  <si>
    <t>latrines_payante</t>
  </si>
  <si>
    <t>latrines_payante_modalite</t>
  </si>
  <si>
    <t>latrines_payante_modalite_autre</t>
  </si>
  <si>
    <t>latrines_payante_prix</t>
  </si>
  <si>
    <t>latrines_prix_changement</t>
  </si>
  <si>
    <t>latrines_prix_evolution</t>
  </si>
  <si>
    <t>latrines_prix_augmentation</t>
  </si>
  <si>
    <t>latrines_prix_augmentation/prix_equipement</t>
  </si>
  <si>
    <t>latrines_prix_augmentation/prix_personnel</t>
  </si>
  <si>
    <t>latrines_prix_augmentation/prix_maintenance</t>
  </si>
  <si>
    <t>latrines_prix_augmentation/mode_gestion</t>
  </si>
  <si>
    <t>latrines_prix_augmentation/nsp</t>
  </si>
  <si>
    <t>latrines_prix_augmentation/autre</t>
  </si>
  <si>
    <t>latrines_prix_augmentation_autre</t>
  </si>
  <si>
    <t>latrines_prix_diminution</t>
  </si>
  <si>
    <t>latrines_prix_diminution/prix_equipement</t>
  </si>
  <si>
    <t>latrines_prix_diminution/prix_personnel</t>
  </si>
  <si>
    <t>latrines_prix_diminution/prix_maintenance</t>
  </si>
  <si>
    <t>latrines_prix_diminution/mode_gestion</t>
  </si>
  <si>
    <t>latrines_prix_diminution/nsp</t>
  </si>
  <si>
    <t>latrines_prix_diminution/autre</t>
  </si>
  <si>
    <t>latrines_prix_diminution_autre</t>
  </si>
  <si>
    <t>latrines_redevance</t>
  </si>
  <si>
    <t>latrines_redevance/constructeur</t>
  </si>
  <si>
    <t>latrines_redevance/mairie</t>
  </si>
  <si>
    <t>latrines_redevance/communaute</t>
  </si>
  <si>
    <t>latrines_redevance/gvt</t>
  </si>
  <si>
    <t>latrines_redevance/comite-gestion</t>
  </si>
  <si>
    <t>latrines_redevance/menage</t>
  </si>
  <si>
    <t>latrines_redevance/nsp</t>
  </si>
  <si>
    <t>latrines_redevance/autre</t>
  </si>
  <si>
    <t>latrines_redevance_autre</t>
  </si>
  <si>
    <t>latrines_sanctions</t>
  </si>
  <si>
    <t>latrines_sanctions_type</t>
  </si>
  <si>
    <t>latrines_sanctions_type/amende</t>
  </si>
  <si>
    <t>latrines_sanctions_type/fin_droits</t>
  </si>
  <si>
    <t>latrines_sanctions_type/fin_droits_indefinie</t>
  </si>
  <si>
    <t>latrines_sanctions_type/nsp</t>
  </si>
  <si>
    <t>latrines_sanctions_type/autre</t>
  </si>
  <si>
    <t>latrines_sanctions_type_autre</t>
  </si>
  <si>
    <t>latrines_fin_communautaire</t>
  </si>
  <si>
    <t>latrines_fin_communautaire/dons_argent</t>
  </si>
  <si>
    <t>latrines_fin_communautaire/dons_materiaux</t>
  </si>
  <si>
    <t>latrines_fin_communautaire/nsp</t>
  </si>
  <si>
    <t>latrines_fin_communautaire/autre</t>
  </si>
  <si>
    <t>latrines_fin_communautaire/aucun</t>
  </si>
  <si>
    <t>latrines_fin_communautaire_autre</t>
  </si>
  <si>
    <t>latrines_contraintes_gestion</t>
  </si>
  <si>
    <t>latrines_contraintes_gestion/financier</t>
  </si>
  <si>
    <t>latrines_contraintes_gestion/materiel</t>
  </si>
  <si>
    <t>latrines_contraintes_gestion/personnels_qualifies</t>
  </si>
  <si>
    <t>latrines_contraintes_gestion/insecurite</t>
  </si>
  <si>
    <t>latrines_contraintes_gestion/vols</t>
  </si>
  <si>
    <t>latrines_contraintes_gestion/pression</t>
  </si>
  <si>
    <t>latrines_contraintes_gestion/influences_politiques</t>
  </si>
  <si>
    <t>latrines_contraintes_gestion/mauvaise_qualite</t>
  </si>
  <si>
    <t>latrines_contraintes_gestion/finance_maintenance</t>
  </si>
  <si>
    <t>latrines_contraintes_gestion/aucun</t>
  </si>
  <si>
    <t>latrines_contraintes_gestion/nsp</t>
  </si>
  <si>
    <t>latrines_contraintes_gestion/autre</t>
  </si>
  <si>
    <t>latrines_contraintes_gestion_autre</t>
  </si>
  <si>
    <t>latrines_acteurs_locaux</t>
  </si>
  <si>
    <t>latrines_acteurs_locaux/mairie</t>
  </si>
  <si>
    <t>latrines_acteurs_locaux/gvt</t>
  </si>
  <si>
    <t>latrines_acteurs_locaux/ong_locales</t>
  </si>
  <si>
    <t>latrines_acteurs_locaux/ong_nationales</t>
  </si>
  <si>
    <t>latrines_acteurs_locaux/ong_Internationales</t>
  </si>
  <si>
    <t>latrines_acteurs_locaux/leaders_communautaires</t>
  </si>
  <si>
    <t>latrines_acteurs_locaux/chef_quartiers</t>
  </si>
  <si>
    <t>latrines_acteurs_locaux/chef_village</t>
  </si>
  <si>
    <t>latrines_acteurs_locaux/leaders_religieux</t>
  </si>
  <si>
    <t>latrines_acteurs_locaux/aucun</t>
  </si>
  <si>
    <t>latrines_acteurs_locaux/nsp</t>
  </si>
  <si>
    <t>latrines_acteurs_locaux/autre</t>
  </si>
  <si>
    <t>latrines_acteurs_locaux_autre</t>
  </si>
  <si>
    <t>latrines_aide_fonctionnement</t>
  </si>
  <si>
    <t>latrines_aide_fonctionnement_source</t>
  </si>
  <si>
    <t>latrines_aide_fonctionnement_source/usagers</t>
  </si>
  <si>
    <t>latrines_aide_fonctionnement_source/autorités</t>
  </si>
  <si>
    <t>latrines_aide_fonctionnement_source/gouvernement</t>
  </si>
  <si>
    <t>latrines_aide_fonctionnement_source/ong_locales</t>
  </si>
  <si>
    <t>latrines_aide_fonctionnement_source/ong_internationales</t>
  </si>
  <si>
    <t>latrines_aide_fonctionnement_source/nsp</t>
  </si>
  <si>
    <t>latrines_aide_fonctionnement_source/autre</t>
  </si>
  <si>
    <t>latrines_aide_fonctionnement_source_autre</t>
  </si>
  <si>
    <t>latrines_aide_fonctionnement_type</t>
  </si>
  <si>
    <t>latrines_aide_fonctionnement_type/subventions</t>
  </si>
  <si>
    <t>latrines_aide_fonctionnement_type/dotation_materiaux</t>
  </si>
  <si>
    <t>latrines_aide_fonctionnement_type/dotation_equipements</t>
  </si>
  <si>
    <t>latrines_aide_fonctionnement_type/personnel</t>
  </si>
  <si>
    <t>latrines_aide_fonctionnement_type/personnel_maintenance</t>
  </si>
  <si>
    <t>latrines_aide_fonctionnement_type/rehab_bâtiments</t>
  </si>
  <si>
    <t>latrines_aide_fonctionnement_type/rehab_equipements</t>
  </si>
  <si>
    <t>latrines_aide_fonctionnement_type/construction</t>
  </si>
  <si>
    <t>latrines_aide_fonctionnement_type/rehabilitation</t>
  </si>
  <si>
    <t>latrines_aide_fonctionnement_type/sensibilisation</t>
  </si>
  <si>
    <t>latrines_aide_fonctionnement_type/formation_gestion</t>
  </si>
  <si>
    <t>latrines_aide_fonctionnement_type/nsp</t>
  </si>
  <si>
    <t>latrines_aide_fonctionnement_type/autre</t>
  </si>
  <si>
    <t>latrines_aide_fonctionnement_type_autre</t>
  </si>
  <si>
    <t>latrines_aide_fonctionnement_satisfaction</t>
  </si>
  <si>
    <t>latrines_aide_fonctionnement_insatisfaction_cause</t>
  </si>
  <si>
    <t>latrines_aide_fonctionnement_insatisfaction_cause/insuffisant</t>
  </si>
  <si>
    <t>latrines_aide_fonctionnement_insatisfaction_cause/inadapte</t>
  </si>
  <si>
    <t>latrines_aide_fonctionnement_insatisfaction_cause/non_durable</t>
  </si>
  <si>
    <t>latrines_aide_fonctionnement_insatisfaction_cause/corruption</t>
  </si>
  <si>
    <t>latrines_aide_fonctionnement_insatisfaction_cause/autre</t>
  </si>
  <si>
    <t>latrines_aide_fonctionnement_insatisfaction_cause_autre</t>
  </si>
  <si>
    <t>latrines_amelioration</t>
  </si>
  <si>
    <t>latrines_amelioration/subventions</t>
  </si>
  <si>
    <t>latrines_amelioration/dotation_materiaux</t>
  </si>
  <si>
    <t>latrines_amelioration/dotation_equipements</t>
  </si>
  <si>
    <t>latrines_amelioration/personnel</t>
  </si>
  <si>
    <t>latrines_amelioration/personnel_maintenance</t>
  </si>
  <si>
    <t>latrines_amelioration/rehab_bâtiments</t>
  </si>
  <si>
    <t>latrines_amelioration/rehab_equipements</t>
  </si>
  <si>
    <t>latrines_amelioration/construction</t>
  </si>
  <si>
    <t>latrines_amelioration/rehabilitation</t>
  </si>
  <si>
    <t>latrines_amelioration/sensibilisation</t>
  </si>
  <si>
    <t>latrines_amelioration/formation_gestion</t>
  </si>
  <si>
    <t>latrines_amelioration/nsp</t>
  </si>
  <si>
    <t>latrines_amelioration/autre</t>
  </si>
  <si>
    <t>latrines_amelioration_autre</t>
  </si>
  <si>
    <t>sante_type</t>
  </si>
  <si>
    <t>sante_type_autre</t>
  </si>
  <si>
    <t>sante_fonctionnel</t>
  </si>
  <si>
    <t>sante_non_fonctionnel</t>
  </si>
  <si>
    <t>sante_non_fonctionnel/destruction</t>
  </si>
  <si>
    <t>sante_non_fonctionnel/pillages</t>
  </si>
  <si>
    <t>sante_non_fonctionnel/appro_elec_eau</t>
  </si>
  <si>
    <t>sante_non_fonctionnel/ressources_fin_equipement</t>
  </si>
  <si>
    <t>sante_non_fonctionnel/appro_medicaments</t>
  </si>
  <si>
    <t>sante_non_fonctionnel/population</t>
  </si>
  <si>
    <t>sante_non_fonctionnel/deplaces</t>
  </si>
  <si>
    <t>sante_non_fonctionnel/personnel</t>
  </si>
  <si>
    <t>sante_non_fonctionnel/ressources_fin</t>
  </si>
  <si>
    <t>sante_non_fonctionnel/insecurite</t>
  </si>
  <si>
    <t>sante_non_fonctionnel/nsp</t>
  </si>
  <si>
    <t>sante_non_fonctionnel/autre</t>
  </si>
  <si>
    <t>sante_non_fonctionnel_autre</t>
  </si>
  <si>
    <t>sante_latrines</t>
  </si>
  <si>
    <t>sante_latrines_nb</t>
  </si>
  <si>
    <t>sante_latrines_genre</t>
  </si>
  <si>
    <t>sante_latrines_hommes</t>
  </si>
  <si>
    <t>sante_latrines_femmes</t>
  </si>
  <si>
    <t>sante_latrines_patients</t>
  </si>
  <si>
    <t>sante_eau</t>
  </si>
  <si>
    <t>sante_eau_type</t>
  </si>
  <si>
    <t>sante_eau_type_autre</t>
  </si>
  <si>
    <t>sante_generateur</t>
  </si>
  <si>
    <t>sante_generateur_fonctionnel</t>
  </si>
  <si>
    <t>sante_generateur_heures</t>
  </si>
  <si>
    <t>sante_dommages</t>
  </si>
  <si>
    <t>sante_dommages_type</t>
  </si>
  <si>
    <t>sante_soins</t>
  </si>
  <si>
    <t>sante_soins/consult_curatives</t>
  </si>
  <si>
    <t>sante_soins/consult_prenatales</t>
  </si>
  <si>
    <t>sante_soins/accouchement</t>
  </si>
  <si>
    <t>sante_soins/mas</t>
  </si>
  <si>
    <t>sante_soins/violences_sexuelles</t>
  </si>
  <si>
    <t>sante_soins/maladies_infectieuses</t>
  </si>
  <si>
    <t>sante_soins/urgences_vitales</t>
  </si>
  <si>
    <t>sante_soins/chirurgie</t>
  </si>
  <si>
    <t>sante_soins/cesarienne</t>
  </si>
  <si>
    <t>sante_soins/pediatrie</t>
  </si>
  <si>
    <t>sante_soins/maternite</t>
  </si>
  <si>
    <t>sante_soins/soins_intensifs</t>
  </si>
  <si>
    <t>sante_soins/autre</t>
  </si>
  <si>
    <t>sante_soins_autre</t>
  </si>
  <si>
    <t>sante_vaccination</t>
  </si>
  <si>
    <t>sante_vaccination_type</t>
  </si>
  <si>
    <t>sante_vaccination_type/preval</t>
  </si>
  <si>
    <t>sante_vaccination_type/rougeole</t>
  </si>
  <si>
    <t>sante_vaccination_type/nsp</t>
  </si>
  <si>
    <t>sante_vaccination_type/autre</t>
  </si>
  <si>
    <t>sante_vaccination_type_autre</t>
  </si>
  <si>
    <t>sante_appui_psycho</t>
  </si>
  <si>
    <t>sante_appui_psycho_type</t>
  </si>
  <si>
    <t>sante_appui_psycho_type/psy_qualifie</t>
  </si>
  <si>
    <t>sante_appui_psycho_type/communaute</t>
  </si>
  <si>
    <t>sante_appui_psycho_type/ong</t>
  </si>
  <si>
    <t>sante_appui_psycho_type/nsp</t>
  </si>
  <si>
    <t>sante_appui_psycho_type/autre</t>
  </si>
  <si>
    <t>sante_appui_psycho_type_autre</t>
  </si>
  <si>
    <t>sante_patients_nb</t>
  </si>
  <si>
    <t>sante_patients_nb_changement</t>
  </si>
  <si>
    <t>sante_patients_evolution</t>
  </si>
  <si>
    <t>sante_patients_augmentation</t>
  </si>
  <si>
    <t>sante_patients_augmentation/population</t>
  </si>
  <si>
    <t>sante_patients_augmentation/deplaces</t>
  </si>
  <si>
    <t>sante_patients_augmentation/fermeture_structures_voisines</t>
  </si>
  <si>
    <t>sante_patients_augmentation/nouveaux_pbs</t>
  </si>
  <si>
    <t>sante_patients_augmentation/nouveaux_soins</t>
  </si>
  <si>
    <t>sante_patients_augmentation/renforcement_humanitaire</t>
  </si>
  <si>
    <t>sante_patients_augmentation/renforcement_gvt</t>
  </si>
  <si>
    <t>sante_patients_augmentation/reference_ong</t>
  </si>
  <si>
    <t>sante_patients_augmentation/nsp</t>
  </si>
  <si>
    <t>sante_patients_augmentation/autre</t>
  </si>
  <si>
    <t>sante_patients_augmentation_autre</t>
  </si>
  <si>
    <t>sante_patients_diminution</t>
  </si>
  <si>
    <t>sante_patients_diminution/fermeture_insecurite</t>
  </si>
  <si>
    <t>sante_patients_diminution/degradation_insecu</t>
  </si>
  <si>
    <t>sante_patients_diminution/degradation_ressources_fin</t>
  </si>
  <si>
    <t>sante_patients_diminution/population</t>
  </si>
  <si>
    <t>sante_patients_diminution/concurrence_ong</t>
  </si>
  <si>
    <t>sante_patients_diminution/nsp</t>
  </si>
  <si>
    <t>sante_patients_diminution/autre</t>
  </si>
  <si>
    <t>sante_patients_diminution_autre</t>
  </si>
  <si>
    <t>sante_service_saturation</t>
  </si>
  <si>
    <t>sante_travailleurs_nb</t>
  </si>
  <si>
    <t>sante_medecins_nb</t>
  </si>
  <si>
    <t>sante_infirmiers_nb</t>
  </si>
  <si>
    <t>sante_aides_soignants_nb</t>
  </si>
  <si>
    <t>sante_accoucheuses_nb</t>
  </si>
  <si>
    <t>sante_paramedical_nb</t>
  </si>
  <si>
    <t>sante_agents_communautaires_nb</t>
  </si>
  <si>
    <t>sante_support_nb</t>
  </si>
  <si>
    <t>sante_construction</t>
  </si>
  <si>
    <t>sante_construction/gvt</t>
  </si>
  <si>
    <t>sante_construction/mairie</t>
  </si>
  <si>
    <t>sante_construction/communaute</t>
  </si>
  <si>
    <t>sante_construction/secteur_prive</t>
  </si>
  <si>
    <t>sante_construction/ong_nationales</t>
  </si>
  <si>
    <t>sante_construction/ong_internationales</t>
  </si>
  <si>
    <t>sante_construction/organisation_religieuse</t>
  </si>
  <si>
    <t>sante_construction/nsp</t>
  </si>
  <si>
    <t>sante_construction/autre</t>
  </si>
  <si>
    <t>sante_construction_autre</t>
  </si>
  <si>
    <t>sante_payante</t>
  </si>
  <si>
    <t>sante_payante_exception</t>
  </si>
  <si>
    <t>sante_payante_exception/enfants</t>
  </si>
  <si>
    <t>sante_payante_exception/femme_enceinte</t>
  </si>
  <si>
    <t>sante_payante_exception/urgence</t>
  </si>
  <si>
    <t>sante_payante_exception/autre</t>
  </si>
  <si>
    <t>sante_payante_exception_urgence</t>
  </si>
  <si>
    <t>sante_payante_exception_autre</t>
  </si>
  <si>
    <t>sante_prix_changement</t>
  </si>
  <si>
    <t>sante_prix_evolution</t>
  </si>
  <si>
    <t>sante_prix_augmentation</t>
  </si>
  <si>
    <t>sante_prix_augmentation/loyer</t>
  </si>
  <si>
    <t>sante_prix_augmentation/equipements</t>
  </si>
  <si>
    <t>sante_prix_augmentation/baisse_subventions</t>
  </si>
  <si>
    <t>sante_prix_augmentation/salaires</t>
  </si>
  <si>
    <t>sante_prix_augmentation/prix_medicaments</t>
  </si>
  <si>
    <t>sante_prix_augmentation/pillages</t>
  </si>
  <si>
    <t>sante_prix_augmentation/nsp</t>
  </si>
  <si>
    <t>sante_prix_augmentation/autre</t>
  </si>
  <si>
    <t>sante_prix_augmentation_autre</t>
  </si>
  <si>
    <t>sante_prix_diminution</t>
  </si>
  <si>
    <t>sante_prix_diminution/loyer</t>
  </si>
  <si>
    <t>sante_prix_diminution/equipements</t>
  </si>
  <si>
    <t>sante_prix_diminution/aide_exterieures</t>
  </si>
  <si>
    <t>sante_prix_diminution/subventions</t>
  </si>
  <si>
    <t>sante_prix_diminution/prix_medicaments</t>
  </si>
  <si>
    <t>sante_prix_diminution/appui_communaute</t>
  </si>
  <si>
    <t>sante_prix_diminution/nsp</t>
  </si>
  <si>
    <t>sante_prix_diminution/autre</t>
  </si>
  <si>
    <t>sante_prix_diminution_autre</t>
  </si>
  <si>
    <t>sante_fin_communautaire</t>
  </si>
  <si>
    <t>sante_fin_communautaire/dons_argent</t>
  </si>
  <si>
    <t>sante_fin_communautaire/dons_materiaux</t>
  </si>
  <si>
    <t>sante_fin_communautaire/nsp</t>
  </si>
  <si>
    <t>sante_fin_communautaire/autre</t>
  </si>
  <si>
    <t>sante_fin_communautaire/aucun</t>
  </si>
  <si>
    <t>sante_fin_communautaire_autre</t>
  </si>
  <si>
    <t>sante_mode_gestion</t>
  </si>
  <si>
    <t>sante_mode_gestion_autre</t>
  </si>
  <si>
    <t>sante_coges</t>
  </si>
  <si>
    <t>sante_contraintes_gestion</t>
  </si>
  <si>
    <t>sante_contraintes_gestion/ressources_fin</t>
  </si>
  <si>
    <t>sante_contraintes_gestion/decentralisation_salaires</t>
  </si>
  <si>
    <t>sante_contraintes_gestion/medicaments_nb</t>
  </si>
  <si>
    <t>sante_contraintes_gestion/medicaments_qualite</t>
  </si>
  <si>
    <t>sante_contraintes_gestion/medicaments_rue</t>
  </si>
  <si>
    <t>sante_contraintes_gestion/equipements</t>
  </si>
  <si>
    <t>sante_contraintes_gestion/personnels</t>
  </si>
  <si>
    <t>sante_contraintes_gestion/communication</t>
  </si>
  <si>
    <t>sante_contraintes_gestion/insecurite</t>
  </si>
  <si>
    <t>sante_contraintes_gestion/vols</t>
  </si>
  <si>
    <t>sante_contraintes_gestion/sur_utilisation</t>
  </si>
  <si>
    <t>sante_contraintes_gestion/information</t>
  </si>
  <si>
    <t>sante_contraintes_gestion/influences_politiques</t>
  </si>
  <si>
    <t>sante_contraintes_gestion/aucun</t>
  </si>
  <si>
    <t>sante_contraintes_gestion/nsp</t>
  </si>
  <si>
    <t>sante_contraintes_gestion/autre</t>
  </si>
  <si>
    <t>sante_contraintes_gestion_autre</t>
  </si>
  <si>
    <t>sante_acteurs_locaux</t>
  </si>
  <si>
    <t>sante_acteurs_locaux/mairie</t>
  </si>
  <si>
    <t>sante_acteurs_locaux/gvt</t>
  </si>
  <si>
    <t>sante_acteurs_locaux/ong_locales</t>
  </si>
  <si>
    <t>sante_acteurs_locaux/ong_nationales</t>
  </si>
  <si>
    <t>sante_acteurs_locaux/ong_Internationales</t>
  </si>
  <si>
    <t>sante_acteurs_locaux/leaders_communautaires</t>
  </si>
  <si>
    <t>sante_acteurs_locaux/chef_quartiers</t>
  </si>
  <si>
    <t>sante_acteurs_locaux/chef_village</t>
  </si>
  <si>
    <t>sante_acteurs_locaux/leaders_religieux</t>
  </si>
  <si>
    <t>sante_acteurs_locaux/aucun</t>
  </si>
  <si>
    <t>sante_acteurs_locaux/nsp</t>
  </si>
  <si>
    <t>sante_acteurs_locaux/autre</t>
  </si>
  <si>
    <t>sante_acteurs_locaux_autre</t>
  </si>
  <si>
    <t>sante_aide_fonctionnement</t>
  </si>
  <si>
    <t>sante_aide_fonctionnement_source</t>
  </si>
  <si>
    <t>sante_aide_fonctionnement_source/usagers</t>
  </si>
  <si>
    <t>sante_aide_fonctionnement_source/autorités</t>
  </si>
  <si>
    <t>sante_aide_fonctionnement_source/gouvernement</t>
  </si>
  <si>
    <t>sante_aide_fonctionnement_source/ong_locales</t>
  </si>
  <si>
    <t>sante_aide_fonctionnement_source/ong_internationales</t>
  </si>
  <si>
    <t>sante_aide_fonctionnement_source/nsp</t>
  </si>
  <si>
    <t>sante_aide_fonctionnement_source/autre</t>
  </si>
  <si>
    <t>sante_aide_fonctionnement_source_autre</t>
  </si>
  <si>
    <t>sante_aide_fonctionnement_type</t>
  </si>
  <si>
    <t>sante_aide_fonctionnement_type/subventions</t>
  </si>
  <si>
    <t>sante_aide_fonctionnement_type/dotation_materiaux</t>
  </si>
  <si>
    <t>sante_aide_fonctionnement_type/dotation_equipements</t>
  </si>
  <si>
    <t>sante_aide_fonctionnement_type/personnel</t>
  </si>
  <si>
    <t>sante_aide_fonctionnement_type/personnel_maintenance</t>
  </si>
  <si>
    <t>sante_aide_fonctionnement_type/rehab_bâtiments</t>
  </si>
  <si>
    <t>sante_aide_fonctionnement_type/rehab_equipements</t>
  </si>
  <si>
    <t>sante_aide_fonctionnement_type/construction</t>
  </si>
  <si>
    <t>sante_aide_fonctionnement_type/rehabilitation</t>
  </si>
  <si>
    <t>sante_aide_fonctionnement_type/sensibilisation</t>
  </si>
  <si>
    <t>sante_aide_fonctionnement_type/formation_gestion</t>
  </si>
  <si>
    <t>sante_aide_fonctionnement_type/nsp</t>
  </si>
  <si>
    <t>sante_aide_fonctionnement_type/autre</t>
  </si>
  <si>
    <t>sante_aide_fonctionnement_type_autre</t>
  </si>
  <si>
    <t>sante_aide_fonctionnement_satisfaction</t>
  </si>
  <si>
    <t>sante_aide_fonctionnement_insatisfaction_cause</t>
  </si>
  <si>
    <t>sante_aide_fonctionnement_insatisfaction_cause/insuffisant</t>
  </si>
  <si>
    <t>sante_aide_fonctionnement_insatisfaction_cause/inadapte</t>
  </si>
  <si>
    <t>sante_aide_fonctionnement_insatisfaction_cause/non_durable</t>
  </si>
  <si>
    <t>sante_aide_fonctionnement_insatisfaction_cause/corruption</t>
  </si>
  <si>
    <t>sante_aide_fonctionnement_insatisfaction_cause/autre</t>
  </si>
  <si>
    <t>sante_aide_fonctionnement_insatisfaction_cause_autre</t>
  </si>
  <si>
    <t>sante_amelioration</t>
  </si>
  <si>
    <t>sante_amelioration/subventions</t>
  </si>
  <si>
    <t>sante_amelioration/dotation_materiaux</t>
  </si>
  <si>
    <t>sante_amelioration/rehabilitation</t>
  </si>
  <si>
    <t>sante_amelioration/medicaments</t>
  </si>
  <si>
    <t>sante_amelioration/personnel</t>
  </si>
  <si>
    <t>sante_amelioration/dotation_equipements_medicaux</t>
  </si>
  <si>
    <t>sante_amelioration/dotation_equipements_maintenance</t>
  </si>
  <si>
    <t>sante_amelioration/formations_techniques</t>
  </si>
  <si>
    <t>sante_amelioration/formations_gestion</t>
  </si>
  <si>
    <t>sante_amelioration/supervision_rs</t>
  </si>
  <si>
    <t>sante_amelioration/supervision_district</t>
  </si>
  <si>
    <t>sante_amelioration/nsp</t>
  </si>
  <si>
    <t>sante_amelioration/autre</t>
  </si>
  <si>
    <t>sante_amelioration_autre</t>
  </si>
  <si>
    <t>note_covid</t>
  </si>
  <si>
    <t>covid_infos</t>
  </si>
  <si>
    <t>covid_infos_type</t>
  </si>
  <si>
    <t>covid_infos_type/symptomes</t>
  </si>
  <si>
    <t>covid_infos_type/transmission</t>
  </si>
  <si>
    <t>covid_infos_type/mesures_gvt</t>
  </si>
  <si>
    <t>covid_infos_type/msg_sensibilisation</t>
  </si>
  <si>
    <t>covid_infos_type/mesures_preventions</t>
  </si>
  <si>
    <t>covid_infos_type/nb_cas</t>
  </si>
  <si>
    <t>covid_infos_type/nsp</t>
  </si>
  <si>
    <t>covid_infos_type/autre</t>
  </si>
  <si>
    <t>covid_infos_type_autre</t>
  </si>
  <si>
    <t>covid_plan_alerte</t>
  </si>
  <si>
    <t>covid_plan_reponse</t>
  </si>
  <si>
    <t>covid_capacite_reponse</t>
  </si>
  <si>
    <t>covid_sensibilisation</t>
  </si>
  <si>
    <t>covid_sensibilisation_type</t>
  </si>
  <si>
    <t>covid_sensibilisation_type/symptomes</t>
  </si>
  <si>
    <t>covid_sensibilisation_type/propagation</t>
  </si>
  <si>
    <t>covid_sensibilisation_type/lavage_mains</t>
  </si>
  <si>
    <t>covid_sensibilisation_type/distanciations</t>
  </si>
  <si>
    <t>covid_sensibilisation_type/masque</t>
  </si>
  <si>
    <t>covid_sensibilisation_type/rassemblement</t>
  </si>
  <si>
    <t>covid_sensibilisation_type/traitement</t>
  </si>
  <si>
    <t>covid_sensibilisation_type/autre</t>
  </si>
  <si>
    <t>covid_sensibilisation_type_autre</t>
  </si>
  <si>
    <t>covid_sensibilisation_aide</t>
  </si>
  <si>
    <t>covid_sensibilisation_aide_source</t>
  </si>
  <si>
    <t>covid_sensibilisation_aide_source/gvt</t>
  </si>
  <si>
    <t>covid_sensibilisation_aide_source/ong_nat</t>
  </si>
  <si>
    <t>covid_sensibilisation_aide_source/ong_international</t>
  </si>
  <si>
    <t>covid_sensibilisation_aide_source/onu</t>
  </si>
  <si>
    <t>covid_sensibilisation_aide_source/autre</t>
  </si>
  <si>
    <t>covid_sensibilisation_aide_source_autre</t>
  </si>
  <si>
    <t>covid_pharmacie</t>
  </si>
  <si>
    <t>covid_pharmacie_paracetamol</t>
  </si>
  <si>
    <t>covid_ambulance</t>
  </si>
  <si>
    <t>covid_ambulance_essence</t>
  </si>
  <si>
    <t>covid_perfusion</t>
  </si>
  <si>
    <t>covid_gants</t>
  </si>
  <si>
    <t>covid_gants_stocks</t>
  </si>
  <si>
    <t>covid_eau_chlore</t>
  </si>
  <si>
    <t>covid_thermometres</t>
  </si>
  <si>
    <t>covid_thermometres_nb</t>
  </si>
  <si>
    <t>covid_espace_quarantaine</t>
  </si>
  <si>
    <t>covid_espace_quarantaine_nb</t>
  </si>
  <si>
    <t>ecoles_statut</t>
  </si>
  <si>
    <t>ecoles_statut_autre</t>
  </si>
  <si>
    <t>ecoles_type</t>
  </si>
  <si>
    <t>ecoles_type_autre</t>
  </si>
  <si>
    <t>ecoles_grade</t>
  </si>
  <si>
    <t>ecoles_grade/f1</t>
  </si>
  <si>
    <t>ecoles_grade/f2</t>
  </si>
  <si>
    <t>ecoles_grade/etp</t>
  </si>
  <si>
    <t>ecoles_grade/coranique</t>
  </si>
  <si>
    <t>ecoles_grade/autre</t>
  </si>
  <si>
    <t>ecoles_grade_autre</t>
  </si>
  <si>
    <t>ecoles_construction</t>
  </si>
  <si>
    <t>ecoles_construction/gvt</t>
  </si>
  <si>
    <t>ecoles_construction/mairie</t>
  </si>
  <si>
    <t>ecoles_construction/communaute</t>
  </si>
  <si>
    <t>ecoles_construction/secteur_prive</t>
  </si>
  <si>
    <t>ecoles_construction/ong_nationales</t>
  </si>
  <si>
    <t>ecoles_construction/ong_internationales</t>
  </si>
  <si>
    <t>ecoles_construction/organisation_religieuse</t>
  </si>
  <si>
    <t>ecoles_construction/nsp</t>
  </si>
  <si>
    <t>ecoles_construction/autre</t>
  </si>
  <si>
    <t>ecoles_construction_autre</t>
  </si>
  <si>
    <t>ecoles_dommages_materiels_cause</t>
  </si>
  <si>
    <t>ecoles_dommages_materiels_cause/moyens_entretien</t>
  </si>
  <si>
    <t>ecoles_dommages_materiels_cause/saison_pluies</t>
  </si>
  <si>
    <t>ecoles_dommages_materiels_cause/ga</t>
  </si>
  <si>
    <t>ecoles_dommages_materiels_cause/incendie</t>
  </si>
  <si>
    <t>ecoles_dommages_materiels_cause/vandalisme</t>
  </si>
  <si>
    <t>ecoles_dommages_materiels_cause/autre</t>
  </si>
  <si>
    <t>ecoles_dommages_materiels_cause/nsp</t>
  </si>
  <si>
    <t>ecoles_dommages_materiels_cause_autre</t>
  </si>
  <si>
    <t>ecoles_salles</t>
  </si>
  <si>
    <t>ecoles_latrines</t>
  </si>
  <si>
    <t>ecoles_latrines_nb</t>
  </si>
  <si>
    <t>ecoles_latrines_genre</t>
  </si>
  <si>
    <t>ecoles_latrines_filles</t>
  </si>
  <si>
    <t>difference_latrines</t>
  </si>
  <si>
    <t>ecoles_latrines_garcons</t>
  </si>
  <si>
    <t>total_latrines</t>
  </si>
  <si>
    <t>totale_latrines_note</t>
  </si>
  <si>
    <t>ecoles_latrines_personnel</t>
  </si>
  <si>
    <t>ecoles_eau</t>
  </si>
  <si>
    <t>ecoles_eau_type</t>
  </si>
  <si>
    <t>ecoles_eau_type_autre</t>
  </si>
  <si>
    <t>ecoles_frais</t>
  </si>
  <si>
    <t>ecoles_effectifs_total</t>
  </si>
  <si>
    <t>ecoles_effectifs_filles</t>
  </si>
  <si>
    <t>difference_effectifs</t>
  </si>
  <si>
    <t>ecoles_effectifs_garcons</t>
  </si>
  <si>
    <t>total_effectifs</t>
  </si>
  <si>
    <t>total_effectifs_note</t>
  </si>
  <si>
    <t>ecoles_age_min</t>
  </si>
  <si>
    <t>ecoles_age_max</t>
  </si>
  <si>
    <t>ecoles_effectifs_changement</t>
  </si>
  <si>
    <t>ecoles_effectifs_evolution</t>
  </si>
  <si>
    <t>ecoles_effectifs_augmentation</t>
  </si>
  <si>
    <t>ecoles_effectifs_augmentation/aug_population</t>
  </si>
  <si>
    <t>ecoles_effectifs_augmentation/deplces</t>
  </si>
  <si>
    <t>ecoles_effectifs_augmentation/rehabilitation_ecole</t>
  </si>
  <si>
    <t>ecoles_effectifs_augmentation/securite</t>
  </si>
  <si>
    <t>ecoles_effectifs_augmentation/nsp</t>
  </si>
  <si>
    <t>ecoles_effectifs_augmentation/autre</t>
  </si>
  <si>
    <t>ecoles_effectifs_augmentation_autre</t>
  </si>
  <si>
    <t>ecoles_effectifs_diminution</t>
  </si>
  <si>
    <t>ecoles_effectifs_diminution/diminution_population</t>
  </si>
  <si>
    <t>ecoles_effectifs_diminution/rehabilitation_ecoles_zone</t>
  </si>
  <si>
    <t>ecoles_effectifs_diminution/appauvrissement</t>
  </si>
  <si>
    <t>ecoles_effectifs_diminution/exploitation_miniere</t>
  </si>
  <si>
    <t>ecoles_effectifs_diminution/enrolement</t>
  </si>
  <si>
    <t>ecoles_effectifs_diminution/nsp</t>
  </si>
  <si>
    <t>ecoles_effectifs_diminution/autre</t>
  </si>
  <si>
    <t>ecoles_effectifs_diminution_autre</t>
  </si>
  <si>
    <t>ecoles_titulaires_nb</t>
  </si>
  <si>
    <t>ecoles_titulaires_femmes</t>
  </si>
  <si>
    <t>difference_titulaires</t>
  </si>
  <si>
    <t>ecoles_titulaires_hommes</t>
  </si>
  <si>
    <t>total_titulaires</t>
  </si>
  <si>
    <t>total_titulaires_note</t>
  </si>
  <si>
    <t>ecoles_titulaires_changement</t>
  </si>
  <si>
    <t>ecoles_titulaires_evolution</t>
  </si>
  <si>
    <t>ecoles_titulaires_augmentation</t>
  </si>
  <si>
    <t>ecoles_titulaires_augmentation/effectifs_eleves</t>
  </si>
  <si>
    <t>ecoles_titulaires_augmentation/fermetures_ecoles_voisines</t>
  </si>
  <si>
    <t>ecoles_titulaires_augmentation/securite</t>
  </si>
  <si>
    <t>ecoles_titulaires_augmentation/nsp</t>
  </si>
  <si>
    <t>ecoles_titulaires_augmentation/autre</t>
  </si>
  <si>
    <t>ecoles_titulaires_augmentation_autre</t>
  </si>
  <si>
    <t>ecoles_titulaires_diminution</t>
  </si>
  <si>
    <t>ecoles_titulaires_diminution/fuite_enseignants</t>
  </si>
  <si>
    <t>ecoles_titulaires_diminution/conditions_travail</t>
  </si>
  <si>
    <t>ecoles_titulaires_diminution/peur_enseignants</t>
  </si>
  <si>
    <t>ecoles_titulaires_diminution/moins_titulaires</t>
  </si>
  <si>
    <t>ecoles_titulaires_diminution/nsp</t>
  </si>
  <si>
    <t>ecoles_titulaires_diminution/autre</t>
  </si>
  <si>
    <t>ecoles_titulaires_diminution_autre</t>
  </si>
  <si>
    <t>ecoles_vacataires_nb</t>
  </si>
  <si>
    <t>ecoles_vacataires_femmes</t>
  </si>
  <si>
    <t>difference_vacataires</t>
  </si>
  <si>
    <t>ecoles_vacataires_hommes</t>
  </si>
  <si>
    <t>total_vacataires</t>
  </si>
  <si>
    <t>total_vacataires_note</t>
  </si>
  <si>
    <t>ecoles_vacataires_changement</t>
  </si>
  <si>
    <t>ecoles_vacataires_evolution</t>
  </si>
  <si>
    <t>ecoles_vacataires_augmentation</t>
  </si>
  <si>
    <t>ecoles_vacataires_augmentation/plus_diplomes</t>
  </si>
  <si>
    <t>ecoles_vacataires_augmentation/fermeture_ecoles_voisines</t>
  </si>
  <si>
    <t>ecoles_vacataires_augmentation/securite</t>
  </si>
  <si>
    <t>ecoles_vacataires_augmentation/nsp</t>
  </si>
  <si>
    <t>ecoles_vacataires_augmentation/autre</t>
  </si>
  <si>
    <t>ecoles_vacataires_augmentation_autre</t>
  </si>
  <si>
    <t>ecoles_vacataires_diminution</t>
  </si>
  <si>
    <t>ecoles_vacataires_diminution/fuite_enseignants</t>
  </si>
  <si>
    <t>ecoles_vacataires_diminution/conditions_travail</t>
  </si>
  <si>
    <t>ecoles_vacataires_diminution/peur_enseignants</t>
  </si>
  <si>
    <t>ecoles_vacataires_diminution/moins_diplomes</t>
  </si>
  <si>
    <t>ecoles_vacataires_diminution/nsp</t>
  </si>
  <si>
    <t>ecoles_vacataires_diminution/autre</t>
  </si>
  <si>
    <t>ecoles_vacataires_diminution_autre</t>
  </si>
  <si>
    <t>ecoles_mp_nb</t>
  </si>
  <si>
    <t>ecoles_mp_femmes</t>
  </si>
  <si>
    <t>difference_mp</t>
  </si>
  <si>
    <t>ecoles_mp_hommes</t>
  </si>
  <si>
    <t>total_mp</t>
  </si>
  <si>
    <t>total_mp_note</t>
  </si>
  <si>
    <t>ecoles_mp_changement</t>
  </si>
  <si>
    <t>ecoles_mp_evolution</t>
  </si>
  <si>
    <t>ecoles_mp_augmentation</t>
  </si>
  <si>
    <t>ecoles_mp_augmentation/moins_diplomes</t>
  </si>
  <si>
    <t>ecoles_mp_augmentation/aug_effectifs</t>
  </si>
  <si>
    <t>ecoles_mp_augmentation/fermeture_ecoles_voisines</t>
  </si>
  <si>
    <t>ecoles_mp_augmentation/nsp</t>
  </si>
  <si>
    <t>ecoles_mp_augmentation/autre</t>
  </si>
  <si>
    <t>ecoles_mp_augmentation_autre</t>
  </si>
  <si>
    <t>ecoles_mp_diminution</t>
  </si>
  <si>
    <t>ecoles_mp_diminution/decouragement</t>
  </si>
  <si>
    <t>ecoles_mp_diminution/fuite</t>
  </si>
  <si>
    <t>ecoles_mp_diminution/remplacement</t>
  </si>
  <si>
    <t>ecoles_mp_diminution/nsp</t>
  </si>
  <si>
    <t>ecoles_mp_diminution/autre</t>
  </si>
  <si>
    <t>ecoles_mp_diminution_autre</t>
  </si>
  <si>
    <t>ecoles_formation_enseignants</t>
  </si>
  <si>
    <t>ecoles_formation_mp</t>
  </si>
  <si>
    <t>ecoles_payante</t>
  </si>
  <si>
    <t>ecoles_payante_prix</t>
  </si>
  <si>
    <t>ecoles_frais_finalite</t>
  </si>
  <si>
    <t>ecoles_frais_finalite/salaires</t>
  </si>
  <si>
    <t>ecoles_frais_finalite/achat_materiel</t>
  </si>
  <si>
    <t>ecoles_frais_finalite/rehabilitation_infra</t>
  </si>
  <si>
    <t>ecoles_frais_finalite/activites_recreatives</t>
  </si>
  <si>
    <t>ecoles_frais_finalite/nsp</t>
  </si>
  <si>
    <t>ecoles_frais_finalite/autre</t>
  </si>
  <si>
    <t>ecoles_frais_finalite_autre</t>
  </si>
  <si>
    <t>ecoles_frais_changement</t>
  </si>
  <si>
    <t>ecoles_frais_evolution</t>
  </si>
  <si>
    <t>ecoles_frais_augmentation</t>
  </si>
  <si>
    <t>ecoles_frais_augmentation/cout_materiel</t>
  </si>
  <si>
    <t>ecoles_frais_augmentation/pillage_materiel</t>
  </si>
  <si>
    <t>ecoles_frais_augmentation/salaires</t>
  </si>
  <si>
    <t>ecoles_frais_augmentation/nb_professeurs</t>
  </si>
  <si>
    <t>ecoles_frais_augmentation/services_parascolaires</t>
  </si>
  <si>
    <t>ecoles_frais_augmentation/privatisation</t>
  </si>
  <si>
    <t>ecoles_frais_augmentation/nsp</t>
  </si>
  <si>
    <t>ecoles_frais_augmentation/autre</t>
  </si>
  <si>
    <t>ecoles_frais_augmentation_autre</t>
  </si>
  <si>
    <t>ecoles_frais_diminution</t>
  </si>
  <si>
    <t>ecoles_frais_diminution/cout_materiel</t>
  </si>
  <si>
    <t>ecoles_frais_diminution/impossibilite_paiement</t>
  </si>
  <si>
    <t>ecoles_frais_diminution/diminution_enseignants</t>
  </si>
  <si>
    <t>ecoles_frais_diminution/prise_en_charge_ape</t>
  </si>
  <si>
    <t>ecoles_frais_diminution/aide_etat</t>
  </si>
  <si>
    <t>ecoles_frais_diminution/aide_ong</t>
  </si>
  <si>
    <t>ecoles_frais_diminution/volonte_politique</t>
  </si>
  <si>
    <t>ecoles_frais_diminution/nsp</t>
  </si>
  <si>
    <t>ecoles_frais_diminution/autre</t>
  </si>
  <si>
    <t>ecoles_frais_diminution_autre</t>
  </si>
  <si>
    <t>ecoles_fin_communautaire</t>
  </si>
  <si>
    <t>ecoles_fin_communautaire/dons_argent</t>
  </si>
  <si>
    <t>ecoles_fin_communautaire/dons_materiaux</t>
  </si>
  <si>
    <t>ecoles_fin_communautaire/nsp</t>
  </si>
  <si>
    <t>ecoles_fin_communautaire/autre</t>
  </si>
  <si>
    <t>ecoles_fin_communautaire/aucun</t>
  </si>
  <si>
    <t>ecoles_fin_communautaire_autre</t>
  </si>
  <si>
    <t>ecoles_contraintes_gestion</t>
  </si>
  <si>
    <t>ecoles_contraintes_gestion/ressources_fin</t>
  </si>
  <si>
    <t>ecoles_contraintes_gestion/materiel</t>
  </si>
  <si>
    <t>ecoles_contraintes_gestion/equipement</t>
  </si>
  <si>
    <t>ecoles_contraintes_gestion/professeurs_qualifies</t>
  </si>
  <si>
    <t>ecoles_contraintes_gestion/insecurite</t>
  </si>
  <si>
    <t>ecoles_contraintes_gestion/vols</t>
  </si>
  <si>
    <t>ecoles_contraintes_gestion/sur_utilisation</t>
  </si>
  <si>
    <t>ecoles_contraintes_gestion/influences_politiques</t>
  </si>
  <si>
    <t>ecoles_contraintes_gestion/aucun</t>
  </si>
  <si>
    <t>ecoles_contraintes_gestion/nsp</t>
  </si>
  <si>
    <t>ecoles_contraintes_gestion/autre</t>
  </si>
  <si>
    <t>ecoles_contraintes_gestion_autre</t>
  </si>
  <si>
    <t>ecoles_acteurs_locaux</t>
  </si>
  <si>
    <t>ecoles_acteurs_locaux/mairie</t>
  </si>
  <si>
    <t>ecoles_acteurs_locaux/gvt</t>
  </si>
  <si>
    <t>ecoles_acteurs_locaux/ong_locales</t>
  </si>
  <si>
    <t>ecoles_acteurs_locaux/ong_nationales</t>
  </si>
  <si>
    <t>ecoles_acteurs_locaux/ong_Internationales</t>
  </si>
  <si>
    <t>ecoles_acteurs_locaux/leaders_communautaires</t>
  </si>
  <si>
    <t>ecoles_acteurs_locaux/chef_quartiers</t>
  </si>
  <si>
    <t>ecoles_acteurs_locaux/leaders_religieux</t>
  </si>
  <si>
    <t>ecoles_acteurs_locaux/aucun</t>
  </si>
  <si>
    <t>ecoles_acteurs_locaux/nsp</t>
  </si>
  <si>
    <t>ecoles_acteurs_locaux/autre</t>
  </si>
  <si>
    <t>ecoles_acteurs_locaux_autre</t>
  </si>
  <si>
    <t>ecoles_aide_fonctionnement</t>
  </si>
  <si>
    <t>ecoles_aide_fonctionnement_source</t>
  </si>
  <si>
    <t>ecoles_aide_fonctionnement_source/usagers</t>
  </si>
  <si>
    <t>ecoles_aide_fonctionnement_source/autorités</t>
  </si>
  <si>
    <t>ecoles_aide_fonctionnement_source/gouvernement</t>
  </si>
  <si>
    <t>ecoles_aide_fonctionnement_source/ong_locales</t>
  </si>
  <si>
    <t>ecoles_aide_fonctionnement_source/ong_internationales</t>
  </si>
  <si>
    <t>ecoles_aide_fonctionnement_source/nsp</t>
  </si>
  <si>
    <t>ecoles_aide_fonctionnement_source/autre</t>
  </si>
  <si>
    <t>ecoles_aide_fonctionnement_source_autre</t>
  </si>
  <si>
    <t>ecoles_aide_fonctionnement_type</t>
  </si>
  <si>
    <t>ecoles_aide_fonctionnement_type/subventions</t>
  </si>
  <si>
    <t>ecoles_aide_fonctionnement_type/materiaux_rehab</t>
  </si>
  <si>
    <t>ecoles_aide_fonctionnement_type/equipements</t>
  </si>
  <si>
    <t>ecoles_aide_fonctionnement_type/personnels</t>
  </si>
  <si>
    <t>ecoles_aide_fonctionnement_type/rehabilitations</t>
  </si>
  <si>
    <t>ecoles_aide_fonctionnement_type/constructions</t>
  </si>
  <si>
    <t>ecoles_aide_fonctionnement_type/materiel_didactique</t>
  </si>
  <si>
    <t>ecoles_aide_fonctionnement_type/formations_mp</t>
  </si>
  <si>
    <t>ecoles_aide_fonctionnement_type/formation_admin</t>
  </si>
  <si>
    <t>ecoles_aide_fonctionnement_type/formations_ape</t>
  </si>
  <si>
    <t>ecoles_aide_fonctionnement_type/nsp</t>
  </si>
  <si>
    <t>ecoles_aide_fonctionnement_type/autre</t>
  </si>
  <si>
    <t>ecoles_aide_fonctionnement_type_autre</t>
  </si>
  <si>
    <t>ecoles_aide_fonctionnement_satisfaction</t>
  </si>
  <si>
    <t>ecoles_aide_fonctionnement_insatisfaction_cause</t>
  </si>
  <si>
    <t>ecoles_aide_fonctionnement_insatisfaction_cause/insuffisant</t>
  </si>
  <si>
    <t>ecoles_aide_fonctionnement_insatisfaction_cause/inadapte</t>
  </si>
  <si>
    <t>ecoles_aide_fonctionnement_insatisfaction_cause/non_durable</t>
  </si>
  <si>
    <t>ecoles_aide_fonctionnement_insatisfaction_cause/corruption</t>
  </si>
  <si>
    <t>ecoles_aide_fonctionnement_insatisfaction_cause/autre</t>
  </si>
  <si>
    <t>ecoles_aide_fonctionnement_insatisfaction_cause_autre</t>
  </si>
  <si>
    <t>ecoles_amelioration</t>
  </si>
  <si>
    <t>ecoles_amelioration/subventions</t>
  </si>
  <si>
    <t>ecoles_amelioration/materiaux_rehab</t>
  </si>
  <si>
    <t>ecoles_amelioration/equipements</t>
  </si>
  <si>
    <t>ecoles_amelioration/personnels</t>
  </si>
  <si>
    <t>ecoles_amelioration/rehabilitations</t>
  </si>
  <si>
    <t>ecoles_amelioration/constructions</t>
  </si>
  <si>
    <t>ecoles_amelioration/materiel_didactique</t>
  </si>
  <si>
    <t>ecoles_amelioration/formations_mp</t>
  </si>
  <si>
    <t>ecoles_amelioration/formation_admin</t>
  </si>
  <si>
    <t>ecoles_amelioration/formations_ape</t>
  </si>
  <si>
    <t>ecoles_amelioration/nsp</t>
  </si>
  <si>
    <t>ecoles_amelioration/autre</t>
  </si>
  <si>
    <t>ecoles_amelioration_autre</t>
  </si>
  <si>
    <t>marches_produits</t>
  </si>
  <si>
    <t>marches_produits/alimentaires</t>
  </si>
  <si>
    <t>marches_produits/semences</t>
  </si>
  <si>
    <t>marches_produits/nfi</t>
  </si>
  <si>
    <t>marches_produits/hygiene</t>
  </si>
  <si>
    <t>marches_produits/medicaments</t>
  </si>
  <si>
    <t>marches_produits/materiaux</t>
  </si>
  <si>
    <t>marches_produits/materiel_scolaire</t>
  </si>
  <si>
    <t>marches_produits/autre</t>
  </si>
  <si>
    <t>marches_produits_autre</t>
  </si>
  <si>
    <t>marches_fonctionnel</t>
  </si>
  <si>
    <t>marches_non_fonctionnel_cause</t>
  </si>
  <si>
    <t>marches_non_fonctionnel_cause/approvisionnement</t>
  </si>
  <si>
    <t>marches_non_fonctionnel_cause/commercants</t>
  </si>
  <si>
    <t>marches_non_fonctionnel_cause/infra_endommagee</t>
  </si>
  <si>
    <t>marches_non_fonctionnel_cause/acces</t>
  </si>
  <si>
    <t>marches_non_fonctionnel_cause/insecurite</t>
  </si>
  <si>
    <t>marches_non_fonctionnel_cause/nsp</t>
  </si>
  <si>
    <t>marches_non_fonctionnel_cause/autre</t>
  </si>
  <si>
    <t>marches_non_fonctionnel_cause_autre</t>
  </si>
  <si>
    <t>marches_jours_ouverture</t>
  </si>
  <si>
    <t>marches_jours_ouverture/lundi</t>
  </si>
  <si>
    <t>marches_jours_ouverture/mardi</t>
  </si>
  <si>
    <t>marches_jours_ouverture/mercredi</t>
  </si>
  <si>
    <t>marches_jours_ouverture/jeudi</t>
  </si>
  <si>
    <t>marches_jours_ouverture/vendredi</t>
  </si>
  <si>
    <t>marches_jours_ouverture/samedi</t>
  </si>
  <si>
    <t>marches_jours_ouverture/dimanche</t>
  </si>
  <si>
    <t>marches_ouverture</t>
  </si>
  <si>
    <t>marches_ouverture/matin</t>
  </si>
  <si>
    <t>marches_ouverture/journee</t>
  </si>
  <si>
    <t>marches_ouverture/nuit</t>
  </si>
  <si>
    <t>marches_ouverture/nsp</t>
  </si>
  <si>
    <t>marches_ouverture/autre</t>
  </si>
  <si>
    <t>marches_ouverture_autre</t>
  </si>
  <si>
    <t>marches_couvert</t>
  </si>
  <si>
    <t>marches_fonctionnel_pluies</t>
  </si>
  <si>
    <t>marches_non_fonctionnel_pluies</t>
  </si>
  <si>
    <t>marches_non_fonctionnel_pluies/appro</t>
  </si>
  <si>
    <t>marches_non_fonctionnel_pluies/rupture_stock</t>
  </si>
  <si>
    <t>marches_non_fonctionnel_pluies/nsp</t>
  </si>
  <si>
    <t>marches_non_fonctionnel_pluies/autre</t>
  </si>
  <si>
    <t>marches_non_fonctionnel_pluies_autre</t>
  </si>
  <si>
    <t>marches_morts</t>
  </si>
  <si>
    <t>marches_morts_jours</t>
  </si>
  <si>
    <t>marches_morts_cause</t>
  </si>
  <si>
    <t>marches_morts_cause/insecurite_champs</t>
  </si>
  <si>
    <t>marches_morts_cause/insecurite_localite</t>
  </si>
  <si>
    <t>marches_morts_cause/rupture_stocks</t>
  </si>
  <si>
    <t>marches_morts_cause/pluies</t>
  </si>
  <si>
    <t>marches_morts_cause/nsp</t>
  </si>
  <si>
    <t>marches_morts_cause/autre</t>
  </si>
  <si>
    <t>marches_morts_cause_autre</t>
  </si>
  <si>
    <t>marches_commercants_nb</t>
  </si>
  <si>
    <t>marches_commercants_nb_changement</t>
  </si>
  <si>
    <t>marches_commercants_nb_evolution</t>
  </si>
  <si>
    <t>marches_commercants_nb_augmentation</t>
  </si>
  <si>
    <t>marches_commercants_nb_augmentation/nouveaux_commercants_deplaces</t>
  </si>
  <si>
    <t>marches_commercants_nb_augmentation/deplaces_marchandises</t>
  </si>
  <si>
    <t>marches_commercants_nb_augmentation/fermeture_marches_voisins</t>
  </si>
  <si>
    <t>marches_commercants_nb_augmentation/augmentation_acheteurs</t>
  </si>
  <si>
    <t>marches_commercants_nb_augmentation/nouvelles_demandes</t>
  </si>
  <si>
    <t>marches_commercants_nb_augmentation/securite</t>
  </si>
  <si>
    <t>marches_commercants_nb_augmentation/acces</t>
  </si>
  <si>
    <t>marches_commercants_nb_augmentation/nsp</t>
  </si>
  <si>
    <t>marches_commercants_nb_augmentation/autre</t>
  </si>
  <si>
    <t>marches_commercants_nb_augmentation_autre</t>
  </si>
  <si>
    <t>marches_commercants_nb_diminution</t>
  </si>
  <si>
    <t>marches_commercants_nb_diminution/insecurite</t>
  </si>
  <si>
    <t>marches_commercants_nb_diminution/covid</t>
  </si>
  <si>
    <t>marches_commercants_nb_diminution/acces_terre</t>
  </si>
  <si>
    <t>marches_commercants_nb_diminution/acces_localite</t>
  </si>
  <si>
    <t>marches_commercants_nb_diminution/pluies</t>
  </si>
  <si>
    <t>marches_commercants_nb_diminution/appro</t>
  </si>
  <si>
    <t>marches_commercants_nb_diminution/baisse_prix</t>
  </si>
  <si>
    <t>marches_commercants_nb_diminution/diminution_acheteurs</t>
  </si>
  <si>
    <t>marches_commercants_nb_diminution/nsp</t>
  </si>
  <si>
    <t>marches_commercants_nb_diminution/autre</t>
  </si>
  <si>
    <t>marches_commercants_nb_diminution_autre</t>
  </si>
  <si>
    <t>marches_grossistes</t>
  </si>
  <si>
    <t>marches_grossistes_nb</t>
  </si>
  <si>
    <t>marches_appro_alimentaire</t>
  </si>
  <si>
    <t>marches_appro_alimentaire/achat_individuel_producteurs</t>
  </si>
  <si>
    <t>marches_appro_alimentaire/achat_individuel_grossistes</t>
  </si>
  <si>
    <t>marches_appro_alimentaire/achat_groupe_producteurs</t>
  </si>
  <si>
    <t>marches_appro_alimentaire/achat_groupe_grossistes</t>
  </si>
  <si>
    <t>marches_appro_alimentaire/groupement</t>
  </si>
  <si>
    <t>marches_appro_alimentaire/commercants_producteurs</t>
  </si>
  <si>
    <t>marches_appro_alimentaire/nsp</t>
  </si>
  <si>
    <t>marches_appro_alimentaire/autre</t>
  </si>
  <si>
    <t>marches_appro_alimentaire_autre</t>
  </si>
  <si>
    <t>marches_appro_alimentaire_frequence</t>
  </si>
  <si>
    <t>marches_appro_alimentaire_frequence_autre</t>
  </si>
  <si>
    <t>marches_appro_alimentaire_provenance</t>
  </si>
  <si>
    <t>marches_appro_alimentaire_provenance_autre</t>
  </si>
  <si>
    <t>marches_appro_alimentaire_provenance_proche</t>
  </si>
  <si>
    <t>marches_appro_nfi</t>
  </si>
  <si>
    <t>marches_appro_nfi/achat_individuel_producteurs</t>
  </si>
  <si>
    <t>marches_appro_nfi/achat_individuel_grossistes</t>
  </si>
  <si>
    <t>marches_appro_nfi/achat_groupe_producteurs</t>
  </si>
  <si>
    <t>marches_appro_nfi/achat_groupe_grossistes</t>
  </si>
  <si>
    <t>marches_appro_nfi/groupement</t>
  </si>
  <si>
    <t>marches_appro_nfi/commercants_producteurs</t>
  </si>
  <si>
    <t>marches_appro_nfi/nsp</t>
  </si>
  <si>
    <t>marches_appro_nfi/autre</t>
  </si>
  <si>
    <t>marches_appro_nfi_autre</t>
  </si>
  <si>
    <t>marches_appro_nfi_frequence</t>
  </si>
  <si>
    <t>marches_appro_nfi_frequence_autre</t>
  </si>
  <si>
    <t>marches_appro_nfi_provenance</t>
  </si>
  <si>
    <t>marches_appro_nfi_provenance_autre</t>
  </si>
  <si>
    <t>marches_appro_nfi_provenance_proche</t>
  </si>
  <si>
    <t>marches_frequentation</t>
  </si>
  <si>
    <t>marches_frequentation_autre</t>
  </si>
  <si>
    <t>marches_frequentation_changement</t>
  </si>
  <si>
    <t>marches_frequentation_evolution</t>
  </si>
  <si>
    <t>marches_frequentation_augmentation</t>
  </si>
  <si>
    <t>marches_frequentation_augmentation/aug_population</t>
  </si>
  <si>
    <t>marches_frequentation_augmentation/deplacement_population</t>
  </si>
  <si>
    <t>marches_frequentation_augmentation/fermeture_marches_voisins</t>
  </si>
  <si>
    <t>marches_frequentation_augmentation/meilleur_appro</t>
  </si>
  <si>
    <t>marches_frequentation_augmentation/securisation</t>
  </si>
  <si>
    <t>marches_frequentation_augmentation/nsp</t>
  </si>
  <si>
    <t>marches_frequentation_augmentation/autre</t>
  </si>
  <si>
    <t>marches_frequentation_augmentation_autre</t>
  </si>
  <si>
    <t>marches_frequentation_diminution</t>
  </si>
  <si>
    <t>marches_frequentation_diminution/diminution_population</t>
  </si>
  <si>
    <t>marches_frequentation_diminution/deplacement_population</t>
  </si>
  <si>
    <t>marches_frequentation_diminution/ouverture_marches_voisins</t>
  </si>
  <si>
    <t>marches_frequentation_diminution/insecurite</t>
  </si>
  <si>
    <t>marches_frequentation_diminution/covid</t>
  </si>
  <si>
    <t>marches_frequentation_diminution/nsp</t>
  </si>
  <si>
    <t>marches_frequentation_diminution/autre</t>
  </si>
  <si>
    <t>marches_frequentation_diminution_autre</t>
  </si>
  <si>
    <t>marches_construction</t>
  </si>
  <si>
    <t>marches_construction/gvt</t>
  </si>
  <si>
    <t>marches_construction/mairie</t>
  </si>
  <si>
    <t>marches_construction/communaute</t>
  </si>
  <si>
    <t>marches_construction/secteur_prive</t>
  </si>
  <si>
    <t>marches_construction/ong_nationales</t>
  </si>
  <si>
    <t>marches_construction/ong_internationales</t>
  </si>
  <si>
    <t>marches_construction/organisation_religieuse</t>
  </si>
  <si>
    <t>marches_construction/nsp</t>
  </si>
  <si>
    <t>marches_construction/autre</t>
  </si>
  <si>
    <t>marches_construction_autre</t>
  </si>
  <si>
    <t>marches_gestion</t>
  </si>
  <si>
    <t>marches_gestion/mairie</t>
  </si>
  <si>
    <t>marches_gestion/etat</t>
  </si>
  <si>
    <t>marches_gestion/commercants</t>
  </si>
  <si>
    <t>marches_gestion/ong</t>
  </si>
  <si>
    <t>marches_gestion/aucun</t>
  </si>
  <si>
    <t>marches_gestion/nsp</t>
  </si>
  <si>
    <t>marches_gestion/autre</t>
  </si>
  <si>
    <t>marches_gestion_autre</t>
  </si>
  <si>
    <t>marches_cooperatives</t>
  </si>
  <si>
    <t>marches_cooperatives_type</t>
  </si>
  <si>
    <t>marches_cooperatives_type/association</t>
  </si>
  <si>
    <t>marches_cooperatives_type/groupement_biens</t>
  </si>
  <si>
    <t>marches_cooperatives_type/cooperative_producteurs</t>
  </si>
  <si>
    <t>marches_cooperatives_type/cooperative_eleveurs</t>
  </si>
  <si>
    <t>marches_cooperatives_type/cooperative_transformateurs</t>
  </si>
  <si>
    <t>marches_cooperatives_type/nsp</t>
  </si>
  <si>
    <t>marches_cooperatives_type/autre</t>
  </si>
  <si>
    <t>marches_cooperatives_type_autre</t>
  </si>
  <si>
    <t>marches_fin_communautaire</t>
  </si>
  <si>
    <t>marches_fin_communautaire/dons_argent</t>
  </si>
  <si>
    <t>marches_fin_communautaire/dons_materiaux</t>
  </si>
  <si>
    <t>marches_fin_communautaire/nsp</t>
  </si>
  <si>
    <t>marches_fin_communautaire/autre</t>
  </si>
  <si>
    <t>marches_fin_communautaire/aucun</t>
  </si>
  <si>
    <t>marches_fin_communautaire_autre</t>
  </si>
  <si>
    <t>marches_acteurs_locaux</t>
  </si>
  <si>
    <t>marches_acteurs_locaux/mairie</t>
  </si>
  <si>
    <t>marches_acteurs_locaux/gvt</t>
  </si>
  <si>
    <t>marches_acteurs_locaux/ong_locales</t>
  </si>
  <si>
    <t>marches_acteurs_locaux/ong_nationales</t>
  </si>
  <si>
    <t>marches_acteurs_locaux/ong_Internationales</t>
  </si>
  <si>
    <t>marches_acteurs_locaux/leaders_communautaires</t>
  </si>
  <si>
    <t>marches_acteurs_locaux/chef_quartiers</t>
  </si>
  <si>
    <t>marches_acteurs_locaux/chef_village</t>
  </si>
  <si>
    <t>marches_acteurs_locaux/leaders_religieux</t>
  </si>
  <si>
    <t>marches_acteurs_locaux/aucun</t>
  </si>
  <si>
    <t>marches_acteurs_locaux/nsp</t>
  </si>
  <si>
    <t>marches_acteurs_locaux/autre</t>
  </si>
  <si>
    <t>marches_acteurs_locaux_autre</t>
  </si>
  <si>
    <t>marches_contraintes_gestion</t>
  </si>
  <si>
    <t>marches_contraintes_gestion/manque_ressources_fin</t>
  </si>
  <si>
    <t>marches_contraintes_gestion/manque_infra</t>
  </si>
  <si>
    <t>marches_contraintes_gestion/mauvaise_routes</t>
  </si>
  <si>
    <t>marches_contraintes_gestion/insecurite_axes</t>
  </si>
  <si>
    <t>marches_contraintes_gestion/insecurite_localite</t>
  </si>
  <si>
    <t>marches_contraintes_gestion/tensions_communautaires</t>
  </si>
  <si>
    <t>marches_contraintes_gestion/vols_materiel</t>
  </si>
  <si>
    <t>marches_contraintes_gestion/vols_betail</t>
  </si>
  <si>
    <t>marches_contraintes_gestion/forte_demande</t>
  </si>
  <si>
    <t>marches_contraintes_gestion/influences_politiques</t>
  </si>
  <si>
    <t>marches_contraintes_gestion/indispo_produits</t>
  </si>
  <si>
    <t>marches_contraintes_gestion/faible_pouvoir_achat</t>
  </si>
  <si>
    <t>marches_contraintes_gestion/inflation</t>
  </si>
  <si>
    <t>marches_contraintes_gestion/taxation_ga</t>
  </si>
  <si>
    <t>marches_contraintes_gestion/aucun</t>
  </si>
  <si>
    <t>marches_contraintes_gestion/nsp</t>
  </si>
  <si>
    <t>marches_contraintes_gestion/autre</t>
  </si>
  <si>
    <t>marches_contraintes_gestion_autre</t>
  </si>
  <si>
    <t>marches_aide_fonctionnement</t>
  </si>
  <si>
    <t>marches_aide_fonctionnement_source</t>
  </si>
  <si>
    <t>marches_aide_fonctionnement_source/usagers</t>
  </si>
  <si>
    <t>marches_aide_fonctionnement_source/al</t>
  </si>
  <si>
    <t>marches_aide_fonctionnement_source/gvt</t>
  </si>
  <si>
    <t>marches_aide_fonctionnement_source/ong_locales</t>
  </si>
  <si>
    <t>marches_aide_fonctionnement_source/ong_internationale</t>
  </si>
  <si>
    <t>marches_aide_fonctionnement_source/ga</t>
  </si>
  <si>
    <t>marches_aide_fonctionnement_source/nsp</t>
  </si>
  <si>
    <t>marches_aide_fonctionnement_source/autre</t>
  </si>
  <si>
    <t>marches_aide_fonctionnement_source_autre</t>
  </si>
  <si>
    <t>marches_aide_fonctionnement_type</t>
  </si>
  <si>
    <t>marches_aide_fonctionnement_type/subventions</t>
  </si>
  <si>
    <t>marches_aide_fonctionnement_type/materiaux_rehab</t>
  </si>
  <si>
    <t>marches_aide_fonctionnement_type/rehabilitation_marches</t>
  </si>
  <si>
    <t>marches_aide_fonctionnement_type/rehabilitation_routes</t>
  </si>
  <si>
    <t>marches_aide_fonctionnement_type/rehabilitation_ponts</t>
  </si>
  <si>
    <t>marches_aide_fonctionnement_type/cash_distrib</t>
  </si>
  <si>
    <t>marches_aide_fonctionnement_type/formation</t>
  </si>
  <si>
    <t>marches_aide_fonctionnement_type/nsp</t>
  </si>
  <si>
    <t>marches_aide_fonctionnement_type/autre</t>
  </si>
  <si>
    <t>marches_aide_fonctionnement_type_autre</t>
  </si>
  <si>
    <t>marches_aide_fonctionnement_satisfaction</t>
  </si>
  <si>
    <t>marches_aide_fonctionnement_insatisfaction_cause</t>
  </si>
  <si>
    <t>marches_aide_fonctionnement_insatisfaction_cause/insuffisant</t>
  </si>
  <si>
    <t>marches_aide_fonctionnement_insatisfaction_cause/inadapte</t>
  </si>
  <si>
    <t>marches_aide_fonctionnement_insatisfaction_cause/non_durable</t>
  </si>
  <si>
    <t>marches_aide_fonctionnement_insatisfaction_cause/corruption</t>
  </si>
  <si>
    <t>marches_aide_fonctionnement_insatisfaction_cause/autre</t>
  </si>
  <si>
    <t>marches_aide_fonctionnement_insatisfaction_cause_autre</t>
  </si>
  <si>
    <t>marches_amelioration</t>
  </si>
  <si>
    <t>marches_amelioration/subventions</t>
  </si>
  <si>
    <t>marches_amelioration/materiaux_rehab</t>
  </si>
  <si>
    <t>marches_amelioration/rehabilitation_marches</t>
  </si>
  <si>
    <t>marches_amelioration/rehabilitation_routes</t>
  </si>
  <si>
    <t>marches_amelioration/rehabilitation_ponts</t>
  </si>
  <si>
    <t>marches_amelioration/cash_distrib</t>
  </si>
  <si>
    <t>marches_amelioration/formation</t>
  </si>
  <si>
    <t>marches_amelioration/nsp</t>
  </si>
  <si>
    <t>marches_amelioration/autre</t>
  </si>
  <si>
    <t>marches_amelioration_autre</t>
  </si>
  <si>
    <t>remerciements</t>
  </si>
  <si>
    <t>questions</t>
  </si>
  <si>
    <t>_id</t>
  </si>
  <si>
    <t>_uuid</t>
  </si>
  <si>
    <t>_submission_time</t>
  </si>
  <si>
    <t>_validation_status</t>
  </si>
  <si>
    <t>_index</t>
  </si>
  <si>
    <t>eau</t>
  </si>
  <si>
    <t>autre</t>
  </si>
  <si>
    <t>non</t>
  </si>
  <si>
    <t>oui</t>
  </si>
  <si>
    <t>bcp_augmente</t>
  </si>
  <si>
    <t>ong_internationales</t>
  </si>
  <si>
    <t>communaute</t>
  </si>
  <si>
    <t>marche</t>
  </si>
  <si>
    <t>bcp_diminue</t>
  </si>
  <si>
    <t>nsp</t>
  </si>
  <si>
    <t>mairie</t>
  </si>
  <si>
    <t>aucun</t>
  </si>
  <si>
    <t>peu_diminue</t>
  </si>
  <si>
    <t>trimestriel</t>
  </si>
  <si>
    <t>bangui</t>
  </si>
  <si>
    <t>dons_materiaux</t>
  </si>
  <si>
    <t>education</t>
  </si>
  <si>
    <t>public</t>
  </si>
  <si>
    <t>durable</t>
  </si>
  <si>
    <t>f1</t>
  </si>
  <si>
    <t>non_rc</t>
  </si>
  <si>
    <t>insuffisant inadapte</t>
  </si>
  <si>
    <t>hangar</t>
  </si>
  <si>
    <t>religieux</t>
  </si>
  <si>
    <t>salaires achat_materiel</t>
  </si>
  <si>
    <t>hangar_traditionnel</t>
  </si>
  <si>
    <t>insuffisant</t>
  </si>
  <si>
    <t>oui_potable</t>
  </si>
  <si>
    <t>source_amenagee</t>
  </si>
  <si>
    <t>non_rehab</t>
  </si>
  <si>
    <t>peu_augmente</t>
  </si>
  <si>
    <t>oui_rc</t>
  </si>
  <si>
    <t>gvt</t>
  </si>
  <si>
    <t>pompe_pied</t>
  </si>
  <si>
    <t>destruction</t>
  </si>
  <si>
    <t>oui_pas_potable</t>
  </si>
  <si>
    <t>insecurite</t>
  </si>
  <si>
    <t>ong_Internationales</t>
  </si>
  <si>
    <t>quartier</t>
  </si>
  <si>
    <t>dotation_materiaux</t>
  </si>
  <si>
    <t xml:space="preserve">Pompe à pied </t>
  </si>
  <si>
    <t xml:space="preserve">Source aménagée </t>
  </si>
  <si>
    <t>Puits protégé</t>
  </si>
  <si>
    <t>Puits non protégé</t>
  </si>
  <si>
    <t>Autre</t>
  </si>
  <si>
    <t xml:space="preserve">TOTAL </t>
  </si>
  <si>
    <t>#</t>
  </si>
  <si>
    <t xml:space="preserve">Proportion </t>
  </si>
  <si>
    <t>NON</t>
  </si>
  <si>
    <t>OUI</t>
  </si>
  <si>
    <t xml:space="preserve">Besoin de réhabilitation </t>
  </si>
  <si>
    <t xml:space="preserve">Besoin de reconstruction </t>
  </si>
  <si>
    <t>Besoin de réparations/maintenance</t>
  </si>
  <si>
    <t xml:space="preserve">Si non fonctionnels, pourquoi ? </t>
  </si>
  <si>
    <t>Destruction</t>
  </si>
  <si>
    <t>Contamination</t>
  </si>
  <si>
    <t>Vol équipement</t>
  </si>
  <si>
    <t>Assèchement source</t>
  </si>
  <si>
    <t>Problème d'accès</t>
  </si>
  <si>
    <t xml:space="preserve">Autre </t>
  </si>
  <si>
    <t>Proportion</t>
  </si>
  <si>
    <t xml:space="preserve">Point d'eau utilisé pour boire ? </t>
  </si>
  <si>
    <t xml:space="preserve">Nombre moyen de ménages qui utilisent le point d'eau : </t>
  </si>
  <si>
    <t xml:space="preserve">Si oui : </t>
  </si>
  <si>
    <t xml:space="preserve">Beaucoup augmenté </t>
  </si>
  <si>
    <t xml:space="preserve">Beaucoup diminué </t>
  </si>
  <si>
    <t xml:space="preserve">Si augmentation, pourquoi ? </t>
  </si>
  <si>
    <t>Augmentation de la population</t>
  </si>
  <si>
    <t>Arrivée de déplacés</t>
  </si>
  <si>
    <t xml:space="preserve">Activités de sensibilisation EHA </t>
  </si>
  <si>
    <t xml:space="preserve">Point d'eau créé ou réhabilité après les événements </t>
  </si>
  <si>
    <t xml:space="preserve">Destruction d'autres points d'eau à proximité </t>
  </si>
  <si>
    <t xml:space="preserve">Insecurite dans d'autres zones de la localité </t>
  </si>
  <si>
    <t xml:space="preserve">Gouvernement </t>
  </si>
  <si>
    <t>Mairie</t>
  </si>
  <si>
    <t>Communauté</t>
  </si>
  <si>
    <t>Secteur privé</t>
  </si>
  <si>
    <t>ONG nationales</t>
  </si>
  <si>
    <t>ONGI</t>
  </si>
  <si>
    <t>Organisation religieuse</t>
  </si>
  <si>
    <t xml:space="preserve">Si payant, prix moyen :  </t>
  </si>
  <si>
    <t>XAF</t>
  </si>
  <si>
    <t xml:space="preserve">Si payant, changement de prix ? </t>
  </si>
  <si>
    <t xml:space="preserve">Si changement de prix, pourquoi ? </t>
  </si>
  <si>
    <t>Prix de l'équipement</t>
  </si>
  <si>
    <t>Prix du personnel</t>
  </si>
  <si>
    <t>Prix maintenance</t>
  </si>
  <si>
    <t>Changement du mode de gestion</t>
  </si>
  <si>
    <t>Dons argent</t>
  </si>
  <si>
    <t>Dons materiaux</t>
  </si>
  <si>
    <t>Aucun</t>
  </si>
  <si>
    <t xml:space="preserve">Manque de ressources financières </t>
  </si>
  <si>
    <t xml:space="preserve">Vols et pillages du matériel </t>
  </si>
  <si>
    <t xml:space="preserve">Sur-utilisation et pression sur service </t>
  </si>
  <si>
    <t>Gouvernement</t>
  </si>
  <si>
    <t>ONG locales</t>
  </si>
  <si>
    <t>Leaders communautaires</t>
  </si>
  <si>
    <t>Chefs de quartiers</t>
  </si>
  <si>
    <t xml:space="preserve">Chef de village </t>
  </si>
  <si>
    <t xml:space="preserve">Leaders religieux </t>
  </si>
  <si>
    <t xml:space="preserve">Si oui, de la part de qui ? </t>
  </si>
  <si>
    <t>Usagers</t>
  </si>
  <si>
    <t>Autorités</t>
  </si>
  <si>
    <t xml:space="preserve">Si oui, type d'aide ? </t>
  </si>
  <si>
    <t xml:space="preserve">Réhabilitation de bâtiments / locaux </t>
  </si>
  <si>
    <t xml:space="preserve">Réhabilitation des équipements (pompe, puits)  </t>
  </si>
  <si>
    <t xml:space="preserve">Dotations d'équipements de maintenance  </t>
  </si>
  <si>
    <t xml:space="preserve">Personnel qualifié </t>
  </si>
  <si>
    <t xml:space="preserve">Si non, pourquoi ? </t>
  </si>
  <si>
    <t>Insuffisant</t>
  </si>
  <si>
    <t>Inadapté</t>
  </si>
  <si>
    <t>Non durable</t>
  </si>
  <si>
    <t>Corruption</t>
  </si>
  <si>
    <t>Publique</t>
  </si>
  <si>
    <t xml:space="preserve">Privée </t>
  </si>
  <si>
    <t xml:space="preserve">Religieuse </t>
  </si>
  <si>
    <t>Durable</t>
  </si>
  <si>
    <t>Hangar</t>
  </si>
  <si>
    <t>Hangar traditionnel</t>
  </si>
  <si>
    <t xml:space="preserve">Manque de moyens pour l'entretien des bâtiments </t>
  </si>
  <si>
    <t xml:space="preserve">Intrusion régulière de groupes armés </t>
  </si>
  <si>
    <t>Incendie volontaire/involontaire</t>
  </si>
  <si>
    <t xml:space="preserve">Vandalisme </t>
  </si>
  <si>
    <t xml:space="preserve">INFRASTRUCTURE </t>
  </si>
  <si>
    <t xml:space="preserve">Présence de latrines ? </t>
  </si>
  <si>
    <t xml:space="preserve">Si oui, combien en moyenne ? </t>
  </si>
  <si>
    <t>Si oui, séparées par genre ?</t>
  </si>
  <si>
    <t xml:space="preserve">Moyenne pour les filles </t>
  </si>
  <si>
    <t xml:space="preserve">Moyenne pour les garçons :  </t>
  </si>
  <si>
    <t xml:space="preserve">Présence de point d'eau ? </t>
  </si>
  <si>
    <t xml:space="preserve">Si oui, séparées pour le personnel ? </t>
  </si>
  <si>
    <t xml:space="preserve">MODE DE FONCTIONNEMENT </t>
  </si>
  <si>
    <t>TYPE DE SERVICE</t>
  </si>
  <si>
    <t>UTILISATION</t>
  </si>
  <si>
    <t>MODE DE FONCTIONNEMENT</t>
  </si>
  <si>
    <t>Service payant ?</t>
  </si>
  <si>
    <t>Financement communautaire ?</t>
  </si>
  <si>
    <t xml:space="preserve">Contraintes de gestion ? </t>
  </si>
  <si>
    <t>Contact avec les acteurs locaux ?</t>
  </si>
  <si>
    <t>PISTES D'AMELIORATION</t>
  </si>
  <si>
    <t>CAPACITES DU SERVICE</t>
  </si>
  <si>
    <t>Construction ?</t>
  </si>
  <si>
    <t xml:space="preserve">Construction ? </t>
  </si>
  <si>
    <t xml:space="preserve">Point d'eau fonctionnel ? </t>
  </si>
  <si>
    <t xml:space="preserve">Si oui, comment ? </t>
  </si>
  <si>
    <t>Peu diminué</t>
  </si>
  <si>
    <t>Beaucoup diminué</t>
  </si>
  <si>
    <t>Peu augmenté</t>
  </si>
  <si>
    <t xml:space="preserve">Si diminution, pourquoi ? </t>
  </si>
  <si>
    <t xml:space="preserve">Augmentation de la population dans la zone  </t>
  </si>
  <si>
    <t xml:space="preserve">Arrivée de populations déplacées  </t>
  </si>
  <si>
    <t xml:space="preserve">Réhabilitation de l'école  </t>
  </si>
  <si>
    <t xml:space="preserve">Stabilisation sécuritaire de la zone  </t>
  </si>
  <si>
    <t xml:space="preserve">Il y a moins d'habitants dans la zone  </t>
  </si>
  <si>
    <t xml:space="preserve">Ecoles réhabilitées dans des localités voisines  </t>
  </si>
  <si>
    <t xml:space="preserve">Les enfants sont engagés dans l'exploitation minière  </t>
  </si>
  <si>
    <t xml:space="preserve">Beaucoup d'enfants enrôlés dans les GA  </t>
  </si>
  <si>
    <t xml:space="preserve">Nb moyen d'enseignants vacataires : </t>
  </si>
  <si>
    <t xml:space="preserve">Nb moyens de maître-parents </t>
  </si>
  <si>
    <t>Niveau de formation des enseignants (titulaires et vacataires) suffisant ?</t>
  </si>
  <si>
    <t xml:space="preserve">Oui mais certains auraient besoin d'un RC </t>
  </si>
  <si>
    <t xml:space="preserve">Nb moyen d'enseignants titulaires : </t>
  </si>
  <si>
    <t xml:space="preserve">Ecole payante ? </t>
  </si>
  <si>
    <t xml:space="preserve">XAF </t>
  </si>
  <si>
    <t xml:space="preserve">Finalité des frais de scolarité ? </t>
  </si>
  <si>
    <t xml:space="preserve">Rémunérer les professeurs  </t>
  </si>
  <si>
    <t xml:space="preserve">Achat de matériel  </t>
  </si>
  <si>
    <t xml:space="preserve">Réhabilitation des infrastructures  </t>
  </si>
  <si>
    <t xml:space="preserve">Organisation d'activités sportives et culturelles pour les enfants  </t>
  </si>
  <si>
    <t xml:space="preserve">Financement communautaire ? </t>
  </si>
  <si>
    <t xml:space="preserve">Manque de matériel pédagogique  </t>
  </si>
  <si>
    <t xml:space="preserve">Manque d'équipement de base (Bancs, chaises, tableaux)  </t>
  </si>
  <si>
    <t>Aide au fonctionnement reçue ?</t>
  </si>
  <si>
    <t>Alimentaires</t>
  </si>
  <si>
    <t>Semences</t>
  </si>
  <si>
    <t>Produits vendus ?</t>
  </si>
  <si>
    <t xml:space="preserve">NFI </t>
  </si>
  <si>
    <t>Hygiène</t>
  </si>
  <si>
    <t>Médicaments</t>
  </si>
  <si>
    <t>Matériaux</t>
  </si>
  <si>
    <t>Matériel scolaire</t>
  </si>
  <si>
    <t xml:space="preserve">Marché fonctionnel ? </t>
  </si>
  <si>
    <t>Marché couvert ?</t>
  </si>
  <si>
    <t>Fonctionnel en saison des pluies ?</t>
  </si>
  <si>
    <t>Nb moyen de commerçants :</t>
  </si>
  <si>
    <t xml:space="preserve">L'accès à la localité s'est dégradé  </t>
  </si>
  <si>
    <t xml:space="preserve">L'accès au marché s'est dégradé  </t>
  </si>
  <si>
    <t xml:space="preserve">Il y a moins d’acheteurs  </t>
  </si>
  <si>
    <t>Présence de grossistes ?</t>
  </si>
  <si>
    <t xml:space="preserve">APPROVISIONNEMENT </t>
  </si>
  <si>
    <t xml:space="preserve">Achat groupé auprès des producteurs </t>
  </si>
  <si>
    <t xml:space="preserve">Achat groupé auprès des grossistes   </t>
  </si>
  <si>
    <t xml:space="preserve">Achat via un groupement ou un syndicat  </t>
  </si>
  <si>
    <t xml:space="preserve">Achat individuel auprès des producteurs  </t>
  </si>
  <si>
    <t xml:space="preserve">Achat individuel auprès des grossistes / revendeurs  </t>
  </si>
  <si>
    <t xml:space="preserve">Les commerçants sont eux-mêmes producteurs  </t>
  </si>
  <si>
    <t xml:space="preserve">Provenance : </t>
  </si>
  <si>
    <t xml:space="preserve">Localement  </t>
  </si>
  <si>
    <t xml:space="preserve">Dans la grande localité dans la plus proche  </t>
  </si>
  <si>
    <t xml:space="preserve">Bangui  </t>
  </si>
  <si>
    <t xml:space="preserve">A l'extérieur du pays  </t>
  </si>
  <si>
    <t>FREQUENTATION</t>
  </si>
  <si>
    <t xml:space="preserve">Départ de populations vers d'autres localités  </t>
  </si>
  <si>
    <t xml:space="preserve">Ouverture de nouveaux marchés dans les villes voisines  </t>
  </si>
  <si>
    <t xml:space="preserve">Dégradation sécuritaire  </t>
  </si>
  <si>
    <t xml:space="preserve">Epidémie Covid-19 </t>
  </si>
  <si>
    <t>TAXES</t>
  </si>
  <si>
    <t xml:space="preserve">La mairie  </t>
  </si>
  <si>
    <t xml:space="preserve">Gestion du marché : </t>
  </si>
  <si>
    <t xml:space="preserve">Les commerçants eux-mêmes  </t>
  </si>
  <si>
    <t xml:space="preserve">Une ONG  </t>
  </si>
  <si>
    <t xml:space="preserve">Pas de système de gestion mis en place  </t>
  </si>
  <si>
    <t>Un service de l'Etat (préfecture, sous-prefecture, minsitère)</t>
  </si>
  <si>
    <t xml:space="preserve">Coopérative ou groupement de commerçants ? </t>
  </si>
  <si>
    <t xml:space="preserve">Mauvaise qualité des routes  </t>
  </si>
  <si>
    <t xml:space="preserve">Tensions communautaires  </t>
  </si>
  <si>
    <t xml:space="preserve">Vols et pillages du matériel  </t>
  </si>
  <si>
    <t xml:space="preserve">Vol de bétail dans la zone  </t>
  </si>
  <si>
    <t xml:space="preserve">Faible pouvoir d'achat des acheteurs  </t>
  </si>
  <si>
    <t xml:space="preserve">Aucune  </t>
  </si>
  <si>
    <t xml:space="preserve">Réhabilitation des routes  </t>
  </si>
  <si>
    <t xml:space="preserve">Réhabilitation de ponts à proximité  </t>
  </si>
  <si>
    <t xml:space="preserve">Distribution directe d'argent aux habitants de la localité  </t>
  </si>
  <si>
    <t xml:space="preserve">Formations (gestion, comptabilité)  </t>
  </si>
  <si>
    <t>centre_sante</t>
  </si>
  <si>
    <t>ok</t>
  </si>
  <si>
    <t>subventions</t>
  </si>
  <si>
    <t>sante</t>
  </si>
  <si>
    <t>hopital_district</t>
  </si>
  <si>
    <t>acces_communautaire</t>
  </si>
  <si>
    <t>financier</t>
  </si>
  <si>
    <t>association</t>
  </si>
  <si>
    <t>achat_individuel_producteurs achat_individuel_grossistes</t>
  </si>
  <si>
    <t>dons_argent</t>
  </si>
  <si>
    <t>localite</t>
  </si>
  <si>
    <t>bidon</t>
  </si>
  <si>
    <t>comite-gestion</t>
  </si>
  <si>
    <t>construction</t>
  </si>
  <si>
    <t xml:space="preserve">Source non aménagée </t>
  </si>
  <si>
    <t xml:space="preserve">Peu augmenté </t>
  </si>
  <si>
    <t xml:space="preserve">Peu diminué </t>
  </si>
  <si>
    <t xml:space="preserve">Satisfaisant ? </t>
  </si>
  <si>
    <t>Satisfaisant ?</t>
  </si>
  <si>
    <t xml:space="preserve">Présence d'un hôpital de district :  </t>
  </si>
  <si>
    <t xml:space="preserve">Nb de points d'eau : </t>
  </si>
  <si>
    <t xml:space="preserve">Nb d'écoles : </t>
  </si>
  <si>
    <t xml:space="preserve">Partiellement </t>
  </si>
  <si>
    <t>Présence de latrines fonctionnelles ?</t>
  </si>
  <si>
    <t xml:space="preserve">OUI mais non fonctionnelles </t>
  </si>
  <si>
    <t xml:space="preserve">Si oui, séparées par genre ? </t>
  </si>
  <si>
    <t xml:space="preserve">Nb moyen pour les femmes : </t>
  </si>
  <si>
    <t xml:space="preserve">Nb moyen pour les hommes : </t>
  </si>
  <si>
    <t>Si oui, séparées patients/personnels ?</t>
  </si>
  <si>
    <t>Accès à l'eau potable ?</t>
  </si>
  <si>
    <t xml:space="preserve">Si oui, quel type ? </t>
  </si>
  <si>
    <t xml:space="preserve">Accès direct - privé  </t>
  </si>
  <si>
    <t xml:space="preserve">Accès au point d'eau communautaire  </t>
  </si>
  <si>
    <t xml:space="preserve">Eau distribuée par camion  </t>
  </si>
  <si>
    <t xml:space="preserve">Présence d'un générateur ? </t>
  </si>
  <si>
    <t>PRESTATIONS</t>
  </si>
  <si>
    <t xml:space="preserve">Types de soins pratiqués ? </t>
  </si>
  <si>
    <t xml:space="preserve">Consultations curatives </t>
  </si>
  <si>
    <t xml:space="preserve">Consultations prénatales </t>
  </si>
  <si>
    <t xml:space="preserve">Malnutrition aigue sévère </t>
  </si>
  <si>
    <t xml:space="preserve">Victimes de Violence Sexuelles </t>
  </si>
  <si>
    <t xml:space="preserve">Maladies infectieuses </t>
  </si>
  <si>
    <t xml:space="preserve">Maternité </t>
  </si>
  <si>
    <t xml:space="preserve">Vaccinations ? </t>
  </si>
  <si>
    <t xml:space="preserve">Pentavalent 3  </t>
  </si>
  <si>
    <t>Cellule d'appui psycho-social ?</t>
  </si>
  <si>
    <t xml:space="preserve">Si oui, quelle équipe ? </t>
  </si>
  <si>
    <t xml:space="preserve">Un psychologue qualifié (privé)  </t>
  </si>
  <si>
    <t xml:space="preserve">Un membre de la communauté  </t>
  </si>
  <si>
    <t xml:space="preserve">Une équipe ONG  </t>
  </si>
  <si>
    <t xml:space="preserve">Nb de patients moyen qui peuvent être accueillis par jour par les structures de santé : </t>
  </si>
  <si>
    <t xml:space="preserve">Changement du nb de patients reçus ? </t>
  </si>
  <si>
    <t>Si oui, nature du changement ?</t>
  </si>
  <si>
    <t>Fermeture des structures de santé voisines</t>
  </si>
  <si>
    <t>Nouveaux problèmes de santé</t>
  </si>
  <si>
    <t xml:space="preserve">Nouveaux soins  </t>
  </si>
  <si>
    <t xml:space="preserve">Structure renforcée  par l’aide humanitaire  </t>
  </si>
  <si>
    <t xml:space="preserve">Structure renforcée par le gouvernement  </t>
  </si>
  <si>
    <t xml:space="preserve">Structure référencée par des ONG humanitaires  </t>
  </si>
  <si>
    <t>Pression sur les services ?</t>
  </si>
  <si>
    <t>Fortement sur-utilisé/ saturé</t>
  </si>
  <si>
    <t>Un peu sur-utilisé / Saturé</t>
  </si>
  <si>
    <t>Utilisé selon ses capacités</t>
  </si>
  <si>
    <t>Un peu sous-utilisé</t>
  </si>
  <si>
    <t>Fortement sous-utilisé</t>
  </si>
  <si>
    <t xml:space="preserve">Nb moyen de travailleurs : </t>
  </si>
  <si>
    <t xml:space="preserve">Nb moyen de médecins qualifiés : </t>
  </si>
  <si>
    <t xml:space="preserve">Nb moyen d'infirmiers qualifiés : </t>
  </si>
  <si>
    <t xml:space="preserve">Nb moyen d'aides soignants : </t>
  </si>
  <si>
    <t>Nb moyen d'accoucheuses :</t>
  </si>
  <si>
    <t xml:space="preserve">Nb moyen spécialistes paramedicaux : </t>
  </si>
  <si>
    <t xml:space="preserve">Nb moyen d'agents de santé communautaires : </t>
  </si>
  <si>
    <t xml:space="preserve">Nb moyen de personnes en support : </t>
  </si>
  <si>
    <t xml:space="preserve">Consultations payantes ? </t>
  </si>
  <si>
    <t xml:space="preserve">Si oui, changement de prix ? </t>
  </si>
  <si>
    <t xml:space="preserve">Si oui, nature du changement ? </t>
  </si>
  <si>
    <t xml:space="preserve">Le loyer est plus cher  </t>
  </si>
  <si>
    <t xml:space="preserve">Baisse des subventions de l'Etat  </t>
  </si>
  <si>
    <t xml:space="preserve">Difficultés pour payer les salaires  </t>
  </si>
  <si>
    <t xml:space="preserve">Rackets et pillages  </t>
  </si>
  <si>
    <t>Mode de gestion ?</t>
  </si>
  <si>
    <t>ONG</t>
  </si>
  <si>
    <t>Public</t>
  </si>
  <si>
    <t>Privé</t>
  </si>
  <si>
    <t>Religieux</t>
  </si>
  <si>
    <t xml:space="preserve">Comité de gestion ? </t>
  </si>
  <si>
    <t xml:space="preserve">Manque de ressources financières  </t>
  </si>
  <si>
    <t xml:space="preserve">Manque de médicaments </t>
  </si>
  <si>
    <t xml:space="preserve">Mauvaise qualité des médicaments  </t>
  </si>
  <si>
    <t xml:space="preserve">Concurrence des "médicaments de rue"  </t>
  </si>
  <si>
    <t>Manque d'équipement de base (lits, brancards, matériel)</t>
  </si>
  <si>
    <t xml:space="preserve">Manque de personnels qualifiés  </t>
  </si>
  <si>
    <t xml:space="preserve">Manque de sécurité et présence de groupes armés </t>
  </si>
  <si>
    <t xml:space="preserve">Sur-utilisation et pression sur service  </t>
  </si>
  <si>
    <t xml:space="preserve">Dotations de matériaux de réhabilitation  </t>
  </si>
  <si>
    <t xml:space="preserve">Dotations d'équipements médicaux  </t>
  </si>
  <si>
    <t xml:space="preserve">COVID 19 </t>
  </si>
  <si>
    <t xml:space="preserve">Avez-vous reçu des informations ? </t>
  </si>
  <si>
    <t>Si oui, de quel type ?</t>
  </si>
  <si>
    <t xml:space="preserve">Symptômes  </t>
  </si>
  <si>
    <t xml:space="preserve">Modes de transmission du virus  </t>
  </si>
  <si>
    <t xml:space="preserve">Mesures gouvernementales </t>
  </si>
  <si>
    <t>Messages de sensibilisation</t>
  </si>
  <si>
    <t>Mesures individuelles et collectives de protections</t>
  </si>
  <si>
    <t xml:space="preserve">Nb et localisation des cas en RCA  </t>
  </si>
  <si>
    <t xml:space="preserve">Existence d'un plan d'alerte ? </t>
  </si>
  <si>
    <t xml:space="preserve">Existence d'un plan de réponse ? </t>
  </si>
  <si>
    <t>Campagne de sensibilisation menée ?</t>
  </si>
  <si>
    <t xml:space="preserve">Si oui, sur quels aspects ? </t>
  </si>
  <si>
    <t xml:space="preserve">Modes de propagation du virus  </t>
  </si>
  <si>
    <t xml:space="preserve">Distances sociales de sécurité  </t>
  </si>
  <si>
    <t>Le port du masque</t>
  </si>
  <si>
    <t xml:space="preserve">Eviter les lieux publics et les rassemblements  </t>
  </si>
  <si>
    <t xml:space="preserve">Les traitements  </t>
  </si>
  <si>
    <t>Gestes barrières</t>
  </si>
  <si>
    <t xml:space="preserve">Si oui, avez-vous reçu une aide extérieure pour le faire ? </t>
  </si>
  <si>
    <t xml:space="preserve">Un service de l'Etat </t>
  </si>
  <si>
    <t xml:space="preserve">ONG nationale  </t>
  </si>
  <si>
    <t xml:space="preserve">ONG international  </t>
  </si>
  <si>
    <t xml:space="preserve">Organisation de l’ONU  </t>
  </si>
  <si>
    <t xml:space="preserve">Présence locale d'une pharmacie ? </t>
  </si>
  <si>
    <t xml:space="preserve">Matériel pour faire une perfusion ? </t>
  </si>
  <si>
    <t xml:space="preserve">Possession d'une ambulance ? </t>
  </si>
  <si>
    <t>Possession de gants ?</t>
  </si>
  <si>
    <t>Possession de chlore ?</t>
  </si>
  <si>
    <t>Possession de thermomètres ?</t>
  </si>
  <si>
    <t>Disposnibilité d'un espace de quarantaine ?</t>
  </si>
  <si>
    <t>rehab_equipements sensibilisation</t>
  </si>
  <si>
    <t xml:space="preserve">Provenance des utilisateurs ? </t>
  </si>
  <si>
    <t xml:space="preserve">Des maisons alentours seulement  </t>
  </si>
  <si>
    <t xml:space="preserve">De ce quartier  </t>
  </si>
  <si>
    <t xml:space="preserve">De plusieurs quartiers  </t>
  </si>
  <si>
    <t xml:space="preserve">De toute la localité </t>
  </si>
  <si>
    <t xml:space="preserve">De la localité et les environs </t>
  </si>
  <si>
    <t xml:space="preserve">Formations pour l'APE  </t>
  </si>
  <si>
    <t xml:space="preserve">Des formations pour les maîtres-parents  </t>
  </si>
  <si>
    <t>Formations en gestion et administration</t>
  </si>
  <si>
    <t>subventions materiaux_rehab equipements personnels rehabilitations constructions materiel_didactique formations_mp formation_admin formations_ape</t>
  </si>
  <si>
    <t>symptomes transmission mesures_gvt msg_sensibilisation mesures_preventions nb_cas</t>
  </si>
  <si>
    <t>partiel</t>
  </si>
  <si>
    <t>ga</t>
  </si>
  <si>
    <t xml:space="preserve">PARTIEL </t>
  </si>
  <si>
    <t xml:space="preserve">Des subventions directes d'argent </t>
  </si>
  <si>
    <t xml:space="preserve">Dotation de matériaux pour la réhabilitation ou construction   </t>
  </si>
  <si>
    <t xml:space="preserve">Du personnel qualifiés  </t>
  </si>
  <si>
    <t>code_gps</t>
  </si>
  <si>
    <t>point_eau_coges</t>
  </si>
  <si>
    <t>point_eau_fonctionnel_endommage</t>
  </si>
  <si>
    <t>point_eau_fonctionnel_endommage_autre</t>
  </si>
  <si>
    <t>point_eau_fonctionnel_endommage_tps</t>
  </si>
  <si>
    <t>point_eau_non_fonctionnel_tps</t>
  </si>
  <si>
    <t>point_eau_temps_marche</t>
  </si>
  <si>
    <t>point_eau_construction/chef_communautaire</t>
  </si>
  <si>
    <t>point_eau_construction/proprietaire</t>
  </si>
  <si>
    <t>point_eau_construction/religieux</t>
  </si>
  <si>
    <t>point_eau_contraintes_gestion/respect_mode_gestion</t>
  </si>
  <si>
    <t>point_eau_acteurs_locaux/ape</t>
  </si>
  <si>
    <t>latrines_coges</t>
  </si>
  <si>
    <t>latrines_fonctionnement_endommagees</t>
  </si>
  <si>
    <t>latrines_fonctionnement_endommagees_tps</t>
  </si>
  <si>
    <t>latrines_fonctionnement_tps</t>
  </si>
  <si>
    <t>latrines_construction/chef_communautaire</t>
  </si>
  <si>
    <t>latrines_construction/proprietaire</t>
  </si>
  <si>
    <t>latrines_construction/religieux</t>
  </si>
  <si>
    <t>latrines_contraintes_gestion/respect_mode_gestion</t>
  </si>
  <si>
    <t>latrines_acteurs_locaux/ape</t>
  </si>
  <si>
    <t>sante_nom</t>
  </si>
  <si>
    <t>sante_fonctionnel_partiel</t>
  </si>
  <si>
    <t>sante_fonctionnel_partiel_autre</t>
  </si>
  <si>
    <t>sante_fonctionnel_partiel_tps</t>
  </si>
  <si>
    <t>sante_non_fonctionnel/aucun_elec_eau</t>
  </si>
  <si>
    <t>sante_non_fonctionnel/ressources_fin_fonctionnement</t>
  </si>
  <si>
    <t>sante_non_fonctionnel/ressources_fin_maintenance</t>
  </si>
  <si>
    <t>sante_non_fonctionnel/manque_personnel</t>
  </si>
  <si>
    <t>sante_non_fonctionnel/covid</t>
  </si>
  <si>
    <t>sante_non_fonctionnel_tps</t>
  </si>
  <si>
    <t>sante_soins/premiers_soins</t>
  </si>
  <si>
    <t>sante_vaccination_type/tuberculose</t>
  </si>
  <si>
    <t>sante_vaccination_type/polio</t>
  </si>
  <si>
    <t>sante_construction/chef_communautaire</t>
  </si>
  <si>
    <t>sante_construction/proprietaire</t>
  </si>
  <si>
    <t>sante_construction/religieux</t>
  </si>
  <si>
    <t>sante_acteurs_locaux/ape</t>
  </si>
  <si>
    <t>covid_pharmacie_trajet</t>
  </si>
  <si>
    <t>covid_pharmacie_trajet_moyen</t>
  </si>
  <si>
    <t>covid_pharmacie_trajet_moyen_autre</t>
  </si>
  <si>
    <t>covid_hopital_trajet</t>
  </si>
  <si>
    <t>covid_hopital_trajet_moyen</t>
  </si>
  <si>
    <t>covid_hopital_trajet_moyen_autre</t>
  </si>
  <si>
    <t>ecoles_nom</t>
  </si>
  <si>
    <t>ecoles_etat</t>
  </si>
  <si>
    <t>ecoles_fonctionnelles_partiel</t>
  </si>
  <si>
    <t>ecoles_fonctionnelles_partiel/ecole_endommagee</t>
  </si>
  <si>
    <t>ecoles_fonctionnelles_partiel/manque_mobilier</t>
  </si>
  <si>
    <t>ecoles_fonctionnelles_partiel/insuffisance_classes</t>
  </si>
  <si>
    <t>ecoles_fonctionnelles_partiel/ressources_fin_fonctionnement</t>
  </si>
  <si>
    <t>ecoles_fonctionnelles_partiel/ressources_fin_entretien</t>
  </si>
  <si>
    <t>ecoles_fonctionnelles_partiel/manque_enseignants</t>
  </si>
  <si>
    <t>ecoles_fonctionnelles_partiel/nsp</t>
  </si>
  <si>
    <t>ecoles_fonctionnelles_partiel/autre</t>
  </si>
  <si>
    <t>ecoles_fonctionnelles_partiel_autre</t>
  </si>
  <si>
    <t>ecoles_fonctionnelles_partiel_tps</t>
  </si>
  <si>
    <t>ecoles_non_fonctionnelles</t>
  </si>
  <si>
    <t>ecoles_non_fonctionnelles/infra_detruite</t>
  </si>
  <si>
    <t>ecoles_non_fonctionnelles/pillages</t>
  </si>
  <si>
    <t>ecoles_non_fonctionnelles/ressources_fin_fonctionnement</t>
  </si>
  <si>
    <t>ecoles_non_fonctionnelles/ressources_fin_entretien</t>
  </si>
  <si>
    <t>ecoles_non_fonctionnelles/aucun_enseignant</t>
  </si>
  <si>
    <t>ecoles_non_fonctionnelles/insecurite</t>
  </si>
  <si>
    <t>ecoles_non_fonctionnelles/fermeture_covid</t>
  </si>
  <si>
    <t>ecoles_non_fonctionnelles/nsp</t>
  </si>
  <si>
    <t>ecoles_non_fonctionnelles/autre</t>
  </si>
  <si>
    <t>ecoles_non_fonctionnelles_autre</t>
  </si>
  <si>
    <t>ecoles_non_fonctionnelles_tps</t>
  </si>
  <si>
    <t>ecoles_construction/chef_communautaire</t>
  </si>
  <si>
    <t>ecoles_construction/proprietaire</t>
  </si>
  <si>
    <t>ecoles_construction/religieux</t>
  </si>
  <si>
    <t>ecoles_effectifs_augmentation/sensibilisation</t>
  </si>
  <si>
    <t>ecoles_effectifs_diminution/ga</t>
  </si>
  <si>
    <t>ecoles_titulaires_augmentation/plus_formation</t>
  </si>
  <si>
    <t>ecoles_acteurs_locaux/ape</t>
  </si>
  <si>
    <t>marches_nom</t>
  </si>
  <si>
    <t>marches_non_fonctionnel_tps</t>
  </si>
  <si>
    <t>marches_commercants_nb_diminution/taxes</t>
  </si>
  <si>
    <t>marches_taxes</t>
  </si>
  <si>
    <t>marches_taxes/transport</t>
  </si>
  <si>
    <t>marches_taxes/emplacement</t>
  </si>
  <si>
    <t>marches_taxes/abattage</t>
  </si>
  <si>
    <t>marches_taxes/crus</t>
  </si>
  <si>
    <t>marches_taxes/nsp</t>
  </si>
  <si>
    <t>marches_taxes/autre</t>
  </si>
  <si>
    <t>marches_taxes_transport_unite</t>
  </si>
  <si>
    <t>marches_taxes_transport_unite_autre</t>
  </si>
  <si>
    <t>marches_taxes_transport_prix</t>
  </si>
  <si>
    <t>marches_taxes_transport_versement</t>
  </si>
  <si>
    <t>marches_taxes_transport_versement_autre</t>
  </si>
  <si>
    <t>marches_taxes_communale_unite</t>
  </si>
  <si>
    <t>marches_taxes_communale_unite_autre</t>
  </si>
  <si>
    <t>marches_taxes_communale_prix</t>
  </si>
  <si>
    <t>marches_taxes_communale_versement</t>
  </si>
  <si>
    <t>marches_taxes_communale_versement_autre</t>
  </si>
  <si>
    <t>marches_taxes_abattage_unite</t>
  </si>
  <si>
    <t>marches_taxes_abattage_unite_autre</t>
  </si>
  <si>
    <t>marches_taxes_abattage_prix</t>
  </si>
  <si>
    <t>marches_taxes_abattage_versement</t>
  </si>
  <si>
    <t>marches_taxes_abattage_versement_autre</t>
  </si>
  <si>
    <t>marches_taxes_crus_unite</t>
  </si>
  <si>
    <t>marches_taxes_crus_unite_autre</t>
  </si>
  <si>
    <t>marches_taxes_crus_prix</t>
  </si>
  <si>
    <t>marches_taxes_crus_versement</t>
  </si>
  <si>
    <t>marches_taxes_crus_versement_autre</t>
  </si>
  <si>
    <t>marches_taxes_autre</t>
  </si>
  <si>
    <t>marches_taxes_autre_unite</t>
  </si>
  <si>
    <t>marches_taxes_autre_unite_autre</t>
  </si>
  <si>
    <t>marches_taxes_autre_prix</t>
  </si>
  <si>
    <t>marches_taxes_autre_versement</t>
  </si>
  <si>
    <t>marches_taxes_autre_versement_autre</t>
  </si>
  <si>
    <t>marches_construction/chef_communautaire</t>
  </si>
  <si>
    <t>marches_construction/proprietaire</t>
  </si>
  <si>
    <t>marches_construction/religieux</t>
  </si>
  <si>
    <t>marches_acteurs_locaux/ape</t>
  </si>
  <si>
    <t>un_an_trois_ans</t>
  </si>
  <si>
    <t>2020-10-14</t>
  </si>
  <si>
    <t>2020-10-20</t>
  </si>
  <si>
    <t>endommage</t>
  </si>
  <si>
    <t>plus_trois_ans</t>
  </si>
  <si>
    <t>une_heure</t>
  </si>
  <si>
    <t>matin</t>
  </si>
  <si>
    <t>2020-10-21</t>
  </si>
  <si>
    <t>Aucune</t>
  </si>
  <si>
    <t>vol_equipement</t>
  </si>
  <si>
    <t>chef_quartiers chef_village</t>
  </si>
  <si>
    <t>dotation_equipements personnel_maintenance rehab_equipements construction</t>
  </si>
  <si>
    <t>moins_trente_min</t>
  </si>
  <si>
    <t>proprietaire</t>
  </si>
  <si>
    <t>respect_mode_gestion mauvaise_qualite</t>
  </si>
  <si>
    <t>gvt ong_Internationales</t>
  </si>
  <si>
    <t>moins_trente_minutes</t>
  </si>
  <si>
    <t>pompe_main</t>
  </si>
  <si>
    <t>moins_une_heure</t>
  </si>
  <si>
    <t>respect_mode_gestion</t>
  </si>
  <si>
    <t>sensibilisation</t>
  </si>
  <si>
    <t xml:space="preserve">Pompe manuelle </t>
  </si>
  <si>
    <t>Présence d'un COGES ?</t>
  </si>
  <si>
    <t xml:space="preserve">ENDOMMAGE mais fonctionne toujours </t>
  </si>
  <si>
    <t>Si endommagés, quels sont les besoins ?</t>
  </si>
  <si>
    <t xml:space="preserve">Si endommagés, depuis combien de temps ? </t>
  </si>
  <si>
    <t xml:space="preserve">Moins de 6 mois </t>
  </si>
  <si>
    <t xml:space="preserve">Entre 6 mois et 1 an </t>
  </si>
  <si>
    <t xml:space="preserve">Entre 1 an et 3 ans </t>
  </si>
  <si>
    <t xml:space="preserve">Plus de 3 ans </t>
  </si>
  <si>
    <t xml:space="preserve">Si non fonctionnel, depuis combien de temps ? </t>
  </si>
  <si>
    <t xml:space="preserve">Oui elle est potable  </t>
  </si>
  <si>
    <t xml:space="preserve">Oui même si elle n'est pas potable  </t>
  </si>
  <si>
    <t xml:space="preserve">Oui avec traitement de l'eau  </t>
  </si>
  <si>
    <t xml:space="preserve">Non </t>
  </si>
  <si>
    <t xml:space="preserve">Temps de marche pour puiser l'eau ? </t>
  </si>
  <si>
    <t xml:space="preserve">Moins de 30 minutes </t>
  </si>
  <si>
    <t xml:space="preserve">Entre 30 minutes et 1h </t>
  </si>
  <si>
    <t xml:space="preserve">Entre 1h et 2h </t>
  </si>
  <si>
    <t xml:space="preserve">Entre 2h et 3h </t>
  </si>
  <si>
    <t xml:space="preserve">Plus de 3h </t>
  </si>
  <si>
    <t xml:space="preserve">Temps d'attente pour puiser l'eau ? </t>
  </si>
  <si>
    <t>Moins de 30 minutes</t>
  </si>
  <si>
    <t xml:space="preserve">Plus d'1h </t>
  </si>
  <si>
    <t xml:space="preserve">Plus de 2h </t>
  </si>
  <si>
    <t xml:space="preserve">nsp </t>
  </si>
  <si>
    <t xml:space="preserve">La fréquentation a-t-elle changé avec les événements ?  </t>
  </si>
  <si>
    <t xml:space="preserve">TOTAL fonctionnels </t>
  </si>
  <si>
    <r>
      <t xml:space="preserve">Proportion 
</t>
    </r>
    <r>
      <rPr>
        <i/>
        <sz val="9"/>
        <color theme="1"/>
        <rFont val="Arial Narrow"/>
        <family val="2"/>
      </rPr>
      <t xml:space="preserve">(des points d'eau fonctionnels) </t>
    </r>
  </si>
  <si>
    <t xml:space="preserve">Autre point d'eau réhabilité à proximité   </t>
  </si>
  <si>
    <t xml:space="preserve">Insécurité dans la zone  </t>
  </si>
  <si>
    <t xml:space="preserve">Diminution de la population de la localité  </t>
  </si>
  <si>
    <t xml:space="preserve">Les habitants utilisent des points d'eau privés </t>
  </si>
  <si>
    <t xml:space="preserve">Le point d'eau a été endommagé par les événements  </t>
  </si>
  <si>
    <t>La Mairie</t>
  </si>
  <si>
    <t>La communauté elle-même</t>
  </si>
  <si>
    <t xml:space="preserve">Un chef de quartier/groupement </t>
  </si>
  <si>
    <t xml:space="preserve">Le propriétaire/gestionnaire du service </t>
  </si>
  <si>
    <t>Le secteur privé</t>
  </si>
  <si>
    <t>ONG Internationales</t>
  </si>
  <si>
    <t xml:space="preserve">Acteur religieux </t>
  </si>
  <si>
    <t>Services déconcentrés de l'Etat</t>
  </si>
  <si>
    <t xml:space="preserve">La Mairie  </t>
  </si>
  <si>
    <t xml:space="preserve">La communauté elle-même  </t>
  </si>
  <si>
    <t xml:space="preserve">Le ménage propriétaire de l'infrastructure  </t>
  </si>
  <si>
    <t>Collecteur redevance ?</t>
  </si>
  <si>
    <t xml:space="preserve">Le constructeur </t>
  </si>
  <si>
    <t>Un comité de gestion</t>
  </si>
  <si>
    <t>Mécanismes de sanction ?</t>
  </si>
  <si>
    <t>Ne sait pas</t>
  </si>
  <si>
    <t xml:space="preserve">Manque de matériel </t>
  </si>
  <si>
    <t xml:space="preserve">Manque de personnel qualifiés </t>
  </si>
  <si>
    <t xml:space="preserve">Non respect des règles de gestion de la part les usagers </t>
  </si>
  <si>
    <t xml:space="preserve">Mauvaise qualité ou manque d'eau </t>
  </si>
  <si>
    <t xml:space="preserve">Manque de moyens pour la maintenance </t>
  </si>
  <si>
    <t xml:space="preserve">Aucune </t>
  </si>
  <si>
    <t xml:space="preserve">Personnels de la Mairie </t>
  </si>
  <si>
    <t xml:space="preserve">ONG locales  </t>
  </si>
  <si>
    <t xml:space="preserve">ONG nationales </t>
  </si>
  <si>
    <t xml:space="preserve">ONG Internationales </t>
  </si>
  <si>
    <t xml:space="preserve">Leaders communautaires </t>
  </si>
  <si>
    <t xml:space="preserve">Chef de quartiers  </t>
  </si>
  <si>
    <t xml:space="preserve">Chef de groupement/arrondissement </t>
  </si>
  <si>
    <t xml:space="preserve">Leaders religieux  </t>
  </si>
  <si>
    <t>APE</t>
  </si>
  <si>
    <r>
      <t xml:space="preserve">Proportion 
</t>
    </r>
    <r>
      <rPr>
        <i/>
        <sz val="9"/>
        <color theme="1"/>
        <rFont val="Arial Narrow"/>
        <family val="2"/>
      </rPr>
      <t xml:space="preserve">(des points d'eau payants) </t>
    </r>
  </si>
  <si>
    <t>Les usagers eux-mêmes</t>
  </si>
  <si>
    <t>Le gouvernement</t>
  </si>
  <si>
    <t>Les ONG locales</t>
  </si>
  <si>
    <t>Les ONG Internationales</t>
  </si>
  <si>
    <t xml:space="preserve">Dotations de matériaux de construction  </t>
  </si>
  <si>
    <t xml:space="preserve">Appui pour la maintenance - techniciens  </t>
  </si>
  <si>
    <t>Subventions directes (de l'argent)</t>
  </si>
  <si>
    <t xml:space="preserve">Construction d'infrastructures a proximité  </t>
  </si>
  <si>
    <t xml:space="preserve">Réhabilitation d'infrastructures a proximité  </t>
  </si>
  <si>
    <t>Sensibilisation communautaire</t>
  </si>
  <si>
    <t xml:space="preserve">Formations pour la gestion du service  </t>
  </si>
  <si>
    <t xml:space="preserve">Statut ? </t>
  </si>
  <si>
    <t xml:space="preserve">Type ? </t>
  </si>
  <si>
    <t xml:space="preserve">Fonctionnelles ? </t>
  </si>
  <si>
    <t>PARTIELLEMENT</t>
  </si>
  <si>
    <t xml:space="preserve">Infrastructure détruite </t>
  </si>
  <si>
    <t xml:space="preserve">Pillages du mobilier et des équipements  </t>
  </si>
  <si>
    <t xml:space="preserve">Plus de ressources financières pour le fonctionnement du service </t>
  </si>
  <si>
    <t xml:space="preserve">Plus de ressources financières pour la maintenance/équipement </t>
  </si>
  <si>
    <t xml:space="preserve">Plus d'enseignants disponibles </t>
  </si>
  <si>
    <t xml:space="preserve">Insécurité trop grande </t>
  </si>
  <si>
    <t xml:space="preserve">Fermeture temporaire à cause du Covid-19 </t>
  </si>
  <si>
    <t xml:space="preserve">Infrastructure endommagée </t>
  </si>
  <si>
    <t xml:space="preserve">Salles de classe insuffisantes </t>
  </si>
  <si>
    <t>Manque de ressources financières pour le fonctionnement</t>
  </si>
  <si>
    <t xml:space="preserve">Manque de ressources financières pour l'entretien de l'école </t>
  </si>
  <si>
    <t xml:space="preserve">Manque d'enseignants qualifiés </t>
  </si>
  <si>
    <t>Manque de mobilier et de matériel scolaire</t>
  </si>
  <si>
    <t xml:space="preserve">Si partiellement fonctionnelles, depuis combien de temps ? </t>
  </si>
  <si>
    <t xml:space="preserve">Si non fonctionnelles, depuis combien de temps ? </t>
  </si>
  <si>
    <t xml:space="preserve">Si non fonctionnelles, pourquoi ? </t>
  </si>
  <si>
    <t xml:space="preserve">Si partiellement fonctionnelles, pourquoi ? </t>
  </si>
  <si>
    <t xml:space="preserve">L'école présente des dommages matériels, pourquoi ? </t>
  </si>
  <si>
    <t xml:space="preserve">Forte saison des pluies - dommages chaque année  </t>
  </si>
  <si>
    <r>
      <t xml:space="preserve">Proportion 
</t>
    </r>
    <r>
      <rPr>
        <i/>
        <sz val="9"/>
        <color theme="1"/>
        <rFont val="Arial Narrow"/>
        <family val="2"/>
      </rPr>
      <t>(des écoles endommagées)</t>
    </r>
  </si>
  <si>
    <t xml:space="preserve">Grade ? </t>
  </si>
  <si>
    <t xml:space="preserve">Fondamental 1 </t>
  </si>
  <si>
    <t xml:space="preserve">Fondamental 2 </t>
  </si>
  <si>
    <t xml:space="preserve">Enseignement technique et professionnel </t>
  </si>
  <si>
    <t xml:space="preserve">Ecole coranique </t>
  </si>
  <si>
    <t xml:space="preserve">Capacité à payer les frais de fonctionnement ? </t>
  </si>
  <si>
    <r>
      <t xml:space="preserve">Nombre moyen d'élèves par école </t>
    </r>
    <r>
      <rPr>
        <sz val="9"/>
        <color theme="1"/>
        <rFont val="Arial Narrow"/>
        <family val="2"/>
      </rPr>
      <t>(pour TOUTES les écoles fonctionnelles)</t>
    </r>
    <r>
      <rPr>
        <i/>
        <sz val="12"/>
        <color theme="1"/>
        <rFont val="Arial Narrow"/>
        <family val="2"/>
      </rPr>
      <t xml:space="preserve"> : </t>
    </r>
  </si>
  <si>
    <r>
      <t xml:space="preserve">Nombre moyen de salles de classes </t>
    </r>
    <r>
      <rPr>
        <i/>
        <sz val="9"/>
        <color theme="1"/>
        <rFont val="Arial Narrow"/>
        <family val="2"/>
      </rPr>
      <t xml:space="preserve">(pour TOUTES les écoles fonctionnelles) </t>
    </r>
    <r>
      <rPr>
        <i/>
        <sz val="12"/>
        <color theme="1"/>
        <rFont val="Arial Narrow"/>
        <family val="2"/>
      </rPr>
      <t xml:space="preserve">: </t>
    </r>
  </si>
  <si>
    <t xml:space="preserve">élèves par classe </t>
  </si>
  <si>
    <r>
      <t xml:space="preserve">Nombre moyen d'élèves par école </t>
    </r>
    <r>
      <rPr>
        <i/>
        <sz val="9"/>
        <color theme="1"/>
        <rFont val="Arial Narrow"/>
        <family val="2"/>
      </rPr>
      <t xml:space="preserve">(pour les écoles PUBLIQUES </t>
    </r>
    <r>
      <rPr>
        <sz val="9"/>
        <color theme="1"/>
        <rFont val="Arial Narrow"/>
        <family val="2"/>
      </rPr>
      <t xml:space="preserve">fonctionnelles) </t>
    </r>
    <r>
      <rPr>
        <i/>
        <sz val="12"/>
        <color theme="1"/>
        <rFont val="Arial Narrow"/>
        <family val="2"/>
      </rPr>
      <t xml:space="preserve"> : </t>
    </r>
  </si>
  <si>
    <r>
      <t xml:space="preserve">Nombre de salles de classe </t>
    </r>
    <r>
      <rPr>
        <i/>
        <sz val="9"/>
        <color theme="1"/>
        <rFont val="Arial Narrow"/>
        <family val="2"/>
      </rPr>
      <t xml:space="preserve">(pour les écoles PUBLIQUES fonctionnelles) </t>
    </r>
    <r>
      <rPr>
        <i/>
        <sz val="11"/>
        <color theme="1"/>
        <rFont val="Arial Narrow"/>
        <family val="2"/>
      </rPr>
      <t xml:space="preserve">: </t>
    </r>
  </si>
  <si>
    <r>
      <t xml:space="preserve">Nombre moyen de garçons par école </t>
    </r>
    <r>
      <rPr>
        <i/>
        <sz val="9"/>
        <color theme="1"/>
        <rFont val="Arial Narrow"/>
        <family val="2"/>
      </rPr>
      <t>(pour TOUTES les écoles fonctionnelles)</t>
    </r>
    <r>
      <rPr>
        <i/>
        <sz val="12"/>
        <color theme="1"/>
        <rFont val="Arial Narrow"/>
        <family val="2"/>
      </rPr>
      <t xml:space="preserve"> : </t>
    </r>
  </si>
  <si>
    <r>
      <rPr>
        <i/>
        <sz val="12"/>
        <color theme="1"/>
        <rFont val="Arial Narrow"/>
        <family val="2"/>
      </rPr>
      <t>Nombre moyen de filles par école</t>
    </r>
    <r>
      <rPr>
        <i/>
        <sz val="11"/>
        <color theme="1"/>
        <rFont val="Arial Narrow"/>
        <family val="2"/>
      </rPr>
      <t xml:space="preserve"> </t>
    </r>
    <r>
      <rPr>
        <i/>
        <sz val="9"/>
        <color theme="1"/>
        <rFont val="Arial Narrow"/>
        <family val="2"/>
      </rPr>
      <t>(pour TOUTES les écoles fonctionnelles)</t>
    </r>
    <r>
      <rPr>
        <i/>
        <sz val="11"/>
        <color theme="1"/>
        <rFont val="Arial Narrow"/>
        <family val="2"/>
      </rPr>
      <t xml:space="preserve"> :</t>
    </r>
  </si>
  <si>
    <t xml:space="preserve">Activités de sensibilisation à l'éducation menées dans la localité </t>
  </si>
  <si>
    <t xml:space="preserve">Appauvrissement des familles - les enfants doivent travailler  </t>
  </si>
  <si>
    <t xml:space="preserve">Peur des groupes armés dans la localité ou à proximité </t>
  </si>
  <si>
    <r>
      <t xml:space="preserve">Proportion 
</t>
    </r>
    <r>
      <rPr>
        <sz val="9"/>
        <color theme="1"/>
        <rFont val="Arial Narrow"/>
        <family val="2"/>
      </rPr>
      <t xml:space="preserve">(des écoles fonctionnelles) </t>
    </r>
  </si>
  <si>
    <t>TOTAL  fonctionnelles</t>
  </si>
  <si>
    <t xml:space="preserve">Changement des effectifs depuis ces deux dernières années ? </t>
  </si>
  <si>
    <t xml:space="preserve">Changement du coût de la scolarité depuis ces deux dernières années ? </t>
  </si>
  <si>
    <t xml:space="preserve">Manque d'enseignants qualifiés  </t>
  </si>
  <si>
    <t>Manque de sécurité et présence de groupes armés</t>
  </si>
  <si>
    <t>Vols et pillages du matériel pédagogique</t>
  </si>
  <si>
    <t>Sur-utilisation et pression sur service</t>
  </si>
  <si>
    <t xml:space="preserve">Services déconcentrés de l'Etat </t>
  </si>
  <si>
    <t>ecoles_acteurs_locaux/chef_groupement</t>
  </si>
  <si>
    <t>chef_quartiers</t>
  </si>
  <si>
    <t>Dotations d'équipements</t>
  </si>
  <si>
    <t>Réhabilitation des bâtiments et infrastructures</t>
  </si>
  <si>
    <t>Construction de salles de classe et d'infrastructures</t>
  </si>
  <si>
    <t>Matériel didactique</t>
  </si>
  <si>
    <t xml:space="preserve">Si oui, dans quelle mesure ? </t>
  </si>
  <si>
    <t xml:space="preserve">Fermeture à cause de l’insécurité </t>
  </si>
  <si>
    <t xml:space="preserve">Fermeture à cause du Covid-19  </t>
  </si>
  <si>
    <t>Problème d’accès aux champs (agriculteurs)</t>
  </si>
  <si>
    <t xml:space="preserve">Les taxes sont trop nombreuses et/ou trop chères </t>
  </si>
  <si>
    <t xml:space="preserve">Commerçants partis s'approvisionnés ailleurs  </t>
  </si>
  <si>
    <t xml:space="preserve">Les prix ont baissé (faibles bénéfices)  </t>
  </si>
  <si>
    <t xml:space="preserve">Changement du nb de commerçants depuis ces deux dernières années? </t>
  </si>
  <si>
    <t xml:space="preserve">Fréquence </t>
  </si>
  <si>
    <t xml:space="preserve">1 fois par semaine  </t>
  </si>
  <si>
    <t xml:space="preserve">1 fois par mois  </t>
  </si>
  <si>
    <t xml:space="preserve">1 fois tous les 2-3 mois  </t>
  </si>
  <si>
    <t xml:space="preserve">Changement depuis ces deux dernières années ? </t>
  </si>
  <si>
    <t xml:space="preserve">Si oui, dans quelle mesure  ? </t>
  </si>
  <si>
    <t>Nature des taxes ?</t>
  </si>
  <si>
    <t xml:space="preserve">Taxe sur le transport des marchandises </t>
  </si>
  <si>
    <t xml:space="preserve">Taxe pour l'emplacement sur le marché </t>
  </si>
  <si>
    <t xml:space="preserve">Taxe d'abattage </t>
  </si>
  <si>
    <t>Taxe sur les produits de cru</t>
  </si>
  <si>
    <t xml:space="preserve">Coût de la taxe communale (emplacement) ? </t>
  </si>
  <si>
    <t>XAF / jour</t>
  </si>
  <si>
    <t xml:space="preserve">Coût des autres taxes ? </t>
  </si>
  <si>
    <t xml:space="preserve">Manque d'infrastructure sur le marché </t>
  </si>
  <si>
    <t xml:space="preserve">Taxes abusives (groupes armées ou mairie)  </t>
  </si>
  <si>
    <t xml:space="preserve">Incapacité d'approvisionnement rapide  </t>
  </si>
  <si>
    <t xml:space="preserve">Pénurie de certains produits dans la zone </t>
  </si>
  <si>
    <t xml:space="preserve">Manque de sécurité sur les axes </t>
  </si>
  <si>
    <t>Manque de sécurité dans la localité</t>
  </si>
  <si>
    <t>Augmentation des prix en raison des distributions humanitaires</t>
  </si>
  <si>
    <t xml:space="preserve">Distribution de matériaux de réhabilitation  </t>
  </si>
  <si>
    <t>Des subventions directes</t>
  </si>
  <si>
    <t>Réhabilitation du marché</t>
  </si>
  <si>
    <t>Infrastructure détruite</t>
  </si>
  <si>
    <t xml:space="preserve">Aucun approvisionnement en électricité ou eau potable  </t>
  </si>
  <si>
    <t xml:space="preserve">Aucun approvisionnement en medicaments  </t>
  </si>
  <si>
    <t xml:space="preserve">Plus de personnel médical qualifié </t>
  </si>
  <si>
    <t xml:space="preserve">Manque de mobilier et d'équipements (lits, brancards, matériel médical, etc.)  </t>
  </si>
  <si>
    <t xml:space="preserve">Faibles capacités d'accueil des patients </t>
  </si>
  <si>
    <t xml:space="preserve">Problèmes d'approvisionnement en électricité ou eau potable  </t>
  </si>
  <si>
    <t>Manque de ressources financières pour le fonctionnement du service</t>
  </si>
  <si>
    <t>Manque de ressources financières pour la maintenance</t>
  </si>
  <si>
    <t xml:space="preserve">Faible approvisionnement en médicament </t>
  </si>
  <si>
    <t xml:space="preserve">Manque de personnel médical qualifié </t>
  </si>
  <si>
    <t xml:space="preserve">Dommages matériels au cours des deux dernières années ? </t>
  </si>
  <si>
    <t xml:space="preserve">Si oui, de quelle nature ? </t>
  </si>
  <si>
    <t>Dégats sévères</t>
  </si>
  <si>
    <t>Dégats modérés</t>
  </si>
  <si>
    <t>Dégats faibles</t>
  </si>
  <si>
    <t xml:space="preserve">Premiers soins de base </t>
  </si>
  <si>
    <t xml:space="preserve">Accouchement et césarienne </t>
  </si>
  <si>
    <t xml:space="preserve">Urgences vitales </t>
  </si>
  <si>
    <t xml:space="preserve">Bloc opératoire </t>
  </si>
  <si>
    <t xml:space="preserve">Consultations pédiatrie </t>
  </si>
  <si>
    <t xml:space="preserve">Anti-Rougeole  </t>
  </si>
  <si>
    <t xml:space="preserve">Tuberculose (BCG) </t>
  </si>
  <si>
    <t xml:space="preserve">Polio </t>
  </si>
  <si>
    <t xml:space="preserve">La structure a fermé à cause de l’insécurité  </t>
  </si>
  <si>
    <t xml:space="preserve">Le service s’est dégradé avec les événements (vols, pillage des équipements, fuite du personnel qualifié)  </t>
  </si>
  <si>
    <t xml:space="preserve">Le service s’est dégradé par manque de moyens (moins de médicaments, equipements, salaire du personnel)  </t>
  </si>
  <si>
    <t xml:space="preserve">Les habitants ont fui la localité suite aux événements  </t>
  </si>
  <si>
    <t xml:space="preserve">Les personnes se tournent plutôt vers les ONG pour recevoir de l’aide  </t>
  </si>
  <si>
    <t xml:space="preserve">Le loyer est moins cher  </t>
  </si>
  <si>
    <t xml:space="preserve">Les equipements sont moins chers </t>
  </si>
  <si>
    <t xml:space="preserve">Aide extérieure reçue (ONG, organiation religieuse, dons, etc.)   </t>
  </si>
  <si>
    <t xml:space="preserve">Subventions reçues de la part de l'Etat </t>
  </si>
  <si>
    <t xml:space="preserve">Diminution des prix des médicaments </t>
  </si>
  <si>
    <t xml:space="preserve">Appui de la part de la communauté  </t>
  </si>
  <si>
    <t xml:space="preserve">Les equipements sont plus chers  </t>
  </si>
  <si>
    <t xml:space="preserve">Augmentation des prix des médicaments   </t>
  </si>
  <si>
    <t xml:space="preserve">Faible décentralisation du paiement des salaires  </t>
  </si>
  <si>
    <t xml:space="preserve">Manque de matériel de communication pour une bonne sensibilisation / promotion de la santé  </t>
  </si>
  <si>
    <t xml:space="preserve">Défaillance du système d'information (alerte épidémiologique, etc.)  </t>
  </si>
  <si>
    <t xml:space="preserve">Influences politiques - Préciser  </t>
  </si>
  <si>
    <t xml:space="preserve">Des subventions directes (de l'argent)  </t>
  </si>
  <si>
    <t xml:space="preserve">Réhabilitations des bâtiments / locaux </t>
  </si>
  <si>
    <t xml:space="preserve">Des dotations en médicaments </t>
  </si>
  <si>
    <t xml:space="preserve">Du personnel qualifié  </t>
  </si>
  <si>
    <t xml:space="preserve">Des formations techniques de santé  </t>
  </si>
  <si>
    <t xml:space="preserve">Des formations en gestion et adminstration  </t>
  </si>
  <si>
    <t xml:space="preserve">Plus de supervision et d'appui technique de la Région Sanitaire  </t>
  </si>
  <si>
    <t xml:space="preserve">Plus de responsabilités et d'autonomie au niveau des Districts de santé  </t>
  </si>
  <si>
    <t>ong</t>
  </si>
  <si>
    <t>plusieurs_quartiers</t>
  </si>
  <si>
    <t>difficilement</t>
  </si>
  <si>
    <t>ressources_fin materiel equipement professeurs_qualifies</t>
  </si>
  <si>
    <t>puits_non_protege</t>
  </si>
  <si>
    <t>augmentation_population deplaces</t>
  </si>
  <si>
    <t>preval rougeole tuberculose polio</t>
  </si>
  <si>
    <t>fortement_sur:utilise</t>
  </si>
  <si>
    <t>gvt ong_internationales</t>
  </si>
  <si>
    <t>dons_argent dons_materiaux</t>
  </si>
  <si>
    <t>symptomes transmission mesures_gvt msg_sensibilisation mesures_preventions</t>
  </si>
  <si>
    <t>symptomes propagation lavage_mains distanciations masque rassemblement</t>
  </si>
  <si>
    <t>Non</t>
  </si>
  <si>
    <t>communautaire</t>
  </si>
  <si>
    <t>proche</t>
  </si>
  <si>
    <t>puits_protege</t>
  </si>
  <si>
    <t>plus_une_heure</t>
  </si>
  <si>
    <t>destruction creation_rehab</t>
  </si>
  <si>
    <t>augmentation_population deplaces creation_rehab</t>
  </si>
  <si>
    <t>ong_Internationales leaders_communautaires</t>
  </si>
  <si>
    <t>source_non_amenagee</t>
  </si>
  <si>
    <t>deux_trois_heures</t>
  </si>
  <si>
    <t>non_maintenance</t>
  </si>
  <si>
    <t>moins_six_mois</t>
  </si>
  <si>
    <t>ressources_fin materiel equipement</t>
  </si>
  <si>
    <t>ong_locales</t>
  </si>
  <si>
    <t>formations_mp</t>
  </si>
  <si>
    <t xml:space="preserve">DIFFICILEMENT </t>
  </si>
  <si>
    <t xml:space="preserve">Les déplacés, retournés et réfugiés sont de nouveaux acteurs du marché  </t>
  </si>
  <si>
    <t xml:space="preserve">Les déplacés, retournés et réfugiés apportent de nouvelles marchandises  </t>
  </si>
  <si>
    <t>Fermeture d'autres marchés dans la zone</t>
  </si>
  <si>
    <t xml:space="preserve">Il y a plus d’acheteurs  </t>
  </si>
  <si>
    <t xml:space="preserve">Il y a de nouvelles demandes de la part des acheteurs  </t>
  </si>
  <si>
    <t xml:space="preserve">La sécurité de la zone s'est améliorée  </t>
  </si>
  <si>
    <t xml:space="preserve">L'accès à la localité s'est amélioré  </t>
  </si>
  <si>
    <t xml:space="preserve">Les marchés avoisinnants ne sont plus fonctionnels  </t>
  </si>
  <si>
    <t xml:space="preserve">Meilleur approvisonnement qui attire plus de personnes  </t>
  </si>
  <si>
    <t xml:space="preserve">Sécurisation de la zone  </t>
  </si>
  <si>
    <t xml:space="preserve">Si oui, fonctionnel  ? </t>
  </si>
  <si>
    <t xml:space="preserve">Non - il tombe régulièrement en panne </t>
  </si>
  <si>
    <t xml:space="preserve">Non - il manque de l'essence pour qu'il fonctionne </t>
  </si>
  <si>
    <t xml:space="preserve">Non - il manque des pièces pour qu'il fonctionne   </t>
  </si>
  <si>
    <t>Oui</t>
  </si>
  <si>
    <t>Oui mais pas pour tout le monde</t>
  </si>
  <si>
    <t>Arrivée de populations déplacées</t>
  </si>
  <si>
    <t>six_mois_un_an</t>
  </si>
  <si>
    <t>dotation_materiaux rehab_equipements</t>
  </si>
  <si>
    <t>inadapte</t>
  </si>
  <si>
    <t>financier materiel personnels_qualifies mauvaise_qualite finance_maintenance</t>
  </si>
  <si>
    <t>destruction augmentation_population</t>
  </si>
  <si>
    <t>finance_maintenance</t>
  </si>
  <si>
    <t>rehab_equipements</t>
  </si>
  <si>
    <t>materiel</t>
  </si>
  <si>
    <t>leaders_communautaires</t>
  </si>
  <si>
    <t>emplacement</t>
  </si>
  <si>
    <t>jour</t>
  </si>
  <si>
    <t>pression</t>
  </si>
  <si>
    <t>formation_gestion</t>
  </si>
  <si>
    <t>personnels_qualifies</t>
  </si>
  <si>
    <t>dotation_equipements</t>
  </si>
  <si>
    <t>plus_deux_heures</t>
  </si>
  <si>
    <t>ressources_fin materiel equipement professeurs_qualifies insecurite vols</t>
  </si>
  <si>
    <t>deplces</t>
  </si>
  <si>
    <t>ape</t>
  </si>
  <si>
    <t>constructions</t>
  </si>
  <si>
    <t>prive</t>
  </si>
  <si>
    <t>leaders_religieux</t>
  </si>
  <si>
    <t>augmentation_population</t>
  </si>
  <si>
    <t>usagers</t>
  </si>
  <si>
    <t>moderes</t>
  </si>
  <si>
    <t>deplaces</t>
  </si>
  <si>
    <t>personnels_qualifies respect_mode_gestion</t>
  </si>
  <si>
    <t>destruction augmentation_population deplaces</t>
  </si>
  <si>
    <t>dotation_materiaux personnel_maintenance rehab_equipements</t>
  </si>
  <si>
    <t>localite_environs</t>
  </si>
  <si>
    <t>financier insecurite respect_mode_gestion finance_maintenance</t>
  </si>
  <si>
    <t>financier respect_mode_gestion</t>
  </si>
  <si>
    <t>personnel_maintenance</t>
  </si>
  <si>
    <t>diminution_population</t>
  </si>
  <si>
    <t>camion</t>
  </si>
  <si>
    <t>materiel respect_mode_gestion finance_maintenance</t>
  </si>
  <si>
    <t>ong_nationales</t>
  </si>
  <si>
    <t>dotation_materiaux dotation_equipements personnel_maintenance rehab_bâtiments</t>
  </si>
  <si>
    <t>poste_sante</t>
  </si>
  <si>
    <t>rehab_bâtiments</t>
  </si>
  <si>
    <t>assechement_source</t>
  </si>
  <si>
    <t>materiel personnels_qualifies finance_maintenance</t>
  </si>
  <si>
    <t>maisons_alentours</t>
  </si>
  <si>
    <t>dotation_materiaux dotation_equipements rehab_bâtiments</t>
  </si>
  <si>
    <t>secteur_prive</t>
  </si>
  <si>
    <t>decouragement</t>
  </si>
  <si>
    <t>fuite_enseignants</t>
  </si>
  <si>
    <t>ong_nationales ong_internationales</t>
  </si>
  <si>
    <t>materiaux_rehab</t>
  </si>
  <si>
    <t xml:space="preserve">Si oui, type de points d'eau ? </t>
  </si>
  <si>
    <t xml:space="preserve">Pompe à main </t>
  </si>
  <si>
    <t>Pompe à pied</t>
  </si>
  <si>
    <t>Eau ramenée par camion ou bladder.</t>
  </si>
  <si>
    <t xml:space="preserve">Source NON aménagée </t>
  </si>
  <si>
    <t>Source aménagée</t>
  </si>
  <si>
    <t>Puits NON protégé</t>
  </si>
  <si>
    <t>Fontaine publique</t>
  </si>
  <si>
    <r>
      <t xml:space="preserve">Coût moyen d'une année scolaire - </t>
    </r>
    <r>
      <rPr>
        <i/>
        <sz val="9"/>
        <color theme="1"/>
        <rFont val="Arial Narrow"/>
        <family val="2"/>
      </rPr>
      <t>écoles PUBLIQUES</t>
    </r>
    <r>
      <rPr>
        <sz val="10"/>
        <color theme="1"/>
        <rFont val="Arial Narrow"/>
        <family val="2"/>
      </rPr>
      <t xml:space="preserve"> </t>
    </r>
    <r>
      <rPr>
        <i/>
        <sz val="11"/>
        <color theme="1"/>
        <rFont val="Arial Narrow"/>
        <family val="2"/>
      </rPr>
      <t>?</t>
    </r>
  </si>
  <si>
    <r>
      <t xml:space="preserve">Coût moyen d'une année scolaire - </t>
    </r>
    <r>
      <rPr>
        <i/>
        <sz val="9"/>
        <color theme="1"/>
        <rFont val="Arial Narrow"/>
        <family val="2"/>
      </rPr>
      <t xml:space="preserve">écoles PRIVEES </t>
    </r>
    <r>
      <rPr>
        <i/>
        <sz val="11"/>
        <color theme="1"/>
        <rFont val="Arial Narrow"/>
        <family val="2"/>
      </rPr>
      <t>?</t>
    </r>
  </si>
  <si>
    <t>mauvaise_qualite finance_maintenance</t>
  </si>
  <si>
    <t>gvt mairie</t>
  </si>
  <si>
    <t>Niveau de formation des maître-parents suffisant ?</t>
  </si>
  <si>
    <t>=&gt; taxe payée à la mairie</t>
  </si>
  <si>
    <t>Marché central</t>
  </si>
  <si>
    <t>mois</t>
  </si>
  <si>
    <t>salaires</t>
  </si>
  <si>
    <t>non_durable</t>
  </si>
  <si>
    <t>materiel personnels_qualifies</t>
  </si>
  <si>
    <t>dotation_equipements personnel_maintenance</t>
  </si>
  <si>
    <t>personnel_maintenance rehab_equipements</t>
  </si>
  <si>
    <t>materiel finance_maintenance</t>
  </si>
  <si>
    <t>degradation_ressources_fin</t>
  </si>
  <si>
    <t>insecurite taxes</t>
  </si>
  <si>
    <t>rehabilitation_marches formation</t>
  </si>
  <si>
    <t>fortement_sous_utilise</t>
  </si>
  <si>
    <t>non_non_fonctionnelles</t>
  </si>
  <si>
    <t>gvt autre</t>
  </si>
  <si>
    <t>subventions materiel_didactique</t>
  </si>
  <si>
    <t>Eau amenée par camion</t>
  </si>
  <si>
    <t>Plusieurs réponses possibles</t>
  </si>
  <si>
    <r>
      <t xml:space="preserve">Proportion 
</t>
    </r>
    <r>
      <rPr>
        <i/>
        <sz val="9"/>
        <color theme="1"/>
        <rFont val="Arial Narrow"/>
        <family val="2"/>
      </rPr>
      <t>(tous les points d'eau)</t>
    </r>
  </si>
  <si>
    <r>
      <t xml:space="preserve">Proportion 
</t>
    </r>
    <r>
      <rPr>
        <i/>
        <sz val="9"/>
        <color theme="1"/>
        <rFont val="Arial Narrow"/>
        <family val="2"/>
      </rPr>
      <t xml:space="preserve">(des points d'eau endommagés) </t>
    </r>
  </si>
  <si>
    <r>
      <t xml:space="preserve">Proportion 
</t>
    </r>
    <r>
      <rPr>
        <i/>
        <sz val="9"/>
        <color theme="1"/>
        <rFont val="Arial Narrow"/>
        <family val="2"/>
      </rPr>
      <t xml:space="preserve">(des points d'eau non fonctionnels) </t>
    </r>
  </si>
  <si>
    <t xml:space="preserve">TOTAL 
points d'eau </t>
  </si>
  <si>
    <r>
      <t xml:space="preserve">Proportion 
</t>
    </r>
    <r>
      <rPr>
        <i/>
        <sz val="9"/>
        <color theme="1"/>
        <rFont val="Arial Narrow"/>
        <family val="2"/>
      </rPr>
      <t>(des points d'eau dont la fréquentation a changé)</t>
    </r>
  </si>
  <si>
    <r>
      <t xml:space="preserve">Proportion 
</t>
    </r>
    <r>
      <rPr>
        <i/>
        <sz val="9"/>
        <color theme="1"/>
        <rFont val="Arial Narrow"/>
        <family val="2"/>
      </rPr>
      <t>(des points d'eau dont la fréquentation a augmenté)</t>
    </r>
  </si>
  <si>
    <r>
      <t xml:space="preserve">Proportion 
</t>
    </r>
    <r>
      <rPr>
        <i/>
        <sz val="9"/>
        <color theme="1"/>
        <rFont val="Arial Narrow"/>
        <family val="2"/>
      </rPr>
      <t>(des points d'eau dont la fréquentation a diminué)</t>
    </r>
  </si>
  <si>
    <r>
      <t>Proportion</t>
    </r>
    <r>
      <rPr>
        <i/>
        <sz val="9"/>
        <color theme="1"/>
        <rFont val="Arial Narrow"/>
        <family val="2"/>
      </rPr>
      <t xml:space="preserve"> 
(des points d'eau payants) </t>
    </r>
  </si>
  <si>
    <r>
      <t xml:space="preserve">Proportion 
</t>
    </r>
    <r>
      <rPr>
        <i/>
        <sz val="9"/>
        <color theme="1"/>
        <rFont val="Arial Narrow"/>
        <family val="2"/>
      </rPr>
      <t xml:space="preserve">(des points d'eau ayant connu un changement de prix) </t>
    </r>
  </si>
  <si>
    <r>
      <t>Proportion</t>
    </r>
    <r>
      <rPr>
        <i/>
        <sz val="9"/>
        <color theme="1"/>
        <rFont val="Arial Narrow"/>
        <family val="2"/>
      </rPr>
      <t xml:space="preserve">
(des points d'eau ayant reçu une aide)</t>
    </r>
  </si>
  <si>
    <r>
      <t>Proportion</t>
    </r>
    <r>
      <rPr>
        <i/>
        <sz val="9"/>
        <color theme="1"/>
        <rFont val="Arial Narrow"/>
        <family val="2"/>
      </rPr>
      <t xml:space="preserve">
(des points d'eau dont l'aide n'était pas satisfaisante)</t>
    </r>
  </si>
  <si>
    <t xml:space="preserve">Ne sait pas </t>
  </si>
  <si>
    <r>
      <t xml:space="preserve">Proportion 
</t>
    </r>
    <r>
      <rPr>
        <i/>
        <sz val="9"/>
        <color theme="1"/>
        <rFont val="Arial Narrow"/>
        <family val="2"/>
      </rPr>
      <t>(toutes les écoles)</t>
    </r>
  </si>
  <si>
    <t xml:space="preserve">TOTAL 
toutes les écoles </t>
  </si>
  <si>
    <r>
      <t xml:space="preserve">Proportion 
</t>
    </r>
    <r>
      <rPr>
        <i/>
        <sz val="9"/>
        <color theme="1"/>
        <rFont val="Arial Narrow"/>
        <family val="2"/>
      </rPr>
      <t>(des écoles non fonctionnelles)</t>
    </r>
  </si>
  <si>
    <r>
      <t xml:space="preserve">Proportion 
</t>
    </r>
    <r>
      <rPr>
        <i/>
        <sz val="9"/>
        <color theme="1"/>
        <rFont val="Arial Narrow"/>
        <family val="2"/>
      </rPr>
      <t>(des écoles partiellement fonctionnelles)</t>
    </r>
  </si>
  <si>
    <r>
      <t xml:space="preserve">Proportion 
</t>
    </r>
    <r>
      <rPr>
        <i/>
        <sz val="9"/>
        <color theme="1"/>
        <rFont val="Arial Narrow"/>
        <family val="2"/>
      </rPr>
      <t>(des écoles disposant de latrines)</t>
    </r>
  </si>
  <si>
    <r>
      <t xml:space="preserve">Proportion 
</t>
    </r>
    <r>
      <rPr>
        <i/>
        <sz val="9"/>
        <color theme="1"/>
        <rFont val="Arial Narrow"/>
        <family val="2"/>
      </rPr>
      <t>(des écoles disposant d'un accès à l'eau)</t>
    </r>
  </si>
  <si>
    <r>
      <t xml:space="preserve">Proportion 
</t>
    </r>
    <r>
      <rPr>
        <i/>
        <sz val="9"/>
        <color theme="1"/>
        <rFont val="Arial Narrow"/>
        <family val="2"/>
      </rPr>
      <t>(des écoles fonctionnelles)</t>
    </r>
  </si>
  <si>
    <r>
      <t xml:space="preserve">Proportion 
</t>
    </r>
    <r>
      <rPr>
        <i/>
        <sz val="9"/>
        <color theme="1"/>
        <rFont val="Arial Narrow"/>
        <family val="2"/>
      </rPr>
      <t>(des écoles dont les effectifs ont changé)</t>
    </r>
  </si>
  <si>
    <r>
      <t xml:space="preserve">Proportion 
</t>
    </r>
    <r>
      <rPr>
        <i/>
        <sz val="9"/>
        <color theme="1"/>
        <rFont val="Arial Narrow"/>
        <family val="2"/>
      </rPr>
      <t>(des écoles dont les effectifs ont augmenté)</t>
    </r>
  </si>
  <si>
    <r>
      <t xml:space="preserve">Proportion 
</t>
    </r>
    <r>
      <rPr>
        <i/>
        <sz val="9"/>
        <color theme="1"/>
        <rFont val="Arial Narrow"/>
        <family val="2"/>
      </rPr>
      <t>(des écoles dont les effectifs ont diminué)</t>
    </r>
  </si>
  <si>
    <r>
      <t xml:space="preserve">Proportion 
</t>
    </r>
    <r>
      <rPr>
        <i/>
        <sz val="9"/>
        <color theme="1"/>
        <rFont val="Arial Narrow"/>
        <family val="2"/>
      </rPr>
      <t xml:space="preserve">(des écoles fonctionnelles) </t>
    </r>
  </si>
  <si>
    <r>
      <t xml:space="preserve">Proportion 
</t>
    </r>
    <r>
      <rPr>
        <i/>
        <sz val="9"/>
        <color theme="1"/>
        <rFont val="Arial Narrow"/>
        <family val="2"/>
      </rPr>
      <t>(des écoles payantes)</t>
    </r>
  </si>
  <si>
    <r>
      <t xml:space="preserve">Proportion 
</t>
    </r>
    <r>
      <rPr>
        <i/>
        <sz val="9"/>
        <color theme="1"/>
        <rFont val="Arial Narrow"/>
        <family val="2"/>
      </rPr>
      <t>(des écoles ayant reçu une aide)</t>
    </r>
  </si>
  <si>
    <r>
      <t xml:space="preserve">Proportion 
</t>
    </r>
    <r>
      <rPr>
        <i/>
        <sz val="9"/>
        <color theme="1"/>
        <rFont val="Arial Narrow"/>
        <family val="2"/>
      </rPr>
      <t>(des écoles dont l'aide n'était pas satisfaisante)</t>
    </r>
  </si>
  <si>
    <r>
      <t xml:space="preserve">Proportion
</t>
    </r>
    <r>
      <rPr>
        <i/>
        <sz val="9"/>
        <color theme="1"/>
        <rFont val="Arial Narrow"/>
        <family val="2"/>
      </rPr>
      <t xml:space="preserve">(toutes les structures) </t>
    </r>
  </si>
  <si>
    <r>
      <t xml:space="preserve">Proportion
</t>
    </r>
    <r>
      <rPr>
        <i/>
        <sz val="9"/>
        <color theme="1"/>
        <rFont val="Arial Narrow"/>
        <family val="2"/>
      </rPr>
      <t>(des structures non fonctionnelles)</t>
    </r>
  </si>
  <si>
    <r>
      <t xml:space="preserve">Proportion
</t>
    </r>
    <r>
      <rPr>
        <i/>
        <sz val="9"/>
        <color theme="1"/>
        <rFont val="Arial Narrow"/>
        <family val="2"/>
      </rPr>
      <t xml:space="preserve">(des structures fonctionnelles) </t>
    </r>
  </si>
  <si>
    <t xml:space="preserve">Structures fonctionnelles ? </t>
  </si>
  <si>
    <t xml:space="preserve">TOTAL 
structures fonctionnelles </t>
  </si>
  <si>
    <r>
      <t xml:space="preserve">Proportion
</t>
    </r>
    <r>
      <rPr>
        <i/>
        <sz val="9"/>
        <color theme="1"/>
        <rFont val="Arial Narrow"/>
        <family val="2"/>
      </rPr>
      <t>(des structures ayant subi des dommages matériels)</t>
    </r>
  </si>
  <si>
    <r>
      <t xml:space="preserve">Proportion
</t>
    </r>
    <r>
      <rPr>
        <i/>
        <sz val="9"/>
        <color theme="1"/>
        <rFont val="Arial Narrow"/>
        <family val="2"/>
      </rPr>
      <t>(des structures disposant de latrines)</t>
    </r>
  </si>
  <si>
    <r>
      <t xml:space="preserve">Proportion
</t>
    </r>
    <r>
      <rPr>
        <i/>
        <sz val="9"/>
        <color theme="1"/>
        <rFont val="Arial Narrow"/>
        <family val="2"/>
      </rPr>
      <t xml:space="preserve">(des structures disposant d'un accès à l'eau potable) </t>
    </r>
  </si>
  <si>
    <r>
      <t xml:space="preserve">Proportion
</t>
    </r>
    <r>
      <rPr>
        <i/>
        <sz val="9"/>
        <color theme="1"/>
        <rFont val="Arial Narrow"/>
        <family val="2"/>
      </rPr>
      <t xml:space="preserve">(des strutcures disposant d'un générateur) </t>
    </r>
  </si>
  <si>
    <t>Soins intensifs</t>
  </si>
  <si>
    <r>
      <t xml:space="preserve">Proportion
</t>
    </r>
    <r>
      <rPr>
        <i/>
        <sz val="9"/>
        <color theme="1"/>
        <rFont val="Arial Narrow"/>
        <family val="2"/>
      </rPr>
      <t xml:space="preserve">(des strutures fonctionnelles) </t>
    </r>
  </si>
  <si>
    <r>
      <t xml:space="preserve">Proportion
</t>
    </r>
    <r>
      <rPr>
        <i/>
        <sz val="9"/>
        <color theme="1"/>
        <rFont val="Arial Narrow"/>
        <family val="2"/>
      </rPr>
      <t>(des structures dont le prix des consultations a changé)</t>
    </r>
  </si>
  <si>
    <r>
      <t xml:space="preserve">Proportion
</t>
    </r>
    <r>
      <rPr>
        <i/>
        <sz val="9"/>
        <color theme="1"/>
        <rFont val="Arial Narrow"/>
        <family val="2"/>
      </rPr>
      <t>(des structures dont le prix des consultations a diminué)</t>
    </r>
  </si>
  <si>
    <r>
      <t xml:space="preserve">Proportion
</t>
    </r>
    <r>
      <rPr>
        <i/>
        <sz val="9"/>
        <color theme="1"/>
        <rFont val="Arial Narrow"/>
        <family val="2"/>
      </rPr>
      <t>(des structures dont le prix des consultations a augmenté)</t>
    </r>
  </si>
  <si>
    <r>
      <t xml:space="preserve">Proportion 
</t>
    </r>
    <r>
      <rPr>
        <i/>
        <sz val="9"/>
        <color theme="1"/>
        <rFont val="Arial Narrow"/>
        <family val="2"/>
      </rPr>
      <t>(des structures dont le nombre de patient a changé)</t>
    </r>
  </si>
  <si>
    <r>
      <t xml:space="preserve">Proportion 
</t>
    </r>
    <r>
      <rPr>
        <i/>
        <sz val="9"/>
        <color theme="1"/>
        <rFont val="Arial Narrow"/>
        <family val="2"/>
      </rPr>
      <t>(des structures dont le nombre de patient a diminué)</t>
    </r>
  </si>
  <si>
    <r>
      <t xml:space="preserve">Proportion 
</t>
    </r>
    <r>
      <rPr>
        <i/>
        <sz val="9"/>
        <color theme="1"/>
        <rFont val="Arial Narrow"/>
        <family val="2"/>
      </rPr>
      <t>(des structures dont le nombre de patient a augmenté)</t>
    </r>
  </si>
  <si>
    <r>
      <t xml:space="preserve">Proportion
</t>
    </r>
    <r>
      <rPr>
        <i/>
        <sz val="9"/>
        <color theme="1"/>
        <rFont val="Arial Narrow"/>
        <family val="2"/>
      </rPr>
      <t xml:space="preserve">(toutes les strutures) </t>
    </r>
  </si>
  <si>
    <r>
      <t xml:space="preserve">Proportion 
</t>
    </r>
    <r>
      <rPr>
        <i/>
        <sz val="9"/>
        <color theme="1"/>
        <rFont val="Arial Narrow"/>
        <family val="2"/>
      </rPr>
      <t>(des structures ayant reçu une aide)</t>
    </r>
  </si>
  <si>
    <r>
      <t xml:space="preserve">Proportion 
</t>
    </r>
    <r>
      <rPr>
        <i/>
        <sz val="9"/>
        <color theme="1"/>
        <rFont val="Arial Narrow"/>
        <family val="2"/>
      </rPr>
      <t>(des structures ayant reçu une aide non satisfaisante)</t>
    </r>
  </si>
  <si>
    <r>
      <t xml:space="preserve">Proportion
</t>
    </r>
    <r>
      <rPr>
        <i/>
        <sz val="9"/>
        <color theme="1"/>
        <rFont val="Arial Narrow"/>
        <family val="2"/>
      </rPr>
      <t xml:space="preserve">(des strutures ayant reçu des informations) </t>
    </r>
  </si>
  <si>
    <r>
      <t xml:space="preserve">Proportion
</t>
    </r>
    <r>
      <rPr>
        <i/>
        <sz val="9"/>
        <color theme="1"/>
        <rFont val="Arial Narrow"/>
        <family val="2"/>
      </rPr>
      <t>(des structures ayant mené des campagnes de sensibilisation)</t>
    </r>
  </si>
  <si>
    <t xml:space="preserve">TOTAL 
Marchés fonctionnels </t>
  </si>
  <si>
    <r>
      <t xml:space="preserve">Proportion
</t>
    </r>
    <r>
      <rPr>
        <i/>
        <sz val="9"/>
        <color theme="1"/>
        <rFont val="Arial Narrow"/>
        <family val="2"/>
      </rPr>
      <t>(tous les marchés)</t>
    </r>
  </si>
  <si>
    <t xml:space="preserve">TOTAL tous les marchés : </t>
  </si>
  <si>
    <t xml:space="preserve">TOTAL toutes les structures de santé : </t>
  </si>
  <si>
    <r>
      <t xml:space="preserve">Proportion
</t>
    </r>
    <r>
      <rPr>
        <i/>
        <sz val="9"/>
        <color theme="1"/>
        <rFont val="Arial Narrow"/>
        <family val="2"/>
      </rPr>
      <t xml:space="preserve">(des marchés fonctionnels) </t>
    </r>
  </si>
  <si>
    <r>
      <t xml:space="preserve">Proportion
</t>
    </r>
    <r>
      <rPr>
        <i/>
        <sz val="9"/>
        <color theme="1"/>
        <rFont val="Arial Narrow"/>
        <family val="2"/>
      </rPr>
      <t>(des marchés dont le nb de commerçants a changé)</t>
    </r>
  </si>
  <si>
    <r>
      <t xml:space="preserve">Proportion
</t>
    </r>
    <r>
      <rPr>
        <i/>
        <sz val="9"/>
        <color theme="1"/>
        <rFont val="Arial Narrow"/>
        <family val="2"/>
      </rPr>
      <t>(des marchés dont le nb de commerçants a diminué)</t>
    </r>
  </si>
  <si>
    <r>
      <t xml:space="preserve">Proportion
</t>
    </r>
    <r>
      <rPr>
        <i/>
        <sz val="9"/>
        <color theme="1"/>
        <rFont val="Arial Narrow"/>
        <family val="2"/>
      </rPr>
      <t>(des marchés dont le nb de commerçants a augmenté)</t>
    </r>
  </si>
  <si>
    <r>
      <t xml:space="preserve">Pour les produits </t>
    </r>
    <r>
      <rPr>
        <b/>
        <i/>
        <sz val="12"/>
        <color theme="1"/>
        <rFont val="Arial Narrow"/>
        <family val="2"/>
      </rPr>
      <t xml:space="preserve">alimentaires </t>
    </r>
    <r>
      <rPr>
        <i/>
        <sz val="12"/>
        <color theme="1"/>
        <rFont val="Arial Narrow"/>
        <family val="2"/>
      </rPr>
      <t xml:space="preserve">: </t>
    </r>
  </si>
  <si>
    <r>
      <t xml:space="preserve">Pour les produits </t>
    </r>
    <r>
      <rPr>
        <b/>
        <i/>
        <sz val="12"/>
        <color theme="1"/>
        <rFont val="Arial Narrow"/>
        <family val="2"/>
      </rPr>
      <t>non alimentaires</t>
    </r>
  </si>
  <si>
    <r>
      <t xml:space="preserve">Proportion
</t>
    </r>
    <r>
      <rPr>
        <i/>
        <sz val="9"/>
        <color theme="1"/>
        <rFont val="Arial Narrow"/>
        <family val="2"/>
      </rPr>
      <t>(des marchés dont la fréquentation a changé)</t>
    </r>
  </si>
  <si>
    <r>
      <t xml:space="preserve">Proportion
</t>
    </r>
    <r>
      <rPr>
        <i/>
        <sz val="9"/>
        <color theme="1"/>
        <rFont val="Arial Narrow"/>
        <family val="2"/>
      </rPr>
      <t>(des marchés dont la fréquentation a diminué)</t>
    </r>
  </si>
  <si>
    <r>
      <t xml:space="preserve">Proportion
</t>
    </r>
    <r>
      <rPr>
        <i/>
        <sz val="9"/>
        <color theme="1"/>
        <rFont val="Arial Narrow"/>
        <family val="2"/>
      </rPr>
      <t>(des marchés dont la fréquentation a augmenté)</t>
    </r>
  </si>
  <si>
    <r>
      <t xml:space="preserve">Proportion 
</t>
    </r>
    <r>
      <rPr>
        <i/>
        <sz val="9"/>
        <color theme="1"/>
        <rFont val="Arial Narrow"/>
        <family val="2"/>
      </rPr>
      <t xml:space="preserve">(tous les points d'eau) </t>
    </r>
  </si>
  <si>
    <t xml:space="preserve">Aucune attente </t>
  </si>
  <si>
    <t xml:space="preserve">Communautaire </t>
  </si>
  <si>
    <t>Communautaire</t>
  </si>
  <si>
    <t>Contexte et méthodologie</t>
  </si>
  <si>
    <t>Objets</t>
  </si>
  <si>
    <t>Description</t>
  </si>
  <si>
    <t>Période de la collecte des données primaires</t>
  </si>
  <si>
    <t>Localités concernées par la collecte</t>
  </si>
  <si>
    <t xml:space="preserve">Nombre d'enquêtes effectuées (tous services confondus) </t>
  </si>
  <si>
    <t xml:space="preserve">Type d'infrastructures référencées </t>
  </si>
  <si>
    <r>
      <t xml:space="preserve">Infrastructures à </t>
    </r>
    <r>
      <rPr>
        <b/>
        <sz val="10"/>
        <color theme="8" tint="-0.249977111117893"/>
        <rFont val="Arial Narrow"/>
        <family val="2"/>
      </rPr>
      <t>usage communautaire,</t>
    </r>
    <r>
      <rPr>
        <sz val="10"/>
        <color theme="8" tint="-0.249977111117893"/>
        <rFont val="Arial Narrow"/>
        <family val="2"/>
      </rPr>
      <t xml:space="preserve"> dans les secteurs suivants : 
- Eau, hygiène et assainissement : points d'eau et latrines communautaires ; 
- Education  : écoles publiques, privées et religieuses + centres d'alphabétisation + centres de formation professionnelle ; 
- Santé : postes de santé + tradipraticiens ; 
- Marchés locaux : tout type de biens. </t>
    </r>
  </si>
  <si>
    <t xml:space="preserve">Détail des onglets </t>
  </si>
  <si>
    <t xml:space="preserve">Lien vers la méthodologie AGORA détaillée </t>
  </si>
  <si>
    <t xml:space="preserve">https://www.impact-initiatives.org/what-we-do/publications/?pcountry=central-african-republic&amp;dates=Date&amp;ptype=&amp;initiative=agora  </t>
  </si>
  <si>
    <t>Contacts</t>
  </si>
  <si>
    <r>
      <rPr>
        <sz val="10"/>
        <color theme="1"/>
        <rFont val="Arial Narrow"/>
        <family val="2"/>
      </rPr>
      <t xml:space="preserve">Amélie Salmon </t>
    </r>
    <r>
      <rPr>
        <u/>
        <sz val="10"/>
        <color rgb="FF0000FF"/>
        <rFont val="Arial Narrow"/>
        <family val="2"/>
      </rPr>
      <t>(amelie.salmon@reach-initiatives.org)</t>
    </r>
    <r>
      <rPr>
        <sz val="10"/>
        <color theme="1"/>
        <rFont val="Arial Narrow"/>
        <family val="2"/>
      </rPr>
      <t xml:space="preserve"> et Samuel Carcanague (</t>
    </r>
    <r>
      <rPr>
        <u/>
        <sz val="10"/>
        <color rgb="FF0000FF"/>
        <rFont val="Arial Narrow"/>
        <family val="2"/>
      </rPr>
      <t>samuel.carcanague@impact-initiatives.org)</t>
    </r>
  </si>
  <si>
    <r>
      <t xml:space="preserve">La base de données comporte les pages suivantes : 
</t>
    </r>
    <r>
      <rPr>
        <b/>
        <sz val="10"/>
        <color theme="8" tint="-0.249977111117893"/>
        <rFont val="Arial Narrow"/>
        <family val="2"/>
      </rPr>
      <t xml:space="preserve">1. Un onglet "CleaningLog" </t>
    </r>
    <r>
      <rPr>
        <sz val="10"/>
        <color theme="8" tint="-0.249977111117893"/>
        <rFont val="Arial Narrow"/>
        <family val="2"/>
      </rPr>
      <t xml:space="preserve">
Cette page répertorie toutes les modifications qui ont été apportées aux données brutes.
Le nettoyage de données, conforme aux standars IMPACT, a principalement consisté en : 
                    - l'anonymisation des données ; 
                    - la suppression des valeurs abérrantes pour les questions quantitatives ; 
                    - la vérification de la pertinence des mentions "autre" ; 
                    - la vérification de la cohérence des données (caractéristiques renseignées selon le type d'infrastructure. 
</t>
    </r>
    <r>
      <rPr>
        <b/>
        <sz val="10"/>
        <color theme="8" tint="-0.249977111117893"/>
        <rFont val="Arial Narrow"/>
        <family val="2"/>
      </rPr>
      <t xml:space="preserve">2. Les données nettoyées pour chaque localité </t>
    </r>
    <r>
      <rPr>
        <sz val="10"/>
        <color theme="8" tint="-0.249977111117893"/>
        <rFont val="Arial Narrow"/>
        <family val="2"/>
      </rPr>
      <t xml:space="preserve">
Chaque ville dispose d'un code couleur. Le premier onglet d'une même couleur correspond aux données nettoyées mais non traitées. 
Cette page peut être utilisée pour faire des analyses complémentaires, en utilisant les filtres appliqués aux différentes colonnes. 
</t>
    </r>
    <r>
      <rPr>
        <b/>
        <sz val="10"/>
        <color theme="8" tint="-0.249977111117893"/>
        <rFont val="Arial Narrow"/>
        <family val="2"/>
      </rPr>
      <t>3. L'outil d'analayse développé pour chaque secteur</t>
    </r>
    <r>
      <rPr>
        <sz val="10"/>
        <color theme="8" tint="-0.249977111117893"/>
        <rFont val="Arial Narrow"/>
        <family val="2"/>
      </rPr>
      <t xml:space="preserve">
Pour chaque ville (chaque couleur), une analyse sectorielle est effectuée et déclinée sur plusieurs onglets. Cette analyse a été menée uniquement pour les secteurs pour lesquels plus de deux infrastructures communautaires avaient été référencées, afin de pouvoir dégager des proportions intéressantes à analyser.  
L'analyse reprend les principales questions posées dans le questionnaire et met en lumière des tendances ou des proportions afin de pouvoir quantifier le niveau de fonctionnalité des infrastructures communautaires. Cette analyse quantitative sera mise en perpective avec les données qualitatives collectées avec les autres outils AGORA. Elle permet aussi de reccueillir le point de vue des gestionnaires de services sur l'utilisation des infrastructures, et leurs besoins en renforcement de capacités pour la gestion de celles-ci.</t>
    </r>
  </si>
  <si>
    <t xml:space="preserve">(Certaines fonctions ne sont pas listées ci-dessus, ce qui explique la différence entre le nombre total de travailleur et le détail pour les fonctions clés) </t>
  </si>
  <si>
    <t>f0b54ac7-38ef-410d-b188-2274610eeb7d</t>
  </si>
  <si>
    <t>2020-10-15T15:07:33.038+01</t>
  </si>
  <si>
    <t>2020-10-15T16:10:14.578+01</t>
  </si>
  <si>
    <t>2020-10-15</t>
  </si>
  <si>
    <t>356676102142483</t>
  </si>
  <si>
    <t>haut_mbomou</t>
  </si>
  <si>
    <t>zemio</t>
  </si>
  <si>
    <t>financier materiel pression respect_mode_gestion</t>
  </si>
  <si>
    <t>dotation_materiaux rehab_equipements construction sensibilisation formation_gestion</t>
  </si>
  <si>
    <t>2020-10-16T15:05:19</t>
  </si>
  <si>
    <t>7e2f2a60-5d49-4f00-88a4-95bf940e1598</t>
  </si>
  <si>
    <t>2020-10-16T08:28:35.750+01</t>
  </si>
  <si>
    <t>2020-10-16T08:42:52.369+01</t>
  </si>
  <si>
    <t>2020-10-16</t>
  </si>
  <si>
    <t>financier pression respect_mode_gestion finance_maintenance</t>
  </si>
  <si>
    <t>dotation_equipements personnel_maintenance rehab_bâtiments construction formation_gestion</t>
  </si>
  <si>
    <t>2020-10-16T15:05:44</t>
  </si>
  <si>
    <t>5a659351-f630-41ab-8aca-bc354e8c2204</t>
  </si>
  <si>
    <t>2020-10-16T09:08:32.203+01</t>
  </si>
  <si>
    <t>2020-10-16T09:25:10.901+01</t>
  </si>
  <si>
    <t>insecurite deplaces creation_rehab</t>
  </si>
  <si>
    <t>pression respect_mode_gestion finance_maintenance</t>
  </si>
  <si>
    <t>ong_Internationales chef_quartiers</t>
  </si>
  <si>
    <t>dotation_materiaux personnel_maintenance rehabilitation formation_gestion</t>
  </si>
  <si>
    <t>2020-10-16T15:06:40</t>
  </si>
  <si>
    <t>d823db3b-830f-4118-ac4d-e6c78c29ae83</t>
  </si>
  <si>
    <t>2020-10-16T11:03:51.120+01</t>
  </si>
  <si>
    <t>2020-10-16T11:38:31.592+01</t>
  </si>
  <si>
    <t>ecac</t>
  </si>
  <si>
    <t>diminution_population rehabilitation_ecoles_zone ga</t>
  </si>
  <si>
    <t>salaires achat_materiel activites_recreatives</t>
  </si>
  <si>
    <t>materiaux_rehab rehabilitations materiel_didactique formations_mp formations_ape</t>
  </si>
  <si>
    <t>materiaux_rehab personnels rehabilitations constructions materiel_didactique formations_mp formation_admin formations_ape</t>
  </si>
  <si>
    <t>2020-10-16T15:07:02</t>
  </si>
  <si>
    <t>c198049d-9efe-4250-b506-21e27b7e3533</t>
  </si>
  <si>
    <t>2020-10-15T11:50:26.831+01</t>
  </si>
  <si>
    <t>2020-10-15T12:39:19.677+01</t>
  </si>
  <si>
    <t>financier materiel pression respect_mode_gestion finance_maintenance</t>
  </si>
  <si>
    <t>dotation_equipements personnel_maintenance rehab_bâtiments</t>
  </si>
  <si>
    <t>dotation_materiaux personnel_maintenance construction formation_gestion</t>
  </si>
  <si>
    <t>2020-10-16T15:09:11</t>
  </si>
  <si>
    <t>d10689c9-c308-4537-84ca-6e48d1ca3771</t>
  </si>
  <si>
    <t>2020-10-14T14:53:48.176+01</t>
  </si>
  <si>
    <t>2020-10-14T16:42:46.469+01</t>
  </si>
  <si>
    <t>Achat de pièces par la population</t>
  </si>
  <si>
    <t>dotation_materiaux dotation_equipements personnel_maintenance rehab_bâtiments rehab_equipements construction rehabilitation formation_gestion</t>
  </si>
  <si>
    <t>2020-10-16T15:10:44</t>
  </si>
  <si>
    <t>a2bd9e4e-1aeb-4097-97b5-d77b871c7f19</t>
  </si>
  <si>
    <t>2020-10-14T16:22:01.118+01</t>
  </si>
  <si>
    <t>2020-10-14T16:39:15.101+01</t>
  </si>
  <si>
    <t>356676104206625</t>
  </si>
  <si>
    <t>2020-10-16T15:11:57</t>
  </si>
  <si>
    <t>5bf01e5a-a340-44ee-a229-b811b99c2afc</t>
  </si>
  <si>
    <t>2020-10-15T11:58:25.379+01</t>
  </si>
  <si>
    <t>2020-10-15T12:25:15.980+01</t>
  </si>
  <si>
    <t>personnel_maintenance rehab_equipements rehabilitation</t>
  </si>
  <si>
    <t>2020-10-16T15:12:46</t>
  </si>
  <si>
    <t>e68e3b53-fbb0-4a68-b696-e9014392ce7c</t>
  </si>
  <si>
    <t>2020-10-15T15:46:10.712+01</t>
  </si>
  <si>
    <t>2020-10-15T16:05:21.113+01</t>
  </si>
  <si>
    <t>ong_nationales ong_Internationales</t>
  </si>
  <si>
    <t>dotation_equipements rehab_equipements rehabilitation</t>
  </si>
  <si>
    <t>2020-10-16T15:13:59</t>
  </si>
  <si>
    <t>cd4aaf44-3510-4a9d-bb14-7835f8e8a821</t>
  </si>
  <si>
    <t>2020-10-15T16:12:16.288+01</t>
  </si>
  <si>
    <t>2020-10-15T16:19:42.878+01</t>
  </si>
  <si>
    <t>2020-10-16T15:14:56</t>
  </si>
  <si>
    <t>78ae017e-7454-4ec5-9b07-f4d6a15d8318</t>
  </si>
  <si>
    <t>2020-10-15T16:32:17.798+01</t>
  </si>
  <si>
    <t>2020-10-16T08:05:57.846+01</t>
  </si>
  <si>
    <t>gvt ong_Internationales leaders_religieux</t>
  </si>
  <si>
    <t>2020-10-16T15:15:43</t>
  </si>
  <si>
    <t>3c3c7d8b-a375-47ac-90ce-223c87a433b4</t>
  </si>
  <si>
    <t>2020-10-16T08:34:30.735+01</t>
  </si>
  <si>
    <t>2020-10-16T08:47:26.715+01</t>
  </si>
  <si>
    <t>materiel personnels_qualifies pression</t>
  </si>
  <si>
    <t>ong_nationales ong_Internationales chef_quartiers</t>
  </si>
  <si>
    <t>dotation_materiaux personnel_maintenance rehab_equipements rehabilitation</t>
  </si>
  <si>
    <t>2020-10-16T15:17:56</t>
  </si>
  <si>
    <t>a048eac4-5569-4123-be26-b94c96581eff</t>
  </si>
  <si>
    <t>2020-10-16T08:52:12.970+01</t>
  </si>
  <si>
    <t>2020-10-16T08:58:22.030+01</t>
  </si>
  <si>
    <t>dotation_materiaux dotation_equipements rehab_equipements construction</t>
  </si>
  <si>
    <t>2020-10-16T15:19:03</t>
  </si>
  <si>
    <t>55ce07fa-a240-4a3b-ae2b-b9c16416e71e</t>
  </si>
  <si>
    <t>2020-10-16T09:20:52.105+01</t>
  </si>
  <si>
    <t>2020-10-16T09:37:43.094+01</t>
  </si>
  <si>
    <t>vol_equipement non_acces</t>
  </si>
  <si>
    <t>dotation_equipements personnel_maintenance rehab_equipements rehabilitation</t>
  </si>
  <si>
    <t>2020-10-16T15:20:45</t>
  </si>
  <si>
    <t>e14f5032-06d5-4b19-ab46-23687d29dcbd</t>
  </si>
  <si>
    <t>2020-10-16T08:06:05.463+01</t>
  </si>
  <si>
    <t>2020-10-16T08:24:01.989+01</t>
  </si>
  <si>
    <t>financier personnels_qualifies finance_maintenance</t>
  </si>
  <si>
    <t>2020-10-16T15:22:36</t>
  </si>
  <si>
    <t>910a1847-be51-4f2a-a8d6-951cca9b893b</t>
  </si>
  <si>
    <t>2020-10-14T14:40:56.512+01:00</t>
  </si>
  <si>
    <t>2020-10-14T16:10:23.698+01:00</t>
  </si>
  <si>
    <t>356676102912885</t>
  </si>
  <si>
    <t>personnel_maintenance dotation_equipements rehab_equipements</t>
  </si>
  <si>
    <t>2020-10-16T15:28:54</t>
  </si>
  <si>
    <t>ff980bf6-f86f-45f0-bd6b-f8ba5d6292aa</t>
  </si>
  <si>
    <t>2020-10-15T12:14:16.594+01:00</t>
  </si>
  <si>
    <t>2020-10-15T12:29:32.190+01:00</t>
  </si>
  <si>
    <t>subventions personnel_maintenance</t>
  </si>
  <si>
    <t>2020-10-16T15:30:09</t>
  </si>
  <si>
    <t>138eaf29-e8d9-448b-be57-0bbc353509fd</t>
  </si>
  <si>
    <t>2020-10-15T15:36:44.590+01:00</t>
  </si>
  <si>
    <t>2020-10-15T15:51:05.465+01:00</t>
  </si>
  <si>
    <t>insecurite deplaces</t>
  </si>
  <si>
    <t>Cotisation par les habitants du quartier</t>
  </si>
  <si>
    <t>formation_gestion dotation_materiaux</t>
  </si>
  <si>
    <t>2020-10-16T15:30:31</t>
  </si>
  <si>
    <t>bd6b8f11-3465-4e54-9db5-2536c3fbb1cf</t>
  </si>
  <si>
    <t>2020-10-15T16:01:10.895+01:00</t>
  </si>
  <si>
    <t>2020-10-15T16:18:20.123+01:00</t>
  </si>
  <si>
    <t>2020-10-16T15:30:44</t>
  </si>
  <si>
    <t>9315891c-e163-4f19-9df2-7ad6a00e1cf3</t>
  </si>
  <si>
    <t>2020-10-16T09:12:05.515+01:00</t>
  </si>
  <si>
    <t>2020-10-16T09:38:17.711+01:00</t>
  </si>
  <si>
    <t>École Assa Site congolais</t>
  </si>
  <si>
    <t>manque_enseignants manque_mobilier</t>
  </si>
  <si>
    <t>f1 f2</t>
  </si>
  <si>
    <t>Mouvement de population</t>
  </si>
  <si>
    <t>fuite_enseignants conditions_travail</t>
  </si>
  <si>
    <t>fuite decouragement</t>
  </si>
  <si>
    <t>ressources_fin equipement</t>
  </si>
  <si>
    <t>subventions materiel_didactique formations_ape</t>
  </si>
  <si>
    <t>2020-10-16T15:32:19</t>
  </si>
  <si>
    <t>85e7144c-ff4e-412a-81d6-be4e96744d55</t>
  </si>
  <si>
    <t>2020-10-16T10:18:17.034+01:00</t>
  </si>
  <si>
    <t>2020-10-16T10:30:25.756+01:00</t>
  </si>
  <si>
    <t>2020-10-16T15:32:32</t>
  </si>
  <si>
    <t>bcb86b3a-50f7-47ef-a0c7-e769fa29fdd8</t>
  </si>
  <si>
    <t>2020-10-14T14:40:57.261+01</t>
  </si>
  <si>
    <t>2020-10-14T16:02:08.808+01</t>
  </si>
  <si>
    <t>356676102904288</t>
  </si>
  <si>
    <t>insecurite sensibilisation_eha</t>
  </si>
  <si>
    <t>insecurite mauvaise_qualite finance_maintenance</t>
  </si>
  <si>
    <t>ong_locales ong_Internationales</t>
  </si>
  <si>
    <t>2020-10-16T15:43:50</t>
  </si>
  <si>
    <t>94302410-0ed1-4f32-aaa9-f0aae7222fa0</t>
  </si>
  <si>
    <t>2020-10-15T16:21:41.542+01</t>
  </si>
  <si>
    <t>2020-10-15T16:32:47.347+01</t>
  </si>
  <si>
    <t>materiel pression respect_mode_gestion finance_maintenance</t>
  </si>
  <si>
    <t>2020-10-16T15:45:14</t>
  </si>
  <si>
    <t>2a12fa26-bdb1-4047-b79e-cb189b357c0b</t>
  </si>
  <si>
    <t>2020-10-16T09:04:57.514+01</t>
  </si>
  <si>
    <t>2020-10-16T09:27:12.589+01</t>
  </si>
  <si>
    <t>fin_droits</t>
  </si>
  <si>
    <t>materiel respect_mode_gestion</t>
  </si>
  <si>
    <t>chef_quartiers leaders_religieux</t>
  </si>
  <si>
    <t>sensibilisation formation_gestion</t>
  </si>
  <si>
    <t>personnel_maintenance formation_gestion</t>
  </si>
  <si>
    <t>2020-10-16T15:45:58</t>
  </si>
  <si>
    <t>f0f33355-38eb-4fae-96d1-265a9edb322c</t>
  </si>
  <si>
    <t>2020-10-16T12:17:59.025+01</t>
  </si>
  <si>
    <t>2020-10-16T12:41:08.117+01</t>
  </si>
  <si>
    <t>École Carmel</t>
  </si>
  <si>
    <t>professeurs_qualifies insecurite</t>
  </si>
  <si>
    <t>mairie ong_Internationales ape</t>
  </si>
  <si>
    <t>personnels constructions formations_ape</t>
  </si>
  <si>
    <t>2020-10-16T15:46:24</t>
  </si>
  <si>
    <t>b3f637c5-bb55-4b58-8f23-ab3b4305a181</t>
  </si>
  <si>
    <t>2020-10-14T14:42:12.525+01</t>
  </si>
  <si>
    <t>2020-10-15T12:21:38.972+01</t>
  </si>
  <si>
    <t>356676102886147</t>
  </si>
  <si>
    <t>non_acces</t>
  </si>
  <si>
    <t>personnel_maintenance rehab_bâtiments</t>
  </si>
  <si>
    <t>2020-10-16T15:48:17</t>
  </si>
  <si>
    <t>6f8fb550-64af-47c6-aa9b-c07ef8eeae99</t>
  </si>
  <si>
    <t>2020-10-15T14:55:11.629+01</t>
  </si>
  <si>
    <t>2020-10-15T16:40:54.958+01</t>
  </si>
  <si>
    <t>2020-10-16T15:53:36</t>
  </si>
  <si>
    <t>418bce05-3da0-43b5-a537-3d89b25ec9df</t>
  </si>
  <si>
    <t>2020-10-15T16:13:05.969+01</t>
  </si>
  <si>
    <t>2020-10-15T16:29:16.942+01</t>
  </si>
  <si>
    <t>destruction vol_equipement</t>
  </si>
  <si>
    <t>2020-10-16T15:53:42</t>
  </si>
  <si>
    <t>53c7e0c5-fbd3-4438-ae8d-fccf198e2644</t>
  </si>
  <si>
    <t>2020-10-16T08:18:25.165+01</t>
  </si>
  <si>
    <t>2020-10-16T08:35:14.129+01</t>
  </si>
  <si>
    <t>2020-10-16T15:53:49</t>
  </si>
  <si>
    <t>f7c07b52-cc43-447b-91a2-c0ac07ec9268</t>
  </si>
  <si>
    <t>2020-10-20T07:45:15.159+01</t>
  </si>
  <si>
    <t>2020-10-20T09:31:41.085+01</t>
  </si>
  <si>
    <t>Poste de santé Koumboli</t>
  </si>
  <si>
    <t>consult_curatives premiers_soins consult_prenatales maladies_infectieuses maternite</t>
  </si>
  <si>
    <t>deplaces renforcement_humanitaire</t>
  </si>
  <si>
    <t>Don de médicaments</t>
  </si>
  <si>
    <t>ressources_fin equipements communication</t>
  </si>
  <si>
    <t>ong_Internationales chef_quartiers chef_village leaders_religieux</t>
  </si>
  <si>
    <t>Produits médicaux
Prime de motivation</t>
  </si>
  <si>
    <t>rehabilitation medicaments dotation_equipements_medicaux formations_techniques formations_gestion</t>
  </si>
  <si>
    <t>2020-10-20T10:34:33</t>
  </si>
  <si>
    <t>85043df1-5eb1-4842-8d83-208ebf3e4598</t>
  </si>
  <si>
    <t>2020-10-20T08:27:13.355+01:00</t>
  </si>
  <si>
    <t>2020-10-20T09:16:49.790+01:00</t>
  </si>
  <si>
    <t>Marché Davourou</t>
  </si>
  <si>
    <t>alimentaires semences nfi hygiene materiaux materiel_scolaire medicaments</t>
  </si>
  <si>
    <t>dimanche samedi vendredi mercredi mardi lundi jeudi</t>
  </si>
  <si>
    <t>insecurite acces_localite autre</t>
  </si>
  <si>
    <t>Beaucoup sont partis à Congo</t>
  </si>
  <si>
    <t>groupement achat_groupe_grossistes achat_groupe_producteurs achat_individuel_grossistes</t>
  </si>
  <si>
    <t>deplacement_population insecurite</t>
  </si>
  <si>
    <t>crus emplacement</t>
  </si>
  <si>
    <t>manque_ressources_fin manque_infra insecurite_axes taxation_ga forte_demande indispo_produits faible_pouvoir_achat insecurite_localite</t>
  </si>
  <si>
    <t>subventions materiaux_rehab rehabilitation_marches formation rehabilitation_routes</t>
  </si>
  <si>
    <t>2020-10-20T10:46:38</t>
  </si>
  <si>
    <t>60c1ba99-88a1-413b-9097-95f2094eda86</t>
  </si>
  <si>
    <t>2020-10-21T09:41:59.592+01:00</t>
  </si>
  <si>
    <t>2020-10-21T10:18:10.517+01:00</t>
  </si>
  <si>
    <t>hopital_reference</t>
  </si>
  <si>
    <t>Hôpital Secondaire de Zemio</t>
  </si>
  <si>
    <t>Blader</t>
  </si>
  <si>
    <t>consult_curatives premiers_soins consult_prenatales mas pediatrie maternite chirurgie maladies_infectieuses violences_sexuelles accouchement soins_intensifs</t>
  </si>
  <si>
    <t>polio tuberculose preval rougeole</t>
  </si>
  <si>
    <t>Par des assistants secouristes</t>
  </si>
  <si>
    <t>population fermeture_insecurite</t>
  </si>
  <si>
    <t>ressources_fin medicaments_qualite medicaments_nb equipements personnels communication</t>
  </si>
  <si>
    <t>Dotation en médicaments</t>
  </si>
  <si>
    <t>insuffisant non_durable</t>
  </si>
  <si>
    <t>formations_gestion formations_techniques dotation_equipements_maintenance dotation_equipements_medicaux personnel medicaments rehabilitation subventions</t>
  </si>
  <si>
    <t>symptomes mesures_preventions msg_sensibilisation mesures_gvt transmission</t>
  </si>
  <si>
    <t>symptomes propagation lavage_mains distanciations masque rassemblement traitement</t>
  </si>
  <si>
    <t>2020-10-21T11:54:15</t>
  </si>
  <si>
    <t>591e75ab-1c1b-4c41-876c-f1eb32a06f82</t>
  </si>
  <si>
    <t>2020-10-21T09:27:17.050+01</t>
  </si>
  <si>
    <t>2020-10-21T09:41:35.328+01</t>
  </si>
  <si>
    <t>financier materiel finance_maintenance</t>
  </si>
  <si>
    <t>dotation_materiaux dotation_equipements personnel</t>
  </si>
  <si>
    <t>2020-10-21T11:59:31</t>
  </si>
  <si>
    <t>par mois</t>
  </si>
  <si>
    <t>=&gt; aucun changement de prix opéré</t>
  </si>
  <si>
    <t xml:space="preserve">Si oui, de quel type ?  </t>
  </si>
  <si>
    <t xml:space="preserve">Fin des droits d'accès jusqu'au paiement de la dette </t>
  </si>
  <si>
    <t xml:space="preserve">Fin des droits d'accès pour durée indéfinie </t>
  </si>
  <si>
    <t xml:space="preserve">Financière (amende) </t>
  </si>
  <si>
    <t>ÉCOLE ECAC Saint Jean-Baptiste de Zemio</t>
  </si>
  <si>
    <t>ECAC</t>
  </si>
  <si>
    <t>Réhabilitée par MSF</t>
  </si>
  <si>
    <t>=&gt; Dotations de médicaments et produits médicaux</t>
  </si>
  <si>
    <t>=&gt; fuite des commerçants en RDC</t>
  </si>
  <si>
    <t xml:space="preserve">XAF / jour </t>
  </si>
  <si>
    <t xml:space="preserve">=&gt; taxe payée à la mairie </t>
  </si>
  <si>
    <t xml:space="preserve">(taxe sur les produits de crus) </t>
  </si>
  <si>
    <t>edb74543-d676-42d0-a3cd-acfe719c35f7</t>
  </si>
  <si>
    <t>2020-11-02T15:18:50.303+01</t>
  </si>
  <si>
    <t>2020-11-02T15:48:34.089+01</t>
  </si>
  <si>
    <t>2020-11-02</t>
  </si>
  <si>
    <t>obo</t>
  </si>
  <si>
    <t>financier materiel</t>
  </si>
  <si>
    <t>dotation_materiaux dotation_equipements</t>
  </si>
  <si>
    <t>2020-11-03T20:04:42</t>
  </si>
  <si>
    <t>a7fae1c4-6a6b-42a0-b455-953c50f64fc9</t>
  </si>
  <si>
    <t>2020-11-02T15:12:25.837+01</t>
  </si>
  <si>
    <t>2020-11-02T15:18:42.107+01</t>
  </si>
  <si>
    <t>2020-11-03T20:04:19</t>
  </si>
  <si>
    <t>e5dbcc0e-de7f-4a62-85ad-e7a00d253b7e</t>
  </si>
  <si>
    <t>2020-11-02T11:28:26.581+01</t>
  </si>
  <si>
    <t>2020-11-02T12:01:44.447+01</t>
  </si>
  <si>
    <t>Hôpital de District de obo</t>
  </si>
  <si>
    <t>consult_curatives premiers_soins consult_prenatales accouchement violences_sexuelles maladies_infectieuses chirurgie pediatrie maternite soins_intensifs</t>
  </si>
  <si>
    <t>medicaments_nb personnels communication insecurite</t>
  </si>
  <si>
    <t>2020-11-03T20:04:02</t>
  </si>
  <si>
    <t>67ec52da-9d08-46ae-92f0-29b6573e1640</t>
  </si>
  <si>
    <t>2020-11-02T09:43:12.454+01</t>
  </si>
  <si>
    <t>2020-11-02T10:38:14.555+01</t>
  </si>
  <si>
    <t>Dispensaire AIM - Obo</t>
  </si>
  <si>
    <t>acces_direct</t>
  </si>
  <si>
    <t>consult_curatives premiers_soins consult_prenatales accouchement mas violences_sexuelles urgences_vitales chirurgie maternite soins_intensifs</t>
  </si>
  <si>
    <t>concurrence_ong</t>
  </si>
  <si>
    <t>ressources_fin medicaments_nb medicaments_rue equipements communication</t>
  </si>
  <si>
    <t>autorités ong_internationales</t>
  </si>
  <si>
    <t>subventions dotation_materiaux rehabilitation medicaments dotation_equipements_maintenance formations_techniques formations_gestion supervision_rs</t>
  </si>
  <si>
    <t>2020-11-03T20:03:45</t>
  </si>
  <si>
    <t>04d66253-2be1-44ba-b1ee-1735de2ecce5</t>
  </si>
  <si>
    <t>2020-11-03T15:18:47.626+01</t>
  </si>
  <si>
    <t>2020-11-03T15:57:52.230+01</t>
  </si>
  <si>
    <t>2020-11-03</t>
  </si>
  <si>
    <t>rehab_bâtiments rehab_equipements</t>
  </si>
  <si>
    <t>2020-11-03T19:58:00</t>
  </si>
  <si>
    <t>ee38d8dd-108e-4e17-971e-36c8386485c8</t>
  </si>
  <si>
    <t>2020-11-03T11:09:41.175+01</t>
  </si>
  <si>
    <t>2020-11-03T11:37:18.910+01</t>
  </si>
  <si>
    <t>Manque de salle de classe.</t>
  </si>
  <si>
    <t>subventions formations_mp</t>
  </si>
  <si>
    <t>2020-11-03T19:57:37</t>
  </si>
  <si>
    <t>f12f47c3-eb06-4e40-8673-fdca98ed056d</t>
  </si>
  <si>
    <t>2020-11-03T10:05:59.794+01</t>
  </si>
  <si>
    <t>2020-11-03T10:25:30.673+01</t>
  </si>
  <si>
    <t>Bonne semence</t>
  </si>
  <si>
    <t>aug_population deplces</t>
  </si>
  <si>
    <t>2020-11-03T19:57:25</t>
  </si>
  <si>
    <t>65f210da-1217-4779-86f7-235e005f8cb3</t>
  </si>
  <si>
    <t>2020-11-02T17:00:20.478+01</t>
  </si>
  <si>
    <t>2020-11-02T17:09:21.606+01</t>
  </si>
  <si>
    <t>2020-11-03T19:57:09</t>
  </si>
  <si>
    <t>eba694a2-6798-4e12-9d9d-115abce2f2b6</t>
  </si>
  <si>
    <t>2020-11-02T16:18:11.644+01</t>
  </si>
  <si>
    <t>2020-11-02T16:38:52.094+01</t>
  </si>
  <si>
    <t>rehab_bâtiments formation_gestion</t>
  </si>
  <si>
    <t>2020-11-03T19:56:37</t>
  </si>
  <si>
    <t>b1e1ac9e-8d08-49c8-9515-0173fdddec98</t>
  </si>
  <si>
    <t>2020-11-02T15:20:07.822+01</t>
  </si>
  <si>
    <t>2020-11-02T15:45:12.669+01</t>
  </si>
  <si>
    <t>2020-11-03T19:55:32</t>
  </si>
  <si>
    <t>aeb3a8c7-a878-4987-8315-6084718db9b8</t>
  </si>
  <si>
    <t>2020-11-02T16:52:07.975+01:00</t>
  </si>
  <si>
    <t>2020-11-02T17:02:26.560+01:00</t>
  </si>
  <si>
    <t>materiel pression respect_mode_gestion</t>
  </si>
  <si>
    <t>dotation_materiaux rehab_bâtiments</t>
  </si>
  <si>
    <t>2020-11-03T19:54:15</t>
  </si>
  <si>
    <t>90f12a7f-da63-4930-96ce-3a399a8780f7</t>
  </si>
  <si>
    <t>2020-11-02T15:29:49.239+01:00</t>
  </si>
  <si>
    <t>2020-11-02T15:41:58.597+01:00</t>
  </si>
  <si>
    <t>personnel_maintenance rehab_bâtiments subventions</t>
  </si>
  <si>
    <t>2020-11-03T19:54:03</t>
  </si>
  <si>
    <t>6a6fc4f4-6ba8-4de2-b92e-650a5c853a4d</t>
  </si>
  <si>
    <t>2020-11-02T15:49:51.148+01:00</t>
  </si>
  <si>
    <t>2020-11-02T16:01:04.627+01:00</t>
  </si>
  <si>
    <t>pression materiel</t>
  </si>
  <si>
    <t>2020-11-03T19:54:06</t>
  </si>
  <si>
    <t>5f3616ac-df29-4e3f-a948-955f2cf7519e</t>
  </si>
  <si>
    <t>2020-11-03T15:40:18.059+01</t>
  </si>
  <si>
    <t>2020-11-03T21:19:11.422+01</t>
  </si>
  <si>
    <t>Kourouko</t>
  </si>
  <si>
    <t>deplces rehabilitation_ecole securite</t>
  </si>
  <si>
    <t>ressources_fin materiel professeurs_qualifies insecurite</t>
  </si>
  <si>
    <t>materiaux_rehab personnels materiel_didactique formations_mp formation_admin</t>
  </si>
  <si>
    <t>2020-11-03T20:20:28</t>
  </si>
  <si>
    <t>03358f35-9e1f-469d-9052-515446446b48</t>
  </si>
  <si>
    <t>2020-11-02T16:52:31.609+01</t>
  </si>
  <si>
    <t>2020-11-02T17:01:34.274+01</t>
  </si>
  <si>
    <t>2020-11-03T19:52:56</t>
  </si>
  <si>
    <t>5db43f8a-05ef-426b-b5fd-fd6e98d3a162</t>
  </si>
  <si>
    <t>2020-11-03T13:07:08.124+01</t>
  </si>
  <si>
    <t>2020-11-03T13:12:12.541+01</t>
  </si>
  <si>
    <t>subventions dotation_materiaux dotation_equipements</t>
  </si>
  <si>
    <t>2020-11-03T19:53:04</t>
  </si>
  <si>
    <t>887d5b1f-b108-46f3-b16c-19078282ea1a</t>
  </si>
  <si>
    <t>2020-11-02T16:26:35.947+01</t>
  </si>
  <si>
    <t>2020-11-02T16:41:16.088+01</t>
  </si>
  <si>
    <t>pression respect_mode_gestion</t>
  </si>
  <si>
    <t>dotation_materiaux dotation_equipements construction</t>
  </si>
  <si>
    <t>2020-11-03T19:52:46</t>
  </si>
  <si>
    <t>c607e3ea-e880-47ad-81da-342ce06ae5cd</t>
  </si>
  <si>
    <t>2020-11-02T16:09:25.373+01</t>
  </si>
  <si>
    <t>2020-11-02T16:18:36.321+01</t>
  </si>
  <si>
    <t>2020-11-03T19:52:10</t>
  </si>
  <si>
    <t>b73208e7-69a7-464e-9daa-869b996ff8d9</t>
  </si>
  <si>
    <t>2020-11-02T15:56:29.702+01</t>
  </si>
  <si>
    <t>2020-11-02T16:03:31.448+01</t>
  </si>
  <si>
    <t>2020-11-03T19:52:04</t>
  </si>
  <si>
    <t>c091642d-affc-4438-beb8-371ba4a9c27f</t>
  </si>
  <si>
    <t>2020-11-03T14:15:01.839+01</t>
  </si>
  <si>
    <t>2020-11-03T14:22:02.956+01</t>
  </si>
  <si>
    <t>dotation_equipements sensibilisation formation_gestion</t>
  </si>
  <si>
    <t>2020-11-03T19:49:55</t>
  </si>
  <si>
    <t>fae3099f-6781-41f8-82a5-478bde01c761</t>
  </si>
  <si>
    <t>2020-11-02T15:29:46.098+01</t>
  </si>
  <si>
    <t>2020-11-02T15:44:43.644+01</t>
  </si>
  <si>
    <t>respect_mode_gestion finance_maintenance</t>
  </si>
  <si>
    <t>2020-11-03T19:49:56</t>
  </si>
  <si>
    <t>fe1f352a-c143-4bc0-8ecb-dd4598e701f8</t>
  </si>
  <si>
    <t>2020-11-03T14:00:47.047+01</t>
  </si>
  <si>
    <t>2020-11-03T14:11:08.111+01</t>
  </si>
  <si>
    <t>dotation_materiaux construction formation_gestion</t>
  </si>
  <si>
    <t>2020-11-03T19:48:56</t>
  </si>
  <si>
    <t>758939a0-3443-426f-ab9e-4bff24391f97</t>
  </si>
  <si>
    <t>2020-11-03T13:45:25.069+01</t>
  </si>
  <si>
    <t>2020-11-03T13:53:47.969+01</t>
  </si>
  <si>
    <t>vols respect_mode_gestion</t>
  </si>
  <si>
    <t>dotation_materiaux personnel sensibilisation</t>
  </si>
  <si>
    <t>2020-11-03T19:48:16</t>
  </si>
  <si>
    <t>f93512b2-e967-4974-95f1-78e4133f363c</t>
  </si>
  <si>
    <t>2020-11-03T10:49:41.760+01</t>
  </si>
  <si>
    <t>2020-11-03T11:10:56.431+01</t>
  </si>
  <si>
    <t>aug_population rehabilitation_ecole sensibilisation</t>
  </si>
  <si>
    <t>subventions materiaux_rehab constructions materiel_didactique formations_mp</t>
  </si>
  <si>
    <t>2020-11-03T20:13:42</t>
  </si>
  <si>
    <t>52a756fb-6046-4d37-8692-396736c624d0</t>
  </si>
  <si>
    <t>2020-11-02T15:29:21.489+01</t>
  </si>
  <si>
    <t>2020-11-02T15:34:08.527+01</t>
  </si>
  <si>
    <t>dotation_materiaux dotation_equipements personnel_maintenance</t>
  </si>
  <si>
    <t>2020-11-03T20:13:02</t>
  </si>
  <si>
    <t>065b223e-e288-4289-b4ea-8f44beedd235</t>
  </si>
  <si>
    <t>2020-11-02T15:24:58.107+01</t>
  </si>
  <si>
    <t>2020-11-02T15:47:41.010+01</t>
  </si>
  <si>
    <t>subventions dotation_materiaux dotation_equipements personnel</t>
  </si>
  <si>
    <t>2020-11-03T20:12:46</t>
  </si>
  <si>
    <t>b13d6db9-af28-4009-9d49-9dddeb345872</t>
  </si>
  <si>
    <t>2020-11-03T13:28:27.193+01</t>
  </si>
  <si>
    <t>2020-11-03T13:39:01.214+01</t>
  </si>
  <si>
    <t>dotation_materiaux rehab_equipements formation_gestion</t>
  </si>
  <si>
    <t>2020-11-03T19:43:20</t>
  </si>
  <si>
    <t>e6463c4b-0a37-4bfb-8571-87babf00dc48</t>
  </si>
  <si>
    <t>2020-11-03T12:25:54.390+01</t>
  </si>
  <si>
    <t>2020-11-03T12:35:19.615+01</t>
  </si>
  <si>
    <t>2020-11-03T19:43:15</t>
  </si>
  <si>
    <t>ce19ffec-0b16-4318-aa01-0cb98fdfca8c</t>
  </si>
  <si>
    <t>2020-11-03T12:54:54.406+01</t>
  </si>
  <si>
    <t>2020-11-03T13:13:17.095+01</t>
  </si>
  <si>
    <t>2020-11-03T19:41:34</t>
  </si>
  <si>
    <t>fb79e59b-7739-428a-8255-418a3b9d5d6b</t>
  </si>
  <si>
    <t>2020-11-03T08:27:27.346+01</t>
  </si>
  <si>
    <t>2020-11-03T08:50:46.315+01</t>
  </si>
  <si>
    <t>École Préfectoral Fille</t>
  </si>
  <si>
    <t>ressources_fin autre</t>
  </si>
  <si>
    <t>Le manque de point d'eau</t>
  </si>
  <si>
    <t>subventions personnels materiel_didactique</t>
  </si>
  <si>
    <t>2020-11-03T19:40:23</t>
  </si>
  <si>
    <t>4a9202f0-8ce3-4d37-8ae3-fa9e91df6170</t>
  </si>
  <si>
    <t>2020-11-03T12:30:15.337+01</t>
  </si>
  <si>
    <t>2020-11-03T12:42:11.660+01</t>
  </si>
  <si>
    <t>2020-11-03T19:39:39</t>
  </si>
  <si>
    <t>6dc64508-e585-4fe9-ac6a-0456568cf67a</t>
  </si>
  <si>
    <t>2020-11-03T08:15:34.511+01</t>
  </si>
  <si>
    <t>2020-11-03T08:48:33.603+01</t>
  </si>
  <si>
    <t>École préfectoral Garçon</t>
  </si>
  <si>
    <t>subventions materiaux_rehab equipements rehabilitations</t>
  </si>
  <si>
    <t>subventions materiaux_rehab personnels materiel_didactique</t>
  </si>
  <si>
    <t>2020-11-03T19:31:26</t>
  </si>
  <si>
    <t>f0f346e6-2641-403d-a1ce-e1f61921dca4</t>
  </si>
  <si>
    <t>2020-10-30T15:07:24.387+01</t>
  </si>
  <si>
    <t>2020-10-30T15:31:29.518+01</t>
  </si>
  <si>
    <t>2020-10-30</t>
  </si>
  <si>
    <t>fontaine</t>
  </si>
  <si>
    <t>dotation_materiaux construction sensibilisation</t>
  </si>
  <si>
    <t>2020-11-01T16:22:47</t>
  </si>
  <si>
    <t>9332da49-aed4-4ef4-9549-9c7d08d91d2e</t>
  </si>
  <si>
    <t>2020-11-01T09:30:43.382+01</t>
  </si>
  <si>
    <t>2020-11-01T09:47:00.919+01</t>
  </si>
  <si>
    <t>2020-11-01</t>
  </si>
  <si>
    <t>dotation_equipements personnel personnel_maintenance</t>
  </si>
  <si>
    <t>2020-11-01T16:22:53</t>
  </si>
  <si>
    <t>b7414b0f-67bb-4850-aeb9-cb260a86561b</t>
  </si>
  <si>
    <t>2020-11-01T10:15:56.375+01</t>
  </si>
  <si>
    <t>2020-11-01T10:30:30.605+01</t>
  </si>
  <si>
    <t>Panne technique</t>
  </si>
  <si>
    <t>Large sensibilisation pour la communauté sur la bonne gestion de l'utilisation</t>
  </si>
  <si>
    <t>2020-11-01T16:23:00</t>
  </si>
  <si>
    <t>2f97974d-4253-43ba-8645-cee54253de17</t>
  </si>
  <si>
    <t>2020-11-01T10:56:00.914+01</t>
  </si>
  <si>
    <t>2020-11-01T11:14:09.478+01</t>
  </si>
  <si>
    <t>dotation_equipements formation_gestion</t>
  </si>
  <si>
    <t>2020-11-01T16:23:12</t>
  </si>
  <si>
    <t>078a0dbc-1191-4208-b1f2-25070a750d06</t>
  </si>
  <si>
    <t>2020-11-01T11:29:19.345+01</t>
  </si>
  <si>
    <t>2020-11-01T11:40:33.244+01</t>
  </si>
  <si>
    <t>sensibilisation_eha</t>
  </si>
  <si>
    <t>financier respect_mode_gestion finance_maintenance</t>
  </si>
  <si>
    <t>MINUSCA</t>
  </si>
  <si>
    <t>2020-11-01T16:23:17</t>
  </si>
  <si>
    <t>6963d20a-179a-4c52-8992-7a1f973a1a0c</t>
  </si>
  <si>
    <t>2020-11-01T11:47:34.192+01</t>
  </si>
  <si>
    <t>2020-11-01T11:56:07.817+01</t>
  </si>
  <si>
    <t>dotation_equipements personnel_maintenance sensibilisation formation_gestion</t>
  </si>
  <si>
    <t>2020-11-01T16:23:22</t>
  </si>
  <si>
    <t>ab6991ae-9901-405e-8940-4c300447ebe1</t>
  </si>
  <si>
    <t>2020-11-01T12:21:01.733+01</t>
  </si>
  <si>
    <t>2020-11-01T12:26:11.289+01</t>
  </si>
  <si>
    <t>2020-11-01T16:23:26</t>
  </si>
  <si>
    <t>2b5cfc6a-e3b3-4182-bab6-19e17f179b6e</t>
  </si>
  <si>
    <t>2020-11-01T12:30:29.146+01</t>
  </si>
  <si>
    <t>2020-11-01T12:38:14.863+01</t>
  </si>
  <si>
    <t>deplaces sensibilisation_eha</t>
  </si>
  <si>
    <t>rehab_equipements sensibilisation formation_gestion</t>
  </si>
  <si>
    <t>2020-11-01T16:23:30</t>
  </si>
  <si>
    <t>69891e6c-5b65-4022-88ed-5a3c7a6d0e12</t>
  </si>
  <si>
    <t>2020-10-30T11:39:20.764+01</t>
  </si>
  <si>
    <t>2020-10-30T11:49:41.752+01</t>
  </si>
  <si>
    <t>2020-11-01T16:24:41</t>
  </si>
  <si>
    <t>446786a2-f2e2-4774-a359-541a5df2a3fb</t>
  </si>
  <si>
    <t>2020-10-30T15:06:52.839+01</t>
  </si>
  <si>
    <t>2020-10-30T15:15:37.368+01</t>
  </si>
  <si>
    <t>2020-11-01T16:24:54</t>
  </si>
  <si>
    <t>57ffad7c-949a-4945-bf34-008945f20f24</t>
  </si>
  <si>
    <t>2020-10-30T15:39:53.957+01</t>
  </si>
  <si>
    <t>2020-10-30T15:49:58.977+01</t>
  </si>
  <si>
    <t>2020-11-01T16:25:52</t>
  </si>
  <si>
    <t>5d375d73-7518-4e6a-aebb-9b788387a951</t>
  </si>
  <si>
    <t>2020-10-30T15:32:20.898+01</t>
  </si>
  <si>
    <t>2020-10-30T15:45:13.199+01</t>
  </si>
  <si>
    <t>Cotisation des ménages pour aider les hommes qui aménagent ce point d'eau</t>
  </si>
  <si>
    <t>materiel mauvaise_qualite</t>
  </si>
  <si>
    <t>2020-11-01T16:27:07</t>
  </si>
  <si>
    <t>edaf46dc-6521-4471-a913-5f6995295e50</t>
  </si>
  <si>
    <t>2020-10-30T16:24:03.640+01</t>
  </si>
  <si>
    <t>2020-10-30T16:34:20.535+01</t>
  </si>
  <si>
    <t>2020-11-01T16:27:17</t>
  </si>
  <si>
    <t>34ef0ee4-cb41-4d91-ac69-2745f985c52e</t>
  </si>
  <si>
    <t>2020-10-30T15:48:06.402+01</t>
  </si>
  <si>
    <t>2020-10-30T16:01:22.005+01</t>
  </si>
  <si>
    <t>inadapte non_durable</t>
  </si>
  <si>
    <t>2020-11-01T16:27:56</t>
  </si>
  <si>
    <t>34e6e2ca-a922-4934-bb63-e3de6de86f7c</t>
  </si>
  <si>
    <t>2020-10-30T16:11:25.250+01</t>
  </si>
  <si>
    <t>2020-10-30T16:23:43.922+01</t>
  </si>
  <si>
    <t>2020-11-01T16:28:10</t>
  </si>
  <si>
    <t>20c30821-fb2b-4e97-882e-5bd6b3cde1de</t>
  </si>
  <si>
    <t>2020-11-01T09:28:44.107+01:00</t>
  </si>
  <si>
    <t>2020-11-01T09:50:26.436+01:00</t>
  </si>
  <si>
    <t>augmentation_population creation_rehab destruction</t>
  </si>
  <si>
    <t>ong_Internationales mairie</t>
  </si>
  <si>
    <t>personnel personnel_maintenance sensibilisation formation_gestion</t>
  </si>
  <si>
    <t>2020-11-01T16:29:57</t>
  </si>
  <si>
    <t>4b6bb537-3d1b-473e-829d-3ce32d7bbe8a</t>
  </si>
  <si>
    <t>2020-11-01T09:50:48.419+01:00</t>
  </si>
  <si>
    <t>2020-11-01T10:03:21.488+01:00</t>
  </si>
  <si>
    <t>financier materiel pression mauvaise_qualite</t>
  </si>
  <si>
    <t>rehab_equipements sensibilisation formation_gestion rehab_bâtiments dotation_equipements dotation_materiaux</t>
  </si>
  <si>
    <t>2020-11-01T16:30:01</t>
  </si>
  <si>
    <t>5b801828-1640-4a2f-9d38-c236d3210935</t>
  </si>
  <si>
    <t>2020-11-01T10:16:42.261+01:00</t>
  </si>
  <si>
    <t>2020-11-01T10:25:12.966+01:00</t>
  </si>
  <si>
    <t>materiel pression finance_maintenance financier</t>
  </si>
  <si>
    <t>rehab_bâtiments construction dotation_materiaux</t>
  </si>
  <si>
    <t>2020-11-01T16:30:03</t>
  </si>
  <si>
    <t>6c1b223a-037f-416f-b7fe-213c9bf5c662</t>
  </si>
  <si>
    <t>2020-11-01T10:53:47.717+01:00</t>
  </si>
  <si>
    <t>2020-11-01T11:02:10.208+01:00</t>
  </si>
  <si>
    <t>augmentation_population deplaces destruction</t>
  </si>
  <si>
    <t>financier pression respect_mode_gestion</t>
  </si>
  <si>
    <t>personnel dotation_materiaux personnel_maintenance rehab_bâtiments rehab_equipements construction</t>
  </si>
  <si>
    <t>2020-11-01T16:30:05</t>
  </si>
  <si>
    <t>135b23d2-210f-4769-80ae-c732285fa891</t>
  </si>
  <si>
    <t>2020-11-01T11:26:46.049+01:00</t>
  </si>
  <si>
    <t>2020-11-01T11:34:46.547+01:00</t>
  </si>
  <si>
    <t>financier personnels_qualifies pression respect_mode_gestion finance_maintenance</t>
  </si>
  <si>
    <t>2020-11-01T16:30:16</t>
  </si>
  <si>
    <t>5fb5ee38-12c7-4002-8f3c-ee04601a2fdd</t>
  </si>
  <si>
    <t>2020-11-01T12:18:04.251+01:00</t>
  </si>
  <si>
    <t>2020-11-01T12:28:25.511+01:00</t>
  </si>
  <si>
    <t>L'eau s'arrête a 60 litre, il attendre 2 heures pour continuer</t>
  </si>
  <si>
    <t>leaders_communautaires ong_Internationales</t>
  </si>
  <si>
    <t>2020-11-01T16:30:20</t>
  </si>
  <si>
    <t>0b4820b7-d773-4e00-aa8b-a5ea6bd8f75e</t>
  </si>
  <si>
    <t>2020-11-01T12:32:32.874+01:00</t>
  </si>
  <si>
    <t>2020-11-01T12:42:14.757+01:00</t>
  </si>
  <si>
    <t>rehabilitation point_eau_prive dommages_evenements</t>
  </si>
  <si>
    <t>dotation_materiaux personnel personnel_maintenance rehab_bâtiments rehab_equipements rehabilitation</t>
  </si>
  <si>
    <t>2020-11-01T16:30:23</t>
  </si>
  <si>
    <t>f12a37bb-725c-41be-a8d0-cb985c05f3e3</t>
  </si>
  <si>
    <t>2020-11-01T12:49:46.608+01:00</t>
  </si>
  <si>
    <t>2020-11-01T12:57:20.505+01:00</t>
  </si>
  <si>
    <t>rehab_equipements rehab_bâtiments</t>
  </si>
  <si>
    <t>2020-11-01T16:30:27</t>
  </si>
  <si>
    <t>8e377da1-74fb-4b9c-b9d5-ca740548e282</t>
  </si>
  <si>
    <t>2020-11-01T14:08:28.777+01:00</t>
  </si>
  <si>
    <t>2020-11-01T14:15:59.400+01:00</t>
  </si>
  <si>
    <t>deplaces augmentation_population</t>
  </si>
  <si>
    <t>sensibilisation formation_gestion personnel_maintenance</t>
  </si>
  <si>
    <t>2020-11-01T16:30:31</t>
  </si>
  <si>
    <t>62bf79cb-a858-4124-8b83-94403e77d279</t>
  </si>
  <si>
    <t>2020-11-01T14:16:06.057+01:00</t>
  </si>
  <si>
    <t>2020-11-01T15:37:45.708+01:00</t>
  </si>
  <si>
    <t>rehab_bâtiments personnel_maintenance</t>
  </si>
  <si>
    <t>personnel_maintenance sensibilisation</t>
  </si>
  <si>
    <t>2020-11-01T16:30:33</t>
  </si>
  <si>
    <t>d06f33a2-9b1b-4c73-8941-96d7054c0562</t>
  </si>
  <si>
    <t>2020-11-02T09:44:14.921+01</t>
  </si>
  <si>
    <t>2020-11-02T10:07:21.023+01</t>
  </si>
  <si>
    <t>financier materiel personnels_qualifies respect_mode_gestion mauvaise_qualite</t>
  </si>
  <si>
    <t>dotation_materiaux personnel_maintenance formation_gestion</t>
  </si>
  <si>
    <t>2020-11-03T19:24:58</t>
  </si>
  <si>
    <t>45c8ed85-cb19-4a67-88a9-acfdc1370f73</t>
  </si>
  <si>
    <t>2020-11-02T15:42:04.907+01</t>
  </si>
  <si>
    <t>2020-11-02T15:47:51.182+01</t>
  </si>
  <si>
    <t>dotation_materiaux personnel_maintenance rehab_bâtiments rehab_equipements</t>
  </si>
  <si>
    <t>2020-11-03T19:25:19</t>
  </si>
  <si>
    <t>2fb57564-8fb6-466e-9bb4-ec34c362feb8</t>
  </si>
  <si>
    <t>2020-11-02T10:07:40.966+01</t>
  </si>
  <si>
    <t>2020-11-02T11:58:57.198+01</t>
  </si>
  <si>
    <t>alimentaires semences nfi materiel_scolaire</t>
  </si>
  <si>
    <t>lundi mardi mercredi jeudi vendredi samedi</t>
  </si>
  <si>
    <t>achat_individuel_producteurs commercants_producteurs</t>
  </si>
  <si>
    <t>mairie ong_internationales</t>
  </si>
  <si>
    <t>manque_ressources_fin manque_infra faible_pouvoir_achat</t>
  </si>
  <si>
    <t>ong_internationale</t>
  </si>
  <si>
    <t>materiaux_rehab formation</t>
  </si>
  <si>
    <t>2020-11-03T19:26:26</t>
  </si>
  <si>
    <t>b16436ea-4100-4f4f-bdcb-80b9375e363e</t>
  </si>
  <si>
    <t>2020-11-02T12:03:39.181+01</t>
  </si>
  <si>
    <t>2020-11-02T12:14:08.037+01</t>
  </si>
  <si>
    <t>2020-11-03T19:27:58</t>
  </si>
  <si>
    <t>5d3a3c29-e02f-4eb5-9462-607759217553</t>
  </si>
  <si>
    <t>2020-11-02T12:33:27.507+01</t>
  </si>
  <si>
    <t>2020-11-02T15:23:01.935+01</t>
  </si>
  <si>
    <t>subventions dotation_materiaux rehab_bâtiments</t>
  </si>
  <si>
    <t>2020-11-03T19:28:43</t>
  </si>
  <si>
    <t>menage</t>
  </si>
  <si>
    <t>Contribution des membres de la communauté</t>
  </si>
  <si>
    <t xml:space="preserve">personnel_maintenance rehab_equipements formation_gestion sensibilisation </t>
  </si>
  <si>
    <t>Un volontaire qui a aménagé le puits sans une aide</t>
  </si>
  <si>
    <t xml:space="preserve">=&gt; aide d'un volontaire et contribution de la communauté </t>
  </si>
  <si>
    <t>Donald Linguiste</t>
  </si>
  <si>
    <t>=&gt; Manque d'infrastructure (salles de classe et point d'eau)</t>
  </si>
  <si>
    <t xml:space="preserve">=&gt; taxe paxée à la mairie </t>
  </si>
  <si>
    <t>XAF /  mois</t>
  </si>
  <si>
    <t xml:space="preserve">Fontaine </t>
  </si>
  <si>
    <t xml:space="preserve">=&gt; Panne technique </t>
  </si>
  <si>
    <t xml:space="preserve">=&gt; aucun changement de prix constaté </t>
  </si>
  <si>
    <t>=&gt; MINUSCA</t>
  </si>
  <si>
    <t>=&gt; aucune structure non fonctionnelle répertoriée</t>
  </si>
  <si>
    <t xml:space="preserve">Zemio et Obo </t>
  </si>
  <si>
    <t>Dans le cadre du projet RELSUDE, AGORA est chargé de réaliser un plan de relèvement local (PRL) pour chacune des 21 localités identifiées du Sud-Est de la Centrafrique. Ces PRL sont l’aboutissement d’une évaluation territoriale et multisectorielle des besoins. Pour réaliser cette évaluation 8 outils de diagnostic sont développés. Parmi ces 8 outils, figure une enquête auprès des gestionnaires de services réalisée sur l'outil KOBO dont les données sont présentées dans ce document. L'objectif de cette enquête est de géolocaliser les différentes infrastructures communautaires (eau, hygiène et assainissement, santé, éducation, marchés locaux) et d'en évaluer le niveau de fonctionnalité. Les éventuels besoins en renforcement de capacités des gestionnaires de services sont également recensés. 
Ces entretiens dirigés ont été réalisés avec des informateurs clefs par les enquêteurs AGORA. L’échantillonnage s'est voulu exhaustif et a cibler entre 20 et 40 informateurs clefs parmi les principaux fournisseurs de services de base dans chaque localité. Les informateurs clefs rencontrés sont des personnes ressources disposant d’informations sectorielles, tels que les gestionnaires de points d’eau communautaires ou publics, les représentants d’éventuels comités de gestion d’infrastructures communautaires, des directeurs d’établissements sanitaires, scolaires et de formation professionnelle, des gestionnaires de marchés ou délégués des commerçants, etc. L’identification de ces personnes a été affinée grâce aux entretiens avec les autorités locales et à l’exercice de cartographie participative.
Pour le détail de la méthodologie AGORA, dans sa totalité, veuillez consulter les Termes de Références disponibles sur le site internet d'IMPACT (lien ci-dessous).</t>
  </si>
  <si>
    <t>be143e6a-8ff4-473c-95f9-ca25f43b4ef7</t>
  </si>
  <si>
    <t>2021-02-04T10:28:42.529+01</t>
  </si>
  <si>
    <t>2021-02-06T07:36:04.120+01</t>
  </si>
  <si>
    <t>2021-02-04</t>
  </si>
  <si>
    <t>356676102904908</t>
  </si>
  <si>
    <t>École mixte Site peulh</t>
  </si>
  <si>
    <t>Beaucoup ont regagné leur localité d'origine</t>
  </si>
  <si>
    <t>equipements</t>
  </si>
  <si>
    <t>subventions materiaux_rehab equipements formations_mp</t>
  </si>
  <si>
    <t>2021-02-08T15:56:35</t>
  </si>
  <si>
    <t>20a78a98-099d-4e98-a577-a17b9491fea3</t>
  </si>
  <si>
    <t>2021-02-04T15:39:02.317+01</t>
  </si>
  <si>
    <t>2021-02-04T15:46:27.465+01</t>
  </si>
  <si>
    <t>Lycée de Zemio</t>
  </si>
  <si>
    <t>pillages ressources_fin_entretien insecurite</t>
  </si>
  <si>
    <t>f2</t>
  </si>
  <si>
    <t>Association des parents d'élèves</t>
  </si>
  <si>
    <t>subventions equipements rehabilitations constructions materiel_didactique formation_admin</t>
  </si>
  <si>
    <t>2021-02-08T15:56:40</t>
  </si>
  <si>
    <t>0c517d3b-8cea-4dee-a909-4986956fc760</t>
  </si>
  <si>
    <t>2021-02-05T08:39:04.742+01</t>
  </si>
  <si>
    <t>2021-02-05T08:54:06.324+01</t>
  </si>
  <si>
    <t>2021-02-05</t>
  </si>
  <si>
    <t>École koumboli</t>
  </si>
  <si>
    <t>appauvrissement</t>
  </si>
  <si>
    <t>ressources_fin materiel equipement professeurs_qualifies vols</t>
  </si>
  <si>
    <t>subventions materiaux_rehab equipements personnels rehabilitations</t>
  </si>
  <si>
    <t>2021-02-08T15:56:46</t>
  </si>
  <si>
    <t>a713f0e3-8acf-4040-95c4-2b8fa4a3a556</t>
  </si>
  <si>
    <t>2021-02-05T09:07:51.627+01</t>
  </si>
  <si>
    <t>2021-02-05T09:22:05.180+01</t>
  </si>
  <si>
    <t>École Centre 1</t>
  </si>
  <si>
    <t>appauvrissement ga</t>
  </si>
  <si>
    <t>ressources_fin materiel equipement professeurs_qualifies insecurite</t>
  </si>
  <si>
    <t>equipements personnels rehabilitations materiel_didactique formations_mp formation_admin</t>
  </si>
  <si>
    <t>2021-02-08T15:56:51</t>
  </si>
  <si>
    <t>4b3786c7-c7b8-4814-b3a7-85c370e283dc</t>
  </si>
  <si>
    <t>23bdafba-f233-4d65-834d-c3542f56863a</t>
  </si>
  <si>
    <t>47859131-ef57-44cc-a4df-d4d04fe0a610</t>
  </si>
  <si>
    <t>2021-02-05T11:54:07.327+01</t>
  </si>
  <si>
    <t>2021-02-05T15:32:11.226+01</t>
  </si>
  <si>
    <t>École Sainte Annuarite</t>
  </si>
  <si>
    <t>materiaux_rehab equipements personnels rehabilitations constructions materiel_didactique formations_mp</t>
  </si>
  <si>
    <t>2021-02-08T15:57:04</t>
  </si>
  <si>
    <t xml:space="preserve">Les écoles présentent des dommages matériels, pourquoi ? </t>
  </si>
  <si>
    <t>=&gt; l'association des parents d'élèves</t>
  </si>
  <si>
    <t>61402b52-68ea-415e-8369-8723725aaf6b</t>
  </si>
  <si>
    <t>2021-02-13T11:17:02.653+01</t>
  </si>
  <si>
    <t>2021-02-13T11:44:12.469+01</t>
  </si>
  <si>
    <t>2021-02-13</t>
  </si>
  <si>
    <t>Marché hebdomadaire (marché dimanche)</t>
  </si>
  <si>
    <t>alimentaires semences nfi medicaments materiel_scolaire</t>
  </si>
  <si>
    <t>dimanche</t>
  </si>
  <si>
    <t>achat_individuel_grossistes commercants_producteurs</t>
  </si>
  <si>
    <t>Bangui, Soudan</t>
  </si>
  <si>
    <t>achat_individuel_producteurs achat_individuel_grossistes commercants_producteurs</t>
  </si>
  <si>
    <t>emplacement crus</t>
  </si>
  <si>
    <t>semaine</t>
  </si>
  <si>
    <t>manque_infra mauvaise_routes insecurite_axes insecurite_localite faible_pouvoir_achat</t>
  </si>
  <si>
    <t>rehabilitation_marches rehabilitation_routes</t>
  </si>
  <si>
    <t>2021-02-15T11:43:28</t>
  </si>
  <si>
    <t>849ae551-ab6f-4e22-8fd3-da690836bd88</t>
  </si>
  <si>
    <t>2021-02-15T09:22:52.227+01</t>
  </si>
  <si>
    <t>2021-02-15T12:41:01.482+01</t>
  </si>
  <si>
    <t>2021-02-15</t>
  </si>
  <si>
    <t>Marché du doir</t>
  </si>
  <si>
    <t>alimentaires nfi hygiene medicaments materiel_scolaire</t>
  </si>
  <si>
    <t>lundi mardi mercredi jeudi vendredi samedi dimanche</t>
  </si>
  <si>
    <t>nuit</t>
  </si>
  <si>
    <t>insecurite acces_localite diminution_acheteurs</t>
  </si>
  <si>
    <t>2 fois par an</t>
  </si>
  <si>
    <t>exterieur</t>
  </si>
  <si>
    <t>mensuel</t>
  </si>
  <si>
    <t>deplacement_population</t>
  </si>
  <si>
    <t>mairie communaute</t>
  </si>
  <si>
    <t>mairie aucun</t>
  </si>
  <si>
    <t>manque_ressources_fin manque_infra forte_demande faible_pouvoir_achat</t>
  </si>
  <si>
    <t>materiaux_rehab rehabilitation_marches</t>
  </si>
  <si>
    <t>2021-02-15T11:44:22</t>
  </si>
  <si>
    <t xml:space="preserve">=&gt; deux fois par an </t>
  </si>
  <si>
    <t>Bangui et extérieur</t>
  </si>
  <si>
    <t xml:space="preserve">=&gt; Bangui et Soudan </t>
  </si>
  <si>
    <t xml:space="preserve">XAF / semaine </t>
  </si>
  <si>
    <t xml:space="preserve">=&gt; taxe sur les produits crus </t>
  </si>
  <si>
    <t>=&gt; pas d'école privée N/A</t>
  </si>
  <si>
    <t xml:space="preserve">(Pour Zemio, un informateur clé sur les deux n'avait pas connaissance du détail par fonction. Cela explique la différence entre le nombre total de travailleurs (calculé sur une moyenne de 2 structures) et le détail pour les fonctions clés (informations sur 1 structure uniquement) </t>
  </si>
  <si>
    <t>Question</t>
  </si>
  <si>
    <t>uuidor id unique</t>
  </si>
  <si>
    <t>Valeur ancienne</t>
  </si>
  <si>
    <t>Nouvelle valeur (si existante)</t>
  </si>
  <si>
    <t>Raison (ex: erreur de saisie, pas de correction nécessaire etc.)</t>
  </si>
  <si>
    <t>Modifiée dans la base de données nettoyée?</t>
  </si>
  <si>
    <t>ZEMIO</t>
  </si>
  <si>
    <t>Supprimé</t>
  </si>
  <si>
    <t>Outlier</t>
  </si>
  <si>
    <t xml:space="preserve">Oui </t>
  </si>
  <si>
    <t xml:space="preserve">Erreur de saisie </t>
  </si>
  <si>
    <t>On paye par mois</t>
  </si>
  <si>
    <t>Par mois</t>
  </si>
  <si>
    <t>Celui ou celle qui ne paye pas n'a aucun droit</t>
  </si>
  <si>
    <t>Celle ou Celui qui ne paye pas n'a aucun accès</t>
  </si>
  <si>
    <t>Réponse hors sujet - question mal comprise</t>
  </si>
  <si>
    <t>L église catholique</t>
  </si>
  <si>
    <t xml:space="preserve">Précision conservée </t>
  </si>
  <si>
    <t xml:space="preserve">dons_materiaux </t>
  </si>
  <si>
    <t>École toujours fonctionnel</t>
  </si>
  <si>
    <t xml:space="preserve">Erreur dans le questionnaire </t>
  </si>
  <si>
    <t>Après la crise</t>
  </si>
  <si>
    <t>Toujours</t>
  </si>
  <si>
    <t xml:space="preserve">Possible outlier - confirmé par équipe terrain </t>
  </si>
  <si>
    <t>L'École dépendait de l'ONG UNHCR</t>
  </si>
  <si>
    <t xml:space="preserve">Facilité de lecture </t>
  </si>
  <si>
    <t>dons_argent autre</t>
  </si>
  <si>
    <t>Intervention des ONGi</t>
  </si>
  <si>
    <t>En véhicule</t>
  </si>
  <si>
    <t>RAS</t>
  </si>
  <si>
    <t>Diocèse qui donne l'aide</t>
  </si>
  <si>
    <t>diminution_population autre</t>
  </si>
  <si>
    <t xml:space="preserve">Redondance </t>
  </si>
  <si>
    <t>OBO</t>
  </si>
  <si>
    <t>ong_internationales autre</t>
  </si>
  <si>
    <t xml:space="preserve">ong_internationales </t>
  </si>
  <si>
    <t>Répétition</t>
  </si>
  <si>
    <t>ACTED</t>
  </si>
  <si>
    <t>Je ne sais pas, mais le forage a été créé en 2001</t>
  </si>
  <si>
    <t>Une personne proclamé propriétaire.</t>
  </si>
  <si>
    <t>Moi même</t>
  </si>
  <si>
    <t>Réhabilitation par les ONGi</t>
  </si>
  <si>
    <t xml:space="preserve">pression </t>
  </si>
  <si>
    <t>Augmentation des populations sur ce point d'eau</t>
  </si>
  <si>
    <t>Effectif pléthorique des ménages</t>
  </si>
  <si>
    <t>Je n'est pas l'attente avec autre personne pour ce point d'eau.</t>
  </si>
  <si>
    <t>Le ménage même qui s'en charge</t>
  </si>
  <si>
    <t>personnel_maintenance rehab_equipements formation_gestion autre</t>
  </si>
  <si>
    <t>personnel_maintenance rehab_equipements formation_gestion sensibilisation</t>
  </si>
  <si>
    <t>CICR</t>
  </si>
  <si>
    <t>Le propriétaire est deja decedé</t>
  </si>
  <si>
    <t>Fonctionnel</t>
  </si>
  <si>
    <t xml:space="preserve">Ouvert </t>
  </si>
  <si>
    <t>Par ce qu'il la rentrée scolaire</t>
  </si>
  <si>
    <t>De lundi à vendredi</t>
  </si>
  <si>
    <t xml:space="preserve">Erreur de calcul du KI </t>
  </si>
  <si>
    <t>Au par avant c'était ONG COOPI qui a pris l'école en charge dans l'année 2018-2018, mais pour cette année pas d'autres organisations.</t>
  </si>
  <si>
    <t xml:space="preserve">Convertion unité taxe </t>
  </si>
  <si>
    <t xml:space="preserve">Par an </t>
  </si>
  <si>
    <r>
      <t xml:space="preserve">AGORA RCA </t>
    </r>
    <r>
      <rPr>
        <b/>
        <sz val="11"/>
        <color rgb="FF000000"/>
        <rFont val="Calibri"/>
        <family val="2"/>
      </rPr>
      <t>|</t>
    </r>
    <r>
      <rPr>
        <b/>
        <sz val="11"/>
        <color rgb="FF000000"/>
        <rFont val="Arial Narrow"/>
        <family val="2"/>
      </rPr>
      <t>Projet RELSUDE | Collecte HAUT MBOMOU entre octobre et novembre 2020</t>
    </r>
  </si>
  <si>
    <t>La phase de collecte de données s'est déroulée entre octobre et novembre 2020. Quelques enquêtes complémentaires ont eu lieu en février 2021, au cours de la phase de planification, notamment avec les informateurs clés qui n'avaient pas été disponibles lors du premier déploiement terrain.</t>
  </si>
  <si>
    <t>ligne supprimée</t>
  </si>
  <si>
    <t xml:space="preserve">Hors scope AGORA - école maternelle </t>
  </si>
  <si>
    <t xml:space="preserve">Zemio : 38
Obo : 64
Chaque ligne correspond à 1 enquête menée avec 1 informateur clé.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</si>
</sst>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C_H_F_-;\-* #,##0.00\ _C_H_F_-;_-* &quot;-&quot;??\ _C_H_F_-;_-@_-"/>
    <numFmt numFmtId="164" formatCode="_-* #,##0\ _C_H_F_-;\-* #,##0\ _C_H_F_-;_-* &quot;-&quot;??\ _C_H_F_-;_-@_-"/>
    <numFmt numFmtId="165" formatCode="_-* #,##0.0\ _C_H_F_-;\-* #,##0.0\ _C_H_F_-;_-* &quot;-&quot;??\ _C_H_F_-;_-@_-"/>
    <numFmt numFmtId="166" formatCode="0.0"/>
  </numFmts>
  <fonts count="27" x14ac:knownFonts="1">
    <font>
      <sz val="11"/>
      <color theme="1"/>
      <name val="Calibri"/>
      <family val="2"/>
      <scheme val="minor"/>
    </font>
    <font>
      <sz val="11"/>
      <color theme="1"/>
      <name val="Calibri"/>
      <family val="2"/>
      <scheme val="minor"/>
    </font>
    <font>
      <sz val="11"/>
      <color theme="1"/>
      <name val="Arial Narrow"/>
      <family val="2"/>
    </font>
    <font>
      <sz val="11"/>
      <color theme="0"/>
      <name val="Arial Narrow"/>
      <family val="2"/>
    </font>
    <font>
      <b/>
      <sz val="11"/>
      <color theme="1"/>
      <name val="Arial Narrow"/>
      <family val="2"/>
    </font>
    <font>
      <b/>
      <sz val="12"/>
      <color theme="1"/>
      <name val="Arial Narrow"/>
      <family val="2"/>
    </font>
    <font>
      <i/>
      <sz val="11"/>
      <color theme="1"/>
      <name val="Arial Narrow"/>
      <family val="2"/>
    </font>
    <font>
      <i/>
      <sz val="12"/>
      <color theme="1"/>
      <name val="Arial Narrow"/>
      <family val="2"/>
    </font>
    <font>
      <sz val="10"/>
      <color theme="1"/>
      <name val="Arial Narrow"/>
      <family val="2"/>
    </font>
    <font>
      <sz val="9"/>
      <color theme="1"/>
      <name val="Arial Narrow"/>
      <family val="2"/>
    </font>
    <font>
      <i/>
      <sz val="9"/>
      <color theme="1"/>
      <name val="Arial Narrow"/>
      <family val="2"/>
    </font>
    <font>
      <b/>
      <sz val="11"/>
      <color rgb="FF582122"/>
      <name val="Arial Narrow"/>
      <family val="2"/>
    </font>
    <font>
      <b/>
      <i/>
      <sz val="12"/>
      <color theme="1"/>
      <name val="Arial Narrow"/>
      <family val="2"/>
    </font>
    <font>
      <b/>
      <i/>
      <sz val="10"/>
      <color rgb="FF837E6F"/>
      <name val="Arial Narrow"/>
      <family val="2"/>
    </font>
    <font>
      <i/>
      <sz val="11"/>
      <color rgb="FF582122"/>
      <name val="Arial Narrow"/>
      <family val="2"/>
    </font>
    <font>
      <b/>
      <sz val="11"/>
      <color rgb="FF000000"/>
      <name val="Arial Narrow"/>
      <family val="2"/>
    </font>
    <font>
      <b/>
      <sz val="11"/>
      <color rgb="FF000000"/>
      <name val="Calibri"/>
      <family val="2"/>
    </font>
    <font>
      <b/>
      <sz val="10"/>
      <color rgb="FFFFFFFF"/>
      <name val="Arial Narrow"/>
      <family val="2"/>
    </font>
    <font>
      <sz val="10"/>
      <color theme="8" tint="-0.249977111117893"/>
      <name val="Arial Narrow"/>
      <family val="2"/>
    </font>
    <font>
      <u/>
      <sz val="11"/>
      <color theme="10"/>
      <name val="Calibri"/>
      <family val="2"/>
      <scheme val="minor"/>
    </font>
    <font>
      <sz val="10"/>
      <name val="Arial Narrow"/>
      <family val="2"/>
    </font>
    <font>
      <b/>
      <sz val="10"/>
      <color theme="8" tint="-0.249977111117893"/>
      <name val="Arial Narrow"/>
      <family val="2"/>
    </font>
    <font>
      <u/>
      <sz val="10"/>
      <color theme="10"/>
      <name val="Arial Narrow"/>
      <family val="2"/>
    </font>
    <font>
      <b/>
      <sz val="10"/>
      <name val="Arial Narrow"/>
      <family val="2"/>
    </font>
    <font>
      <u/>
      <sz val="10"/>
      <color rgb="FF0000FF"/>
      <name val="Arial Narrow"/>
      <family val="2"/>
    </font>
    <font>
      <i/>
      <sz val="10"/>
      <color rgb="FF582122"/>
      <name val="Arial Narrow"/>
      <family val="2"/>
    </font>
    <font>
      <b/>
      <sz val="11"/>
      <color rgb="FFFFFFFF"/>
      <name val="Arial Narrow"/>
      <family val="2"/>
    </font>
  </fonts>
  <fills count="12">
    <fill>
      <patternFill patternType="none"/>
    </fill>
    <fill>
      <patternFill patternType="gray125"/>
    </fill>
    <fill>
      <patternFill patternType="solid">
        <fgColor rgb="FFFFFF00"/>
        <bgColor indexed="64"/>
      </patternFill>
    </fill>
    <fill>
      <patternFill patternType="solid">
        <fgColor rgb="FF582122"/>
        <bgColor indexed="64"/>
      </patternFill>
    </fill>
    <fill>
      <patternFill patternType="solid">
        <fgColor theme="5" tint="0.59999389629810485"/>
        <bgColor indexed="64"/>
      </patternFill>
    </fill>
    <fill>
      <patternFill patternType="solid">
        <fgColor theme="0"/>
        <bgColor indexed="64"/>
      </patternFill>
    </fill>
    <fill>
      <patternFill patternType="solid">
        <fgColor rgb="FFFFFF66"/>
        <bgColor indexed="64"/>
      </patternFill>
    </fill>
    <fill>
      <patternFill patternType="solid">
        <fgColor theme="2"/>
        <bgColor rgb="FFF8CBAD"/>
      </patternFill>
    </fill>
    <fill>
      <patternFill patternType="solid">
        <fgColor theme="2"/>
        <bgColor rgb="FFFCE4D6"/>
      </patternFill>
    </fill>
    <fill>
      <patternFill patternType="solid">
        <fgColor rgb="FFD9D9D9"/>
        <bgColor rgb="FFFCE4D6"/>
      </patternFill>
    </fill>
    <fill>
      <patternFill patternType="solid">
        <fgColor rgb="FFEE5859"/>
        <bgColor rgb="FF000000"/>
      </patternFill>
    </fill>
    <fill>
      <patternFill patternType="solid">
        <fgColor theme="5" tint="0.59999389629810485"/>
        <bgColor rgb="FF000000"/>
      </patternFill>
    </fill>
  </fills>
  <borders count="17">
    <border>
      <left/>
      <right/>
      <top/>
      <bottom/>
      <diagonal/>
    </border>
    <border>
      <left style="thin">
        <color auto="1"/>
      </left>
      <right style="thin">
        <color auto="1"/>
      </right>
      <top style="thin">
        <color auto="1"/>
      </top>
      <bottom style="thin">
        <color auto="1"/>
      </bottom>
      <diagonal/>
    </border>
    <border>
      <left style="medium">
        <color auto="1"/>
      </left>
      <right style="medium">
        <color rgb="FFFFFFFF"/>
      </right>
      <top style="medium">
        <color auto="1"/>
      </top>
      <bottom style="medium">
        <color rgb="FFFFFFFF"/>
      </bottom>
      <diagonal/>
    </border>
    <border>
      <left style="medium">
        <color rgb="FFFFFFFF"/>
      </left>
      <right style="medium">
        <color auto="1"/>
      </right>
      <top style="medium">
        <color auto="1"/>
      </top>
      <bottom style="medium">
        <color rgb="FFFFFFFF"/>
      </bottom>
      <diagonal/>
    </border>
    <border>
      <left style="medium">
        <color indexed="64"/>
      </left>
      <right/>
      <top style="thin">
        <color indexed="64"/>
      </top>
      <bottom/>
      <diagonal/>
    </border>
    <border>
      <left/>
      <right style="medium">
        <color auto="1"/>
      </right>
      <top style="medium">
        <color rgb="FFFFFFFF"/>
      </top>
      <bottom style="medium">
        <color rgb="FFFFFFFF"/>
      </bottom>
      <diagonal/>
    </border>
    <border>
      <left style="medium">
        <color rgb="FFFFFFFF"/>
      </left>
      <right/>
      <top style="medium">
        <color rgb="FFFFFFFF"/>
      </top>
      <bottom style="medium">
        <color rgb="FFFFFFFF"/>
      </bottom>
      <diagonal/>
    </border>
    <border>
      <left style="medium">
        <color auto="1"/>
      </left>
      <right style="medium">
        <color rgb="FFFFFFFF"/>
      </right>
      <top style="medium">
        <color rgb="FFFFFFFF"/>
      </top>
      <bottom style="medium">
        <color rgb="FFFFFFFF"/>
      </bottom>
      <diagonal/>
    </border>
    <border>
      <left style="medium">
        <color rgb="FFFFFFFF"/>
      </left>
      <right style="medium">
        <color auto="1"/>
      </right>
      <top style="medium">
        <color rgb="FFFFFFFF"/>
      </top>
      <bottom style="medium">
        <color rgb="FFFFFFFF"/>
      </bottom>
      <diagonal/>
    </border>
    <border>
      <left style="medium">
        <color auto="1"/>
      </left>
      <right style="medium">
        <color rgb="FFFFFFFF"/>
      </right>
      <top style="medium">
        <color rgb="FFFFFFFF"/>
      </top>
      <bottom style="medium">
        <color auto="1"/>
      </bottom>
      <diagonal/>
    </border>
    <border>
      <left style="medium">
        <color rgb="FFFFFFFF"/>
      </left>
      <right style="medium">
        <color auto="1"/>
      </right>
      <top style="medium">
        <color rgb="FFFFFFFF"/>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xf numFmtId="0" fontId="1" fillId="0" borderId="0"/>
  </cellStyleXfs>
  <cellXfs count="177">
    <xf numFmtId="0" fontId="0" fillId="0" borderId="0" xfId="0"/>
    <xf numFmtId="0" fontId="2" fillId="0" borderId="0" xfId="0" applyFont="1"/>
    <xf numFmtId="0" fontId="2" fillId="0" borderId="0" xfId="0" applyNumberFormat="1" applyFont="1"/>
    <xf numFmtId="0" fontId="2" fillId="0" borderId="1" xfId="0" applyFont="1" applyBorder="1"/>
    <xf numFmtId="164" fontId="2" fillId="0" borderId="1" xfId="1" applyNumberFormat="1" applyFont="1" applyBorder="1"/>
    <xf numFmtId="0" fontId="3" fillId="4" borderId="1" xfId="0" applyFont="1" applyFill="1" applyBorder="1" applyAlignment="1">
      <alignment vertical="top" wrapText="1"/>
    </xf>
    <xf numFmtId="9" fontId="2" fillId="0" borderId="1" xfId="2" applyFont="1" applyBorder="1"/>
    <xf numFmtId="0" fontId="3" fillId="3" borderId="1" xfId="0" applyFont="1" applyFill="1" applyBorder="1" applyAlignment="1">
      <alignment horizontal="center" vertical="center" wrapText="1"/>
    </xf>
    <xf numFmtId="0" fontId="5" fillId="5" borderId="0" xfId="0" applyFont="1" applyFill="1"/>
    <xf numFmtId="0" fontId="2" fillId="5" borderId="0" xfId="0" applyFont="1" applyFill="1"/>
    <xf numFmtId="0" fontId="3" fillId="4" borderId="1" xfId="0" applyFont="1" applyFill="1" applyBorder="1" applyAlignment="1">
      <alignment horizontal="center" vertical="top" wrapText="1"/>
    </xf>
    <xf numFmtId="0" fontId="3" fillId="4" borderId="1" xfId="0" applyFont="1" applyFill="1" applyBorder="1" applyAlignment="1">
      <alignment horizontal="center" vertical="center" wrapText="1"/>
    </xf>
    <xf numFmtId="0" fontId="2" fillId="0" borderId="0" xfId="0" applyFont="1" applyAlignment="1">
      <alignment horizontal="center" vertical="top"/>
    </xf>
    <xf numFmtId="0" fontId="2" fillId="5" borderId="0" xfId="0" applyFont="1" applyFill="1" applyBorder="1"/>
    <xf numFmtId="9" fontId="2" fillId="5" borderId="0" xfId="2" applyFont="1" applyFill="1" applyBorder="1"/>
    <xf numFmtId="164" fontId="2" fillId="5" borderId="0" xfId="1" applyNumberFormat="1" applyFont="1" applyFill="1" applyBorder="1"/>
    <xf numFmtId="164" fontId="6" fillId="5" borderId="0" xfId="1" applyNumberFormat="1" applyFont="1" applyFill="1" applyBorder="1"/>
    <xf numFmtId="0" fontId="6" fillId="5" borderId="0" xfId="0" applyFont="1" applyFill="1"/>
    <xf numFmtId="164" fontId="4" fillId="5" borderId="0" xfId="1" applyNumberFormat="1" applyFont="1" applyFill="1"/>
    <xf numFmtId="0" fontId="2" fillId="5" borderId="0" xfId="0" applyFont="1" applyFill="1" applyAlignment="1">
      <alignment horizontal="center" vertical="top"/>
    </xf>
    <xf numFmtId="0" fontId="4" fillId="5" borderId="0" xfId="0" applyFont="1" applyFill="1"/>
    <xf numFmtId="0" fontId="4" fillId="5" borderId="0" xfId="0" applyFont="1" applyFill="1" applyAlignment="1">
      <alignment horizontal="center"/>
    </xf>
    <xf numFmtId="0" fontId="0" fillId="5" borderId="0" xfId="0" applyFill="1"/>
    <xf numFmtId="0" fontId="2" fillId="5" borderId="1" xfId="0" applyFont="1" applyFill="1" applyBorder="1"/>
    <xf numFmtId="164" fontId="2" fillId="5" borderId="1" xfId="0" applyNumberFormat="1" applyFont="1" applyFill="1" applyBorder="1"/>
    <xf numFmtId="9" fontId="2" fillId="5" borderId="0" xfId="0" applyNumberFormat="1" applyFont="1" applyFill="1"/>
    <xf numFmtId="165" fontId="2" fillId="5" borderId="0" xfId="1" applyNumberFormat="1" applyFont="1" applyFill="1"/>
    <xf numFmtId="165" fontId="4" fillId="5" borderId="0" xfId="1" applyNumberFormat="1" applyFont="1" applyFill="1"/>
    <xf numFmtId="0" fontId="7" fillId="5" borderId="0" xfId="0" applyFont="1" applyFill="1"/>
    <xf numFmtId="164" fontId="2" fillId="5" borderId="0" xfId="1" applyNumberFormat="1" applyFont="1" applyFill="1"/>
    <xf numFmtId="164" fontId="6" fillId="5" borderId="0" xfId="1" applyNumberFormat="1" applyFont="1" applyFill="1"/>
    <xf numFmtId="164" fontId="4" fillId="5" borderId="0" xfId="1" applyNumberFormat="1" applyFont="1" applyFill="1" applyBorder="1"/>
    <xf numFmtId="9" fontId="4" fillId="5" borderId="0" xfId="2" applyFont="1" applyFill="1" applyBorder="1"/>
    <xf numFmtId="0" fontId="6" fillId="5" borderId="0" xfId="0" applyFont="1" applyFill="1" applyBorder="1"/>
    <xf numFmtId="0" fontId="3" fillId="3" borderId="1" xfId="0" applyFont="1" applyFill="1" applyBorder="1" applyAlignment="1">
      <alignment horizontal="center" vertical="top" wrapText="1"/>
    </xf>
    <xf numFmtId="0" fontId="2" fillId="5" borderId="0" xfId="0" applyFont="1" applyFill="1" applyAlignment="1">
      <alignment vertical="top"/>
    </xf>
    <xf numFmtId="0" fontId="3" fillId="5" borderId="1" xfId="0" applyFont="1" applyFill="1" applyBorder="1" applyAlignment="1">
      <alignment horizontal="center" vertical="center" wrapText="1"/>
    </xf>
    <xf numFmtId="164" fontId="2" fillId="5" borderId="1" xfId="1" applyNumberFormat="1" applyFont="1" applyFill="1" applyBorder="1"/>
    <xf numFmtId="9" fontId="2" fillId="5" borderId="1" xfId="2" applyFont="1" applyFill="1" applyBorder="1"/>
    <xf numFmtId="0" fontId="3" fillId="4" borderId="1" xfId="0" applyFont="1" applyFill="1" applyBorder="1" applyAlignment="1">
      <alignment horizontal="left" vertical="top" wrapText="1"/>
    </xf>
    <xf numFmtId="0" fontId="2" fillId="5" borderId="0" xfId="0" applyFont="1" applyFill="1" applyAlignment="1">
      <alignment horizontal="left" vertical="top"/>
    </xf>
    <xf numFmtId="9" fontId="6" fillId="5" borderId="0" xfId="2" applyFont="1" applyFill="1" applyBorder="1"/>
    <xf numFmtId="0" fontId="2" fillId="0" borderId="1" xfId="0" applyFont="1" applyBorder="1" applyAlignment="1">
      <alignment vertical="top"/>
    </xf>
    <xf numFmtId="0" fontId="4" fillId="5" borderId="0" xfId="0" applyFont="1" applyFill="1" applyAlignment="1">
      <alignment horizontal="center" vertical="center"/>
    </xf>
    <xf numFmtId="0" fontId="7" fillId="5" borderId="0" xfId="0" applyFont="1" applyFill="1" applyBorder="1"/>
    <xf numFmtId="0" fontId="7" fillId="5" borderId="0" xfId="0" applyFont="1" applyFill="1" applyAlignment="1">
      <alignment vertical="top"/>
    </xf>
    <xf numFmtId="0" fontId="2" fillId="5" borderId="0" xfId="0" applyFont="1" applyFill="1" applyBorder="1" applyAlignment="1">
      <alignment vertical="top"/>
    </xf>
    <xf numFmtId="9" fontId="2" fillId="5" borderId="0" xfId="2" applyFont="1" applyFill="1" applyBorder="1" applyAlignment="1">
      <alignment vertical="top"/>
    </xf>
    <xf numFmtId="0" fontId="8" fillId="5" borderId="0" xfId="0" applyFont="1" applyFill="1" applyAlignment="1">
      <alignment vertical="top"/>
    </xf>
    <xf numFmtId="0" fontId="2" fillId="0" borderId="0" xfId="0" applyFont="1" applyBorder="1"/>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xf>
    <xf numFmtId="0" fontId="2" fillId="0" borderId="1" xfId="0" applyFont="1" applyBorder="1" applyAlignment="1">
      <alignment wrapText="1"/>
    </xf>
    <xf numFmtId="0" fontId="2" fillId="0" borderId="1" xfId="0" applyFont="1" applyBorder="1" applyAlignment="1">
      <alignment vertical="top" wrapText="1"/>
    </xf>
    <xf numFmtId="9" fontId="2" fillId="0" borderId="1" xfId="2" applyFont="1" applyBorder="1" applyAlignment="1">
      <alignment vertical="top"/>
    </xf>
    <xf numFmtId="0" fontId="2" fillId="0" borderId="0" xfId="0" applyFont="1" applyAlignment="1">
      <alignment vertical="top"/>
    </xf>
    <xf numFmtId="0" fontId="2" fillId="0" borderId="0" xfId="0" applyFont="1" applyFill="1"/>
    <xf numFmtId="0" fontId="2" fillId="0" borderId="0" xfId="0" applyNumberFormat="1" applyFont="1" applyFill="1"/>
    <xf numFmtId="9" fontId="7" fillId="5" borderId="0" xfId="2" applyFont="1" applyFill="1" applyBorder="1"/>
    <xf numFmtId="0" fontId="7" fillId="0" borderId="0" xfId="0" applyFont="1"/>
    <xf numFmtId="0" fontId="0" fillId="5" borderId="0" xfId="0" applyFill="1" applyAlignment="1">
      <alignment vertical="top"/>
    </xf>
    <xf numFmtId="164" fontId="4" fillId="5" borderId="1" xfId="0" applyNumberFormat="1" applyFont="1" applyFill="1" applyBorder="1"/>
    <xf numFmtId="49" fontId="2" fillId="0" borderId="0" xfId="0" applyNumberFormat="1" applyFont="1"/>
    <xf numFmtId="0" fontId="2" fillId="5" borderId="0" xfId="0" applyFont="1" applyFill="1" applyAlignment="1">
      <alignment vertical="top" wrapText="1"/>
    </xf>
    <xf numFmtId="0" fontId="2" fillId="5" borderId="0" xfId="0" applyFont="1" applyFill="1" applyBorder="1" applyAlignment="1">
      <alignment vertical="top" wrapText="1"/>
    </xf>
    <xf numFmtId="43" fontId="4" fillId="5" borderId="0" xfId="1" applyFont="1" applyFill="1" applyBorder="1" applyAlignment="1">
      <alignment vertical="top" wrapText="1"/>
    </xf>
    <xf numFmtId="0" fontId="7" fillId="0" borderId="0" xfId="0" applyFont="1" applyBorder="1" applyAlignment="1">
      <alignment vertical="top"/>
    </xf>
    <xf numFmtId="0" fontId="11" fillId="5" borderId="0" xfId="0" applyFont="1" applyFill="1"/>
    <xf numFmtId="164" fontId="4" fillId="5" borderId="0" xfId="1" quotePrefix="1" applyNumberFormat="1" applyFont="1" applyFill="1"/>
    <xf numFmtId="165" fontId="11" fillId="5" borderId="0" xfId="1" applyNumberFormat="1" applyFont="1" applyFill="1" applyAlignment="1"/>
    <xf numFmtId="0" fontId="4" fillId="5" borderId="1" xfId="0" applyFont="1" applyFill="1" applyBorder="1" applyAlignment="1">
      <alignment horizontal="center" vertical="center" wrapText="1"/>
    </xf>
    <xf numFmtId="164" fontId="4" fillId="5" borderId="1" xfId="0" applyNumberFormat="1" applyFont="1" applyFill="1" applyBorder="1" applyAlignment="1">
      <alignment horizontal="center" vertical="center"/>
    </xf>
    <xf numFmtId="0" fontId="4" fillId="5" borderId="0" xfId="0" applyFont="1" applyFill="1" applyAlignment="1">
      <alignment vertical="top"/>
    </xf>
    <xf numFmtId="0" fontId="11" fillId="5" borderId="0" xfId="0" quotePrefix="1" applyFont="1" applyFill="1"/>
    <xf numFmtId="0" fontId="2" fillId="5" borderId="1" xfId="0" applyFont="1" applyFill="1" applyBorder="1" applyAlignment="1">
      <alignment vertical="top"/>
    </xf>
    <xf numFmtId="0" fontId="11" fillId="5" borderId="0" xfId="0" quotePrefix="1" applyFont="1" applyFill="1" applyBorder="1"/>
    <xf numFmtId="0" fontId="2" fillId="2" borderId="1" xfId="0" applyFont="1" applyFill="1" applyBorder="1"/>
    <xf numFmtId="0" fontId="2" fillId="0" borderId="1" xfId="2" applyNumberFormat="1" applyFont="1" applyBorder="1"/>
    <xf numFmtId="0" fontId="12" fillId="5" borderId="0" xfId="0" applyFont="1" applyFill="1"/>
    <xf numFmtId="0" fontId="12" fillId="5" borderId="0" xfId="0" applyFont="1" applyFill="1" applyAlignment="1">
      <alignment vertical="top"/>
    </xf>
    <xf numFmtId="0" fontId="2" fillId="5" borderId="1" xfId="1" applyNumberFormat="1" applyFont="1" applyFill="1" applyBorder="1"/>
    <xf numFmtId="0" fontId="2" fillId="5" borderId="0" xfId="0" applyFont="1" applyFill="1" applyAlignment="1">
      <alignment horizontal="left" vertical="top" wrapText="1"/>
    </xf>
    <xf numFmtId="0" fontId="4" fillId="0" borderId="0" xfId="0" applyFont="1" applyFill="1" applyAlignment="1">
      <alignment horizontal="right"/>
    </xf>
    <xf numFmtId="9" fontId="2" fillId="5" borderId="0" xfId="2" quotePrefix="1" applyFont="1" applyFill="1" applyBorder="1"/>
    <xf numFmtId="9" fontId="11" fillId="5" borderId="0" xfId="2" quotePrefix="1" applyFont="1" applyFill="1" applyBorder="1"/>
    <xf numFmtId="164" fontId="2" fillId="0" borderId="0" xfId="1" applyNumberFormat="1" applyFont="1"/>
    <xf numFmtId="0" fontId="2" fillId="0" borderId="0" xfId="0" applyFont="1" applyBorder="1" applyAlignment="1">
      <alignment vertical="top" wrapText="1"/>
    </xf>
    <xf numFmtId="164" fontId="4" fillId="5" borderId="0" xfId="1" applyNumberFormat="1" applyFont="1" applyFill="1" applyAlignment="1">
      <alignment horizontal="left"/>
    </xf>
    <xf numFmtId="9" fontId="2" fillId="0" borderId="1" xfId="2" applyFont="1" applyBorder="1" applyAlignment="1"/>
    <xf numFmtId="0" fontId="2" fillId="0" borderId="0" xfId="0" applyFont="1" applyBorder="1" applyAlignment="1">
      <alignment wrapText="1"/>
    </xf>
    <xf numFmtId="0" fontId="2" fillId="5" borderId="0" xfId="0" applyFont="1" applyFill="1" applyAlignment="1">
      <alignment vertical="center"/>
    </xf>
    <xf numFmtId="0" fontId="2" fillId="0" borderId="0" xfId="0" applyFont="1" applyAlignment="1">
      <alignment vertical="center"/>
    </xf>
    <xf numFmtId="9" fontId="2" fillId="0" borderId="1" xfId="2" applyFont="1" applyBorder="1" applyAlignment="1">
      <alignment horizontal="center"/>
    </xf>
    <xf numFmtId="0" fontId="2" fillId="0" borderId="1" xfId="0" applyFont="1" applyBorder="1" applyAlignment="1">
      <alignment horizontal="left" wrapText="1"/>
    </xf>
    <xf numFmtId="9" fontId="4" fillId="0" borderId="1" xfId="2" applyFont="1" applyBorder="1" applyAlignment="1">
      <alignment horizontal="center"/>
    </xf>
    <xf numFmtId="0" fontId="13" fillId="5" borderId="0" xfId="0" applyFont="1" applyFill="1"/>
    <xf numFmtId="9" fontId="2" fillId="0" borderId="1" xfId="2" applyFont="1" applyBorder="1" applyAlignment="1">
      <alignment horizontal="right"/>
    </xf>
    <xf numFmtId="0" fontId="2" fillId="5" borderId="0" xfId="0" applyFont="1" applyFill="1" applyAlignment="1">
      <alignment horizontal="right"/>
    </xf>
    <xf numFmtId="0" fontId="2" fillId="0" borderId="0" xfId="0" applyFont="1" applyAlignment="1">
      <alignment horizontal="right"/>
    </xf>
    <xf numFmtId="0" fontId="2" fillId="5" borderId="0" xfId="0" applyFont="1" applyFill="1" applyBorder="1" applyAlignment="1">
      <alignment horizontal="right"/>
    </xf>
    <xf numFmtId="9" fontId="2" fillId="5" borderId="0" xfId="2" applyFont="1" applyFill="1" applyBorder="1" applyAlignment="1">
      <alignment horizontal="right"/>
    </xf>
    <xf numFmtId="164" fontId="4" fillId="0" borderId="1" xfId="0" applyNumberFormat="1" applyFont="1" applyBorder="1" applyAlignment="1"/>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xf>
    <xf numFmtId="0" fontId="0" fillId="5" borderId="0" xfId="0" applyFill="1" applyAlignment="1">
      <alignment vertical="center"/>
    </xf>
    <xf numFmtId="9" fontId="4" fillId="0" borderId="1" xfId="0" applyNumberFormat="1" applyFont="1" applyBorder="1" applyAlignment="1">
      <alignment horizontal="center"/>
    </xf>
    <xf numFmtId="0" fontId="2" fillId="0" borderId="1" xfId="0" applyFont="1" applyBorder="1" applyAlignment="1">
      <alignment horizontal="center" vertical="center"/>
    </xf>
    <xf numFmtId="9" fontId="2" fillId="0" borderId="1" xfId="0" applyNumberFormat="1" applyFont="1" applyBorder="1" applyAlignment="1">
      <alignment horizontal="center"/>
    </xf>
    <xf numFmtId="0" fontId="3" fillId="4" borderId="1" xfId="0" applyFont="1" applyFill="1" applyBorder="1" applyAlignment="1">
      <alignment vertical="center" wrapText="1"/>
    </xf>
    <xf numFmtId="9" fontId="4" fillId="5" borderId="1" xfId="2" applyFont="1" applyFill="1" applyBorder="1" applyAlignment="1">
      <alignment horizontal="center" vertical="center"/>
    </xf>
    <xf numFmtId="9" fontId="2" fillId="5" borderId="1" xfId="2" applyFont="1" applyFill="1" applyBorder="1" applyAlignment="1"/>
    <xf numFmtId="0" fontId="2" fillId="5" borderId="1" xfId="0" applyFont="1" applyFill="1" applyBorder="1" applyAlignment="1">
      <alignment wrapText="1"/>
    </xf>
    <xf numFmtId="0" fontId="11" fillId="5" borderId="0" xfId="0" quotePrefix="1" applyFont="1" applyFill="1" applyAlignment="1">
      <alignment horizontal="right"/>
    </xf>
    <xf numFmtId="0" fontId="2" fillId="6" borderId="1" xfId="0" applyFont="1" applyFill="1" applyBorder="1"/>
    <xf numFmtId="9" fontId="2" fillId="0" borderId="0" xfId="2" applyFont="1" applyBorder="1" applyAlignment="1">
      <alignment horizontal="center"/>
    </xf>
    <xf numFmtId="0" fontId="4" fillId="0" borderId="1" xfId="0" applyFont="1" applyFill="1" applyBorder="1" applyAlignment="1">
      <alignment horizontal="center" vertical="center" wrapText="1"/>
    </xf>
    <xf numFmtId="9" fontId="4" fillId="5" borderId="1" xfId="2" applyFont="1" applyFill="1" applyBorder="1" applyAlignment="1">
      <alignment horizontal="center"/>
    </xf>
    <xf numFmtId="0" fontId="2" fillId="5" borderId="1" xfId="0" applyFont="1" applyFill="1" applyBorder="1" applyAlignment="1">
      <alignment horizontal="center" vertical="center" wrapText="1"/>
    </xf>
    <xf numFmtId="9" fontId="2" fillId="5" borderId="1" xfId="2" applyFont="1" applyFill="1" applyBorder="1" applyAlignment="1">
      <alignment horizontal="center"/>
    </xf>
    <xf numFmtId="9" fontId="2" fillId="5" borderId="0" xfId="2" applyFont="1" applyFill="1" applyBorder="1" applyAlignment="1">
      <alignment horizontal="center"/>
    </xf>
    <xf numFmtId="0" fontId="2" fillId="5" borderId="0" xfId="0" applyFont="1" applyFill="1" applyBorder="1" applyAlignment="1">
      <alignment wrapText="1"/>
    </xf>
    <xf numFmtId="0" fontId="4" fillId="0" borderId="0" xfId="0" applyFont="1" applyFill="1"/>
    <xf numFmtId="0" fontId="17" fillId="3" borderId="4" xfId="0" applyFont="1" applyFill="1" applyBorder="1" applyAlignment="1">
      <alignment vertical="center" wrapText="1"/>
    </xf>
    <xf numFmtId="0" fontId="17" fillId="3" borderId="5" xfId="0" applyFont="1" applyFill="1" applyBorder="1" applyAlignment="1">
      <alignment vertical="center" wrapText="1"/>
    </xf>
    <xf numFmtId="0" fontId="19" fillId="0" borderId="0" xfId="3"/>
    <xf numFmtId="0" fontId="20" fillId="7" borderId="7" xfId="0" applyFont="1" applyFill="1" applyBorder="1" applyAlignment="1">
      <alignment vertical="center" wrapText="1"/>
    </xf>
    <xf numFmtId="0" fontId="18" fillId="7" borderId="8" xfId="0" applyFont="1" applyFill="1" applyBorder="1" applyAlignment="1">
      <alignment vertical="center" wrapText="1"/>
    </xf>
    <xf numFmtId="0" fontId="20" fillId="8" borderId="7" xfId="0" applyFont="1" applyFill="1" applyBorder="1" applyAlignment="1">
      <alignment vertical="center" wrapText="1"/>
    </xf>
    <xf numFmtId="0" fontId="18" fillId="8" borderId="8" xfId="0" applyFont="1" applyFill="1" applyBorder="1" applyAlignment="1">
      <alignment horizontal="left" vertical="center" wrapText="1"/>
    </xf>
    <xf numFmtId="0" fontId="22" fillId="8" borderId="8" xfId="3" applyFont="1" applyFill="1" applyBorder="1" applyAlignment="1">
      <alignment horizontal="left" vertical="center" wrapText="1"/>
    </xf>
    <xf numFmtId="0" fontId="23" fillId="9" borderId="9" xfId="0" applyFont="1" applyFill="1" applyBorder="1" applyAlignment="1">
      <alignment vertical="center" wrapText="1"/>
    </xf>
    <xf numFmtId="0" fontId="24" fillId="9" borderId="10" xfId="3" applyFont="1" applyFill="1" applyBorder="1" applyAlignment="1">
      <alignment horizontal="left" vertical="center" wrapText="1"/>
    </xf>
    <xf numFmtId="164" fontId="2" fillId="0" borderId="0" xfId="1" applyNumberFormat="1" applyFont="1" applyFill="1"/>
    <xf numFmtId="0" fontId="14" fillId="5" borderId="0" xfId="0" applyFont="1" applyFill="1"/>
    <xf numFmtId="0" fontId="11" fillId="0" borderId="0" xfId="0" quotePrefix="1" applyFont="1" applyFill="1"/>
    <xf numFmtId="0" fontId="6" fillId="0" borderId="0" xfId="0" applyFont="1"/>
    <xf numFmtId="166" fontId="4" fillId="5" borderId="0" xfId="0" applyNumberFormat="1" applyFont="1" applyFill="1"/>
    <xf numFmtId="0" fontId="25" fillId="5" borderId="0" xfId="0" applyFont="1" applyFill="1"/>
    <xf numFmtId="9" fontId="11" fillId="5" borderId="0" xfId="2" quotePrefix="1" applyFont="1" applyFill="1" applyBorder="1" applyAlignment="1">
      <alignment horizontal="left" vertical="top"/>
    </xf>
    <xf numFmtId="49" fontId="26" fillId="10" borderId="1" xfId="0" applyNumberFormat="1" applyFont="1" applyFill="1" applyBorder="1" applyAlignment="1" applyProtection="1">
      <alignment horizontal="left" vertical="top" wrapText="1"/>
    </xf>
    <xf numFmtId="0" fontId="26" fillId="10" borderId="1" xfId="0" applyFont="1" applyFill="1" applyBorder="1" applyAlignment="1" applyProtection="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xf>
    <xf numFmtId="0" fontId="8" fillId="0" borderId="1" xfId="0" applyFont="1" applyBorder="1" applyAlignment="1">
      <alignment horizontal="left" vertical="top"/>
    </xf>
    <xf numFmtId="0" fontId="2" fillId="0" borderId="1" xfId="0" applyFont="1" applyFill="1" applyBorder="1"/>
    <xf numFmtId="3" fontId="2" fillId="0" borderId="1" xfId="0" applyNumberFormat="1" applyFont="1" applyFill="1" applyBorder="1" applyAlignment="1">
      <alignment horizontal="left" vertical="top"/>
    </xf>
    <xf numFmtId="0" fontId="2" fillId="0" borderId="1" xfId="0" applyFont="1" applyFill="1" applyBorder="1" applyAlignment="1">
      <alignment horizontal="left" vertical="top"/>
    </xf>
    <xf numFmtId="0" fontId="2" fillId="0" borderId="1" xfId="0" applyFont="1" applyFill="1" applyBorder="1" applyAlignment="1">
      <alignment vertical="top"/>
    </xf>
    <xf numFmtId="0" fontId="2" fillId="0" borderId="0" xfId="0" quotePrefix="1" applyFont="1" applyFill="1" applyAlignment="1">
      <alignment vertical="center"/>
    </xf>
    <xf numFmtId="0" fontId="2" fillId="0" borderId="0" xfId="0" applyFont="1" applyFill="1" applyAlignment="1">
      <alignment vertical="center"/>
    </xf>
    <xf numFmtId="0" fontId="2" fillId="0" borderId="13" xfId="0" applyFont="1" applyFill="1" applyBorder="1" applyAlignment="1">
      <alignment vertical="top"/>
    </xf>
    <xf numFmtId="0" fontId="2" fillId="0" borderId="14" xfId="0" applyFont="1" applyFill="1" applyBorder="1" applyAlignment="1">
      <alignment vertical="top"/>
    </xf>
    <xf numFmtId="0" fontId="2" fillId="0" borderId="1" xfId="0" applyNumberFormat="1" applyFont="1" applyBorder="1" applyAlignment="1">
      <alignment horizontal="left"/>
    </xf>
    <xf numFmtId="0" fontId="2" fillId="0" borderId="0" xfId="0" applyFont="1" applyAlignment="1">
      <alignment horizontal="left" vertical="top"/>
    </xf>
    <xf numFmtId="0" fontId="2" fillId="0" borderId="1" xfId="0" applyNumberFormat="1" applyFont="1" applyBorder="1" applyAlignment="1">
      <alignment vertical="top"/>
    </xf>
    <xf numFmtId="0" fontId="2" fillId="0" borderId="0" xfId="0" applyFont="1" applyFill="1" applyAlignment="1">
      <alignmen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2" fillId="0" borderId="1" xfId="0" applyFont="1" applyBorder="1" applyAlignment="1">
      <alignment horizontal="left" vertical="top" wrapText="1"/>
    </xf>
    <xf numFmtId="0" fontId="2" fillId="0" borderId="1" xfId="4" applyFont="1" applyBorder="1" applyAlignment="1">
      <alignment vertical="top"/>
    </xf>
    <xf numFmtId="0" fontId="2" fillId="0" borderId="1" xfId="4" applyFont="1" applyBorder="1" applyAlignment="1">
      <alignment horizontal="left" vertical="top"/>
    </xf>
    <xf numFmtId="0" fontId="2" fillId="0" borderId="1" xfId="4" applyFont="1" applyFill="1" applyBorder="1" applyAlignment="1">
      <alignment horizontal="left" vertical="top"/>
    </xf>
    <xf numFmtId="0" fontId="2" fillId="0" borderId="0" xfId="4" applyFont="1" applyFill="1" applyAlignment="1">
      <alignment horizontal="left" vertical="top"/>
    </xf>
    <xf numFmtId="0" fontId="2" fillId="0" borderId="0" xfId="0" applyFont="1" applyFill="1" applyAlignment="1">
      <alignment horizontal="left" vertical="top"/>
    </xf>
    <xf numFmtId="0" fontId="2" fillId="0" borderId="15" xfId="0" applyFont="1" applyFill="1" applyBorder="1" applyAlignment="1">
      <alignment vertical="top"/>
    </xf>
    <xf numFmtId="0" fontId="2" fillId="0" borderId="15" xfId="0" applyFont="1" applyFill="1" applyBorder="1" applyAlignment="1">
      <alignment horizontal="left" vertical="top"/>
    </xf>
    <xf numFmtId="0" fontId="2" fillId="0" borderId="1" xfId="0" applyNumberFormat="1" applyFont="1" applyBorder="1" applyAlignment="1">
      <alignment horizontal="left" vertical="top"/>
    </xf>
    <xf numFmtId="0" fontId="2" fillId="0" borderId="16" xfId="0" quotePrefix="1" applyFont="1" applyFill="1" applyBorder="1"/>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8" fillId="7" borderId="6" xfId="0" applyFont="1" applyFill="1" applyBorder="1" applyAlignment="1">
      <alignment horizontal="left" vertical="top" wrapText="1"/>
    </xf>
    <xf numFmtId="0" fontId="18" fillId="7" borderId="5" xfId="0" applyFont="1" applyFill="1" applyBorder="1" applyAlignment="1">
      <alignment horizontal="left" vertical="top" wrapText="1"/>
    </xf>
    <xf numFmtId="49" fontId="26" fillId="11" borderId="11" xfId="0" applyNumberFormat="1" applyFont="1" applyFill="1" applyBorder="1" applyAlignment="1" applyProtection="1">
      <alignment horizontal="left" vertical="top" wrapText="1"/>
    </xf>
    <xf numFmtId="49" fontId="26" fillId="11" borderId="12" xfId="0" applyNumberFormat="1" applyFont="1" applyFill="1" applyBorder="1" applyAlignment="1" applyProtection="1">
      <alignment horizontal="left" vertical="top" wrapText="1"/>
    </xf>
    <xf numFmtId="49" fontId="26" fillId="11" borderId="13" xfId="0" applyNumberFormat="1" applyFont="1" applyFill="1" applyBorder="1" applyAlignment="1" applyProtection="1">
      <alignment horizontal="left" vertical="top" wrapText="1"/>
    </xf>
    <xf numFmtId="0" fontId="7" fillId="5" borderId="0" xfId="0" applyFont="1" applyFill="1" applyAlignment="1">
      <alignment horizontal="left" vertical="top" wrapText="1"/>
    </xf>
    <xf numFmtId="0" fontId="12" fillId="5" borderId="0" xfId="0" applyFont="1" applyFill="1" applyAlignment="1">
      <alignment horizontal="left" vertical="top" wrapText="1"/>
    </xf>
  </cellXfs>
  <cellStyles count="5">
    <cellStyle name="Comma" xfId="1" builtinId="3"/>
    <cellStyle name="Hyperlink" xfId="3" builtinId="8"/>
    <cellStyle name="Normal" xfId="0" builtinId="0"/>
    <cellStyle name="Normal 2" xfId="4"/>
    <cellStyle name="Percent"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82122"/>
      <color rgb="FFDDD7C3"/>
      <color rgb="FF837E6F"/>
      <color rgb="FFFFFF66"/>
      <color rgb="FFFFFFCC"/>
      <color rgb="FF008080"/>
      <color rgb="FFD1D3D4"/>
      <color rgb="FF2958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impact-initiatives.org/what-we-do/publications/?pcountry=central-african-republic&amp;dates=Date&amp;ptype=&amp;initiative=agor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82122"/>
  </sheetPr>
  <dimension ref="A1:C11"/>
  <sheetViews>
    <sheetView tabSelected="1" workbookViewId="0">
      <selection activeCell="B8" sqref="B8"/>
    </sheetView>
  </sheetViews>
  <sheetFormatPr defaultRowHeight="14.5" x14ac:dyDescent="0.35"/>
  <cols>
    <col min="1" max="1" width="55" customWidth="1"/>
    <col min="2" max="2" width="106.6328125" customWidth="1"/>
  </cols>
  <sheetData>
    <row r="1" spans="1:3" ht="15" thickBot="1" x14ac:dyDescent="0.4">
      <c r="A1" s="168" t="s">
        <v>2827</v>
      </c>
      <c r="B1" s="169"/>
    </row>
    <row r="2" spans="1:3" ht="15" thickBot="1" x14ac:dyDescent="0.4">
      <c r="A2" s="122" t="s">
        <v>2060</v>
      </c>
      <c r="B2" s="123"/>
    </row>
    <row r="3" spans="1:3" ht="65" customHeight="1" thickBot="1" x14ac:dyDescent="0.4">
      <c r="A3" s="170" t="s">
        <v>2681</v>
      </c>
      <c r="B3" s="171"/>
      <c r="C3" s="124"/>
    </row>
    <row r="4" spans="1:3" ht="15" thickBot="1" x14ac:dyDescent="0.4">
      <c r="A4" s="122" t="s">
        <v>2061</v>
      </c>
      <c r="B4" s="123" t="s">
        <v>2062</v>
      </c>
    </row>
    <row r="5" spans="1:3" ht="26.5" thickBot="1" x14ac:dyDescent="0.4">
      <c r="A5" s="125" t="s">
        <v>2063</v>
      </c>
      <c r="B5" s="126" t="s">
        <v>2828</v>
      </c>
    </row>
    <row r="6" spans="1:3" ht="15" thickBot="1" x14ac:dyDescent="0.4">
      <c r="A6" s="127" t="s">
        <v>2064</v>
      </c>
      <c r="B6" s="128" t="s">
        <v>2680</v>
      </c>
    </row>
    <row r="7" spans="1:3" ht="52.5" thickBot="1" x14ac:dyDescent="0.4">
      <c r="A7" s="127" t="s">
        <v>2065</v>
      </c>
      <c r="B7" s="128" t="s">
        <v>2831</v>
      </c>
    </row>
    <row r="8" spans="1:3" ht="65.5" thickBot="1" x14ac:dyDescent="0.4">
      <c r="A8" s="127" t="s">
        <v>2066</v>
      </c>
      <c r="B8" s="128" t="s">
        <v>2067</v>
      </c>
    </row>
    <row r="9" spans="1:3" ht="286.5" thickBot="1" x14ac:dyDescent="0.4">
      <c r="A9" s="127" t="s">
        <v>2068</v>
      </c>
      <c r="B9" s="128" t="s">
        <v>2073</v>
      </c>
    </row>
    <row r="10" spans="1:3" ht="15" thickBot="1" x14ac:dyDescent="0.4">
      <c r="A10" s="127" t="s">
        <v>2069</v>
      </c>
      <c r="B10" s="129" t="s">
        <v>2070</v>
      </c>
    </row>
    <row r="11" spans="1:3" ht="15" thickBot="1" x14ac:dyDescent="0.4">
      <c r="A11" s="130" t="s">
        <v>2071</v>
      </c>
      <c r="B11" s="131" t="s">
        <v>2072</v>
      </c>
    </row>
  </sheetData>
  <mergeCells count="2">
    <mergeCell ref="A1:B1"/>
    <mergeCell ref="A3:B3"/>
  </mergeCells>
  <hyperlinks>
    <hyperlink ref="B10"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2:Z304"/>
  <sheetViews>
    <sheetView zoomScale="80" zoomScaleNormal="80" workbookViewId="0">
      <selection activeCell="I105" sqref="I105"/>
    </sheetView>
  </sheetViews>
  <sheetFormatPr defaultColWidth="8.81640625" defaultRowHeight="14" x14ac:dyDescent="0.3"/>
  <cols>
    <col min="1" max="1" width="10.6328125" style="9" customWidth="1"/>
    <col min="2" max="2" width="16.453125" style="9" customWidth="1"/>
    <col min="3" max="3" width="12.90625" style="9" customWidth="1"/>
    <col min="4" max="4" width="12.36328125" style="9" customWidth="1"/>
    <col min="5" max="5" width="12.6328125" style="9" customWidth="1"/>
    <col min="6" max="7" width="13.81640625" style="9" customWidth="1"/>
    <col min="8" max="8" width="18.90625" style="9" customWidth="1"/>
    <col min="9" max="9" width="11.7265625" style="9" customWidth="1"/>
    <col min="10" max="10" width="12.453125" style="9" customWidth="1"/>
    <col min="11" max="11" width="12.36328125" style="9" customWidth="1"/>
    <col min="12" max="12" width="15" style="9" customWidth="1"/>
    <col min="13" max="16384" width="8.81640625" style="9"/>
  </cols>
  <sheetData>
    <row r="2" spans="1:13" ht="15.5" x14ac:dyDescent="0.35">
      <c r="A2" s="8" t="s">
        <v>1284</v>
      </c>
    </row>
    <row r="3" spans="1:13" ht="15.5" x14ac:dyDescent="0.35">
      <c r="A3" s="28" t="s">
        <v>1395</v>
      </c>
      <c r="B3" s="81"/>
      <c r="C3" s="82" t="str">
        <f>IF(COUNTIF('OBO_Cleaned Data'!OK:OK,"hopital_district")=1,"OUI","NON")</f>
        <v>OUI</v>
      </c>
    </row>
    <row r="4" spans="1:13" ht="34" customHeight="1" x14ac:dyDescent="0.3">
      <c r="A4" s="176" t="s">
        <v>2046</v>
      </c>
      <c r="B4" s="176"/>
      <c r="C4" s="72">
        <f>COUNTIFS('OBO_Cleaned Data'!N:N,"sante",'OBO_Cleaned Data'!J:J,"obo")</f>
        <v>2</v>
      </c>
    </row>
    <row r="6" spans="1:13" ht="15.5" x14ac:dyDescent="0.35">
      <c r="A6" s="8" t="s">
        <v>1275</v>
      </c>
    </row>
    <row r="7" spans="1:13" ht="15.5" x14ac:dyDescent="0.35">
      <c r="A7" s="28" t="s">
        <v>2024</v>
      </c>
    </row>
    <row r="8" spans="1:13" ht="42" x14ac:dyDescent="0.3">
      <c r="A8" s="3"/>
      <c r="B8" s="7" t="s">
        <v>1201</v>
      </c>
      <c r="C8" s="7" t="s">
        <v>1200</v>
      </c>
      <c r="D8" s="7" t="s">
        <v>1398</v>
      </c>
      <c r="E8" s="115" t="s">
        <v>2025</v>
      </c>
    </row>
    <row r="9" spans="1:13" x14ac:dyDescent="0.3">
      <c r="A9" s="3" t="s">
        <v>1198</v>
      </c>
      <c r="B9" s="23">
        <f>COUNTIF('OBO_Cleaned Data'!ON:ON,"oui")</f>
        <v>2</v>
      </c>
      <c r="C9" s="23">
        <f>COUNTIF('OBO_Cleaned Data'!ON:ON,"non")</f>
        <v>0</v>
      </c>
      <c r="D9" s="23">
        <f>COUNTIF('OBO_Cleaned Data'!ON:ON,"partiel")</f>
        <v>0</v>
      </c>
      <c r="E9" s="51">
        <f>SUM(B9+D9)</f>
        <v>2</v>
      </c>
    </row>
    <row r="10" spans="1:13" ht="37.5" x14ac:dyDescent="0.3">
      <c r="A10" s="52" t="s">
        <v>2021</v>
      </c>
      <c r="B10" s="6">
        <f>(B9/$C$4)</f>
        <v>1</v>
      </c>
      <c r="C10" s="6">
        <f>(C9/$C$4)</f>
        <v>0</v>
      </c>
      <c r="D10" s="6">
        <f>(D9/$C$4)</f>
        <v>0</v>
      </c>
      <c r="E10" s="105">
        <f>SUM(B10+D10)</f>
        <v>1</v>
      </c>
    </row>
    <row r="11" spans="1:13" x14ac:dyDescent="0.3">
      <c r="A11" s="13"/>
      <c r="B11" s="14"/>
      <c r="C11" s="14"/>
      <c r="D11" s="14"/>
    </row>
    <row r="12" spans="1:13" x14ac:dyDescent="0.3">
      <c r="B12" s="17" t="s">
        <v>1753</v>
      </c>
      <c r="D12" s="95" t="s">
        <v>1994</v>
      </c>
    </row>
    <row r="13" spans="1:13" s="35" customFormat="1" ht="77.5" customHeight="1" x14ac:dyDescent="0.3">
      <c r="B13" s="3"/>
      <c r="C13" s="11" t="s">
        <v>1821</v>
      </c>
      <c r="D13" s="11" t="s">
        <v>1739</v>
      </c>
      <c r="E13" s="11" t="s">
        <v>1822</v>
      </c>
      <c r="F13" s="11" t="s">
        <v>1740</v>
      </c>
      <c r="G13" s="11" t="s">
        <v>1741</v>
      </c>
      <c r="H13" s="11" t="s">
        <v>1823</v>
      </c>
      <c r="I13" s="11" t="s">
        <v>1824</v>
      </c>
      <c r="J13" s="11" t="s">
        <v>1743</v>
      </c>
      <c r="K13" s="11" t="s">
        <v>1744</v>
      </c>
      <c r="L13" s="11" t="s">
        <v>1706</v>
      </c>
      <c r="M13" s="11" t="s">
        <v>1211</v>
      </c>
    </row>
    <row r="14" spans="1:13" x14ac:dyDescent="0.3">
      <c r="B14" s="3" t="s">
        <v>1198</v>
      </c>
      <c r="C14" s="3">
        <f>COUNTIF('OBO_Cleaned Data'!OS:OS,"1")</f>
        <v>0</v>
      </c>
      <c r="D14" s="3">
        <f>COUNTIF('OBO_Cleaned Data'!OT:OT,"1")</f>
        <v>0</v>
      </c>
      <c r="E14" s="3">
        <f>COUNTIF('OBO_Cleaned Data'!PE:PE,"1")</f>
        <v>0</v>
      </c>
      <c r="F14" s="3">
        <f>COUNTIF('OBO_Cleaned Data'!PF:PF,"1")</f>
        <v>0</v>
      </c>
      <c r="G14" s="3">
        <f>COUNTIF('OBO_Cleaned Data'!PG:PG,"1")</f>
        <v>0</v>
      </c>
      <c r="H14" s="3">
        <f>COUNTIF('OBO_Cleaned Data'!OW:OW,"1")</f>
        <v>0</v>
      </c>
      <c r="I14" s="3">
        <f>COUNTIF('OBO_Cleaned Data'!PH:PH,"1")</f>
        <v>0</v>
      </c>
      <c r="J14" s="3">
        <f>COUNTIF('OBO_Cleaned Data'!PB:PB,"1")</f>
        <v>0</v>
      </c>
      <c r="K14" s="3">
        <f>COUNTIF('OBO_Cleaned Data'!PI:PI,"1")</f>
        <v>0</v>
      </c>
      <c r="L14" s="3">
        <f>COUNTIF('OBO_Cleaned Data'!PC:PC,"1")</f>
        <v>0</v>
      </c>
      <c r="M14" s="3">
        <f>COUNTIF('OBO_Cleaned Data'!PD:PD,"1")</f>
        <v>0</v>
      </c>
    </row>
    <row r="15" spans="1:13" ht="37.5" x14ac:dyDescent="0.3">
      <c r="B15" s="52" t="s">
        <v>2022</v>
      </c>
      <c r="C15" s="6" t="e">
        <f>C14/$C$9</f>
        <v>#DIV/0!</v>
      </c>
      <c r="D15" s="6" t="e">
        <f t="shared" ref="D15:M15" si="0">D14/$C$9</f>
        <v>#DIV/0!</v>
      </c>
      <c r="E15" s="6" t="e">
        <f t="shared" si="0"/>
        <v>#DIV/0!</v>
      </c>
      <c r="F15" s="6" t="e">
        <f t="shared" si="0"/>
        <v>#DIV/0!</v>
      </c>
      <c r="G15" s="6" t="e">
        <f t="shared" si="0"/>
        <v>#DIV/0!</v>
      </c>
      <c r="H15" s="6" t="e">
        <f t="shared" si="0"/>
        <v>#DIV/0!</v>
      </c>
      <c r="I15" s="6" t="e">
        <f t="shared" si="0"/>
        <v>#DIV/0!</v>
      </c>
      <c r="J15" s="6" t="e">
        <f t="shared" si="0"/>
        <v>#DIV/0!</v>
      </c>
      <c r="K15" s="6" t="e">
        <f t="shared" si="0"/>
        <v>#DIV/0!</v>
      </c>
      <c r="L15" s="6" t="e">
        <f t="shared" si="0"/>
        <v>#DIV/0!</v>
      </c>
      <c r="M15" s="6" t="e">
        <f t="shared" si="0"/>
        <v>#DIV/0!</v>
      </c>
    </row>
    <row r="17" spans="1:26" s="1" customFormat="1" x14ac:dyDescent="0.3">
      <c r="A17" s="9"/>
      <c r="B17" s="16" t="s">
        <v>1752</v>
      </c>
      <c r="C17" s="13"/>
      <c r="D17" s="9"/>
      <c r="E17" s="9"/>
      <c r="F17" s="9"/>
      <c r="G17" s="9"/>
      <c r="I17" s="9"/>
      <c r="J17" s="9"/>
      <c r="K17" s="73"/>
      <c r="L17" s="9"/>
      <c r="M17" s="9"/>
      <c r="N17" s="9"/>
      <c r="O17" s="9"/>
      <c r="P17" s="9"/>
      <c r="Q17" s="9"/>
      <c r="R17" s="9"/>
      <c r="S17" s="9"/>
      <c r="T17" s="9"/>
      <c r="U17" s="9"/>
      <c r="V17" s="9"/>
      <c r="W17" s="9"/>
      <c r="X17" s="9"/>
      <c r="Y17" s="9"/>
      <c r="Z17" s="9"/>
    </row>
    <row r="18" spans="1:26" s="1" customFormat="1" ht="28" x14ac:dyDescent="0.3">
      <c r="A18" s="9"/>
      <c r="B18" s="3"/>
      <c r="C18" s="11" t="s">
        <v>1663</v>
      </c>
      <c r="D18" s="11" t="s">
        <v>1664</v>
      </c>
      <c r="E18" s="11" t="s">
        <v>1665</v>
      </c>
      <c r="F18" s="11" t="s">
        <v>1666</v>
      </c>
      <c r="G18" s="11" t="s">
        <v>1706</v>
      </c>
      <c r="H18" s="102" t="s">
        <v>1197</v>
      </c>
      <c r="I18" s="9"/>
      <c r="J18" s="9"/>
      <c r="K18" s="9"/>
      <c r="L18" s="9"/>
      <c r="M18" s="9"/>
      <c r="N18" s="9"/>
      <c r="O18" s="9"/>
      <c r="P18" s="9"/>
      <c r="Q18" s="9"/>
      <c r="R18" s="9"/>
      <c r="S18" s="9"/>
      <c r="T18" s="9"/>
      <c r="U18" s="9"/>
      <c r="V18" s="9"/>
      <c r="W18" s="9"/>
      <c r="X18" s="9"/>
      <c r="Y18" s="9"/>
      <c r="Z18" s="9"/>
    </row>
    <row r="19" spans="1:26" s="1" customFormat="1" ht="14.5" customHeight="1" x14ac:dyDescent="0.3">
      <c r="A19" s="9"/>
      <c r="B19" s="3" t="s">
        <v>1198</v>
      </c>
      <c r="C19" s="3">
        <f>COUNTIF('OBO_Cleaned Data'!PK:PK,"moins_six_mois")</f>
        <v>0</v>
      </c>
      <c r="D19" s="3">
        <f>COUNTIF('OBO_Cleaned Data'!PK:PK,"six_mois_un_an ")</f>
        <v>0</v>
      </c>
      <c r="E19" s="3">
        <f>COUNTIF('OBO_Cleaned Data'!PK:PK,"un_an_trois_ans")</f>
        <v>0</v>
      </c>
      <c r="F19" s="3">
        <f>COUNTIF('OBO_Cleaned Data'!PK:PK,"plus_trois_ans")</f>
        <v>0</v>
      </c>
      <c r="G19" s="3">
        <f>COUNTIF('OBO_Cleaned Data'!PK:PK,"nsp")</f>
        <v>0</v>
      </c>
      <c r="H19" s="103">
        <f>SUM(C19:G19)</f>
        <v>0</v>
      </c>
      <c r="I19" s="9"/>
      <c r="J19" s="9"/>
      <c r="K19" s="73" t="s">
        <v>2679</v>
      </c>
      <c r="L19" s="9"/>
      <c r="M19" s="9"/>
      <c r="N19" s="9"/>
      <c r="O19" s="9"/>
      <c r="P19" s="9"/>
      <c r="Q19" s="9"/>
      <c r="R19" s="9"/>
      <c r="S19" s="9"/>
      <c r="T19" s="9"/>
      <c r="U19" s="9"/>
      <c r="V19" s="9"/>
      <c r="W19" s="9"/>
      <c r="X19" s="9"/>
      <c r="Y19" s="9"/>
      <c r="Z19" s="9"/>
    </row>
    <row r="20" spans="1:26" ht="37.5" x14ac:dyDescent="0.3">
      <c r="B20" s="52" t="s">
        <v>2022</v>
      </c>
      <c r="C20" s="6" t="e">
        <f>C19/$C$23</f>
        <v>#VALUE!</v>
      </c>
      <c r="D20" s="6" t="e">
        <f>D19/$C$23</f>
        <v>#VALUE!</v>
      </c>
      <c r="E20" s="6" t="e">
        <f>E19/$C$23</f>
        <v>#VALUE!</v>
      </c>
      <c r="F20" s="6" t="e">
        <f>F19/$C$23</f>
        <v>#VALUE!</v>
      </c>
      <c r="G20" s="6" t="e">
        <f>G19/$C$23</f>
        <v>#VALUE!</v>
      </c>
      <c r="H20" s="107" t="e">
        <f>SUM(C20:G20)</f>
        <v>#VALUE!</v>
      </c>
    </row>
    <row r="21" spans="1:26" x14ac:dyDescent="0.3">
      <c r="A21" s="13"/>
      <c r="B21" s="14"/>
      <c r="C21" s="14"/>
      <c r="D21" s="14"/>
      <c r="E21" s="25"/>
    </row>
    <row r="22" spans="1:26" x14ac:dyDescent="0.3">
      <c r="B22" s="17" t="s">
        <v>1754</v>
      </c>
      <c r="E22" s="95" t="s">
        <v>1994</v>
      </c>
    </row>
    <row r="23" spans="1:26" ht="77.5" customHeight="1" x14ac:dyDescent="0.3">
      <c r="B23" s="23"/>
      <c r="C23" s="11" t="s">
        <v>1745</v>
      </c>
      <c r="D23" s="11" t="s">
        <v>1825</v>
      </c>
      <c r="E23" s="11" t="s">
        <v>1826</v>
      </c>
      <c r="F23" s="11" t="s">
        <v>1827</v>
      </c>
      <c r="G23" s="11" t="s">
        <v>1828</v>
      </c>
      <c r="H23" s="11" t="s">
        <v>1829</v>
      </c>
      <c r="I23" s="11" t="s">
        <v>1830</v>
      </c>
      <c r="J23" s="11" t="s">
        <v>1831</v>
      </c>
      <c r="K23" s="11" t="s">
        <v>1706</v>
      </c>
      <c r="L23" s="11" t="s">
        <v>1211</v>
      </c>
    </row>
    <row r="24" spans="1:26" x14ac:dyDescent="0.3">
      <c r="B24" s="23" t="s">
        <v>1198</v>
      </c>
      <c r="C24" s="23">
        <f>COUNTIF('OBO_Cleaned Data'!OO:OO,"infra_endommagee")</f>
        <v>0</v>
      </c>
      <c r="D24" s="23">
        <f>COUNTIF('OBO_Cleaned Data'!OO:OO,"manque_mobilier")</f>
        <v>0</v>
      </c>
      <c r="E24" s="23">
        <f>COUNTIF('OBO_Cleaned Data'!OO:OO,"faibles_capacites_accueil")</f>
        <v>0</v>
      </c>
      <c r="F24" s="23">
        <f>COUNTIF('OBO_Cleaned Data'!OO:OO,"pbs_appro_eau_elec")</f>
        <v>0</v>
      </c>
      <c r="G24" s="23">
        <f>COUNTIF('OBO_Cleaned Data'!OO:OO,"pbs_fin_fonctionnement ")</f>
        <v>0</v>
      </c>
      <c r="H24" s="23">
        <f>COUNTIF('OBO_Cleaned Data'!OO:OO,"pbs_fin_fonctionnement_maintenance")</f>
        <v>0</v>
      </c>
      <c r="I24" s="23">
        <f>COUNTIF('OBO_Cleaned Data'!OO:OO,"pbs_appro_medicaments")</f>
        <v>0</v>
      </c>
      <c r="J24" s="23">
        <f>COUNTIF('OBO_Cleaned Data'!OO:OO,"pbs_personnels_qualifies")</f>
        <v>0</v>
      </c>
      <c r="K24" s="23">
        <f>COUNTIF('OBO_Cleaned Data'!OO:OO,"nsp")</f>
        <v>0</v>
      </c>
      <c r="L24" s="23">
        <f>COUNTIF('OBO_Cleaned Data'!OO:OO,"autre")</f>
        <v>0</v>
      </c>
    </row>
    <row r="25" spans="1:26" x14ac:dyDescent="0.3">
      <c r="B25" s="23" t="s">
        <v>1199</v>
      </c>
      <c r="C25" s="38" t="e">
        <f>C24/$D$23</f>
        <v>#VALUE!</v>
      </c>
      <c r="D25" s="38" t="e">
        <f t="shared" ref="D25:L25" si="1">D24/$D$23</f>
        <v>#VALUE!</v>
      </c>
      <c r="E25" s="38" t="e">
        <f t="shared" si="1"/>
        <v>#VALUE!</v>
      </c>
      <c r="F25" s="38" t="e">
        <f t="shared" si="1"/>
        <v>#VALUE!</v>
      </c>
      <c r="G25" s="38" t="e">
        <f t="shared" si="1"/>
        <v>#VALUE!</v>
      </c>
      <c r="H25" s="38" t="e">
        <f t="shared" si="1"/>
        <v>#VALUE!</v>
      </c>
      <c r="I25" s="38" t="e">
        <f t="shared" si="1"/>
        <v>#VALUE!</v>
      </c>
      <c r="J25" s="38" t="e">
        <f t="shared" si="1"/>
        <v>#VALUE!</v>
      </c>
      <c r="K25" s="38" t="e">
        <f t="shared" si="1"/>
        <v>#VALUE!</v>
      </c>
      <c r="L25" s="38" t="e">
        <f t="shared" si="1"/>
        <v>#VALUE!</v>
      </c>
    </row>
    <row r="26" spans="1:26" x14ac:dyDescent="0.3">
      <c r="B26" s="13"/>
    </row>
    <row r="27" spans="1:26" s="1" customFormat="1" x14ac:dyDescent="0.3">
      <c r="A27" s="9"/>
      <c r="B27" s="16" t="s">
        <v>1751</v>
      </c>
      <c r="D27" s="13"/>
      <c r="E27" s="9"/>
      <c r="F27" s="9"/>
      <c r="G27" s="9"/>
      <c r="H27" s="9"/>
      <c r="I27" s="9"/>
      <c r="J27" s="9"/>
      <c r="K27" s="9"/>
      <c r="L27" s="9"/>
      <c r="M27" s="9"/>
      <c r="N27" s="9"/>
      <c r="O27" s="9"/>
      <c r="P27" s="9"/>
      <c r="Q27" s="9"/>
      <c r="R27" s="9"/>
      <c r="S27" s="9"/>
      <c r="T27" s="9"/>
      <c r="U27" s="9"/>
      <c r="V27" s="9"/>
      <c r="W27" s="9"/>
      <c r="X27" s="9"/>
      <c r="Y27" s="9"/>
      <c r="Z27" s="9"/>
    </row>
    <row r="28" spans="1:26" s="1" customFormat="1" ht="28" x14ac:dyDescent="0.3">
      <c r="A28" s="9"/>
      <c r="B28" s="3"/>
      <c r="C28" s="11" t="s">
        <v>1663</v>
      </c>
      <c r="D28" s="11" t="s">
        <v>1664</v>
      </c>
      <c r="E28" s="11" t="s">
        <v>1665</v>
      </c>
      <c r="F28" s="11" t="s">
        <v>1666</v>
      </c>
      <c r="G28" s="11" t="s">
        <v>1706</v>
      </c>
      <c r="H28" s="102" t="s">
        <v>1197</v>
      </c>
      <c r="I28" s="9"/>
      <c r="J28" s="9"/>
      <c r="K28" s="9"/>
      <c r="L28" s="9"/>
      <c r="M28" s="9"/>
      <c r="N28" s="9"/>
      <c r="O28" s="9"/>
      <c r="P28" s="9"/>
      <c r="Q28" s="9"/>
      <c r="R28" s="9"/>
      <c r="S28" s="9"/>
      <c r="T28" s="9"/>
      <c r="U28" s="9"/>
      <c r="V28" s="9"/>
      <c r="W28" s="9"/>
      <c r="X28" s="9"/>
      <c r="Y28" s="9"/>
      <c r="Z28" s="9"/>
    </row>
    <row r="29" spans="1:26" s="1" customFormat="1" x14ac:dyDescent="0.3">
      <c r="A29" s="9"/>
      <c r="B29" s="3" t="s">
        <v>1198</v>
      </c>
      <c r="C29" s="3">
        <f>COUNTIF('OBO_Cleaned Data'!OQ:OQ,"moins_six_mois")</f>
        <v>0</v>
      </c>
      <c r="D29" s="3">
        <f>COUNTIF('OBO_Cleaned Data'!OQ:OQ,"six_mois_un_an ")</f>
        <v>0</v>
      </c>
      <c r="E29" s="3">
        <f>COUNTIF('OBO_Cleaned Data'!OQ:OQ,"un_an_trois_ans")</f>
        <v>0</v>
      </c>
      <c r="F29" s="3">
        <f>COUNTIF('OBO_Cleaned Data'!OQ:OQ,"plus_trois_ans")</f>
        <v>0</v>
      </c>
      <c r="G29" s="3">
        <f>COUNTIF('OBO_Cleaned Data'!OQ:OQ,"nsp")</f>
        <v>0</v>
      </c>
      <c r="H29" s="103">
        <f>SUM(C29:G29)</f>
        <v>0</v>
      </c>
      <c r="I29" s="9"/>
      <c r="J29" s="9"/>
      <c r="K29" s="9"/>
      <c r="L29" s="9"/>
      <c r="M29" s="9"/>
      <c r="N29" s="9"/>
      <c r="O29" s="9"/>
      <c r="P29" s="9"/>
      <c r="Q29" s="9"/>
      <c r="R29" s="9"/>
      <c r="S29" s="9"/>
      <c r="T29" s="9"/>
      <c r="U29" s="9"/>
      <c r="V29" s="9"/>
      <c r="W29" s="9"/>
      <c r="X29" s="9"/>
      <c r="Y29" s="9"/>
      <c r="Z29" s="9"/>
    </row>
    <row r="30" spans="1:26" s="1" customFormat="1" ht="14.5" customHeight="1" x14ac:dyDescent="0.3">
      <c r="A30" s="9"/>
      <c r="B30" s="3" t="s">
        <v>1199</v>
      </c>
      <c r="C30" s="6" t="e">
        <f>C29/$D$9</f>
        <v>#DIV/0!</v>
      </c>
      <c r="D30" s="6" t="e">
        <f t="shared" ref="D30:G30" si="2">D29/$D$9</f>
        <v>#DIV/0!</v>
      </c>
      <c r="E30" s="6" t="e">
        <f t="shared" si="2"/>
        <v>#DIV/0!</v>
      </c>
      <c r="F30" s="6" t="e">
        <f t="shared" si="2"/>
        <v>#DIV/0!</v>
      </c>
      <c r="G30" s="6" t="e">
        <f t="shared" si="2"/>
        <v>#DIV/0!</v>
      </c>
      <c r="H30" s="107" t="e">
        <f>SUM(C30:G30)</f>
        <v>#DIV/0!</v>
      </c>
      <c r="I30" s="9"/>
      <c r="J30" s="9"/>
      <c r="K30" s="9"/>
      <c r="L30" s="9"/>
      <c r="M30" s="9"/>
      <c r="N30" s="9"/>
      <c r="O30" s="9"/>
      <c r="P30" s="9"/>
      <c r="Q30" s="9"/>
      <c r="R30" s="9"/>
      <c r="S30" s="9"/>
      <c r="T30" s="9"/>
      <c r="U30" s="9"/>
      <c r="V30" s="9"/>
      <c r="W30" s="9"/>
      <c r="X30" s="9"/>
      <c r="Y30" s="9"/>
      <c r="Z30" s="9"/>
    </row>
    <row r="31" spans="1:26" ht="14.5" customHeight="1" x14ac:dyDescent="0.3">
      <c r="B31" s="13"/>
      <c r="C31" s="14"/>
      <c r="D31" s="14"/>
      <c r="E31" s="14"/>
      <c r="F31" s="14"/>
      <c r="G31" s="14"/>
    </row>
    <row r="32" spans="1:26" ht="14.5" customHeight="1" x14ac:dyDescent="0.35">
      <c r="A32" s="28" t="s">
        <v>1832</v>
      </c>
      <c r="B32" s="13"/>
      <c r="C32" s="14"/>
      <c r="D32" s="14"/>
      <c r="E32" s="14"/>
      <c r="F32" s="14"/>
      <c r="G32" s="14"/>
    </row>
    <row r="33" spans="1:10" x14ac:dyDescent="0.3">
      <c r="A33" s="3"/>
      <c r="B33" s="7" t="s">
        <v>1201</v>
      </c>
      <c r="C33" s="7" t="s">
        <v>1200</v>
      </c>
      <c r="D33" s="102" t="s">
        <v>1197</v>
      </c>
    </row>
    <row r="34" spans="1:10" x14ac:dyDescent="0.3">
      <c r="A34" s="3" t="s">
        <v>1198</v>
      </c>
      <c r="B34" s="3">
        <f>COUNTIF('OBO_Cleaned Data'!PX:PX,"oui")</f>
        <v>0</v>
      </c>
      <c r="C34" s="3">
        <f>COUNTIF('OBO_Cleaned Data'!PX:PX,"non")</f>
        <v>2</v>
      </c>
      <c r="D34" s="103">
        <f>SUM(B34:C34)</f>
        <v>2</v>
      </c>
    </row>
    <row r="35" spans="1:10" s="35" customFormat="1" ht="37" x14ac:dyDescent="0.3">
      <c r="A35" s="53" t="s">
        <v>2023</v>
      </c>
      <c r="B35" s="88">
        <f>(B34/$E$9)</f>
        <v>0</v>
      </c>
      <c r="C35" s="88">
        <f>(C34/$E$9)</f>
        <v>1</v>
      </c>
      <c r="D35" s="107">
        <f>SUM(B35:C35)</f>
        <v>1</v>
      </c>
    </row>
    <row r="36" spans="1:10" ht="14.5" customHeight="1" x14ac:dyDescent="0.3">
      <c r="B36" s="13"/>
      <c r="C36" s="14"/>
      <c r="D36" s="14"/>
      <c r="E36" s="14"/>
      <c r="F36" s="14"/>
      <c r="G36" s="14"/>
    </row>
    <row r="37" spans="1:10" ht="14.5" customHeight="1" x14ac:dyDescent="0.3">
      <c r="B37" s="33" t="s">
        <v>1833</v>
      </c>
      <c r="C37" s="14"/>
      <c r="D37" s="14"/>
      <c r="E37" s="14"/>
      <c r="F37" s="14"/>
      <c r="G37" s="14"/>
    </row>
    <row r="38" spans="1:10" ht="34" customHeight="1" x14ac:dyDescent="0.3">
      <c r="B38" s="3"/>
      <c r="C38" s="11" t="s">
        <v>1834</v>
      </c>
      <c r="D38" s="11" t="s">
        <v>1835</v>
      </c>
      <c r="E38" s="11" t="s">
        <v>1836</v>
      </c>
      <c r="F38" s="102" t="s">
        <v>1197</v>
      </c>
      <c r="G38" s="14"/>
    </row>
    <row r="39" spans="1:10" ht="14.5" customHeight="1" x14ac:dyDescent="0.3">
      <c r="B39" s="3" t="s">
        <v>1198</v>
      </c>
      <c r="C39" s="76">
        <f>COUNTIF('OBO_Cleaned Data'!PY:PY,"severes")</f>
        <v>0</v>
      </c>
      <c r="D39" s="76">
        <f>COUNTIF('OBO_Cleaned Data'!PY:PY,"moderes")</f>
        <v>0</v>
      </c>
      <c r="E39" s="76">
        <f>COUNTIF('OBO_Cleaned Data'!PY:PY,"faibles")</f>
        <v>0</v>
      </c>
      <c r="F39" s="103">
        <f>SUM(C39:E39)</f>
        <v>0</v>
      </c>
      <c r="G39" s="73"/>
    </row>
    <row r="40" spans="1:10" ht="47" customHeight="1" x14ac:dyDescent="0.3">
      <c r="B40" s="52" t="s">
        <v>2026</v>
      </c>
      <c r="C40" s="6" t="e">
        <f>C39/$B$34</f>
        <v>#DIV/0!</v>
      </c>
      <c r="D40" s="6">
        <f t="shared" ref="D40:E40" si="3">D39/$C$4</f>
        <v>0</v>
      </c>
      <c r="E40" s="6">
        <f t="shared" si="3"/>
        <v>0</v>
      </c>
      <c r="F40" s="107" t="e">
        <f>SUM(C40:E40)</f>
        <v>#DIV/0!</v>
      </c>
      <c r="G40" s="14"/>
    </row>
    <row r="41" spans="1:10" ht="14.5" customHeight="1" x14ac:dyDescent="0.3">
      <c r="B41" s="13"/>
      <c r="C41" s="14"/>
      <c r="D41" s="14"/>
      <c r="E41" s="14"/>
      <c r="F41" s="14"/>
      <c r="G41" s="14"/>
    </row>
    <row r="42" spans="1:10" ht="15.5" x14ac:dyDescent="0.35">
      <c r="A42" s="28" t="s">
        <v>1293</v>
      </c>
      <c r="C42" s="95" t="s">
        <v>1994</v>
      </c>
    </row>
    <row r="43" spans="1:10" x14ac:dyDescent="0.3">
      <c r="A43" s="3"/>
      <c r="B43" s="7" t="s">
        <v>1225</v>
      </c>
      <c r="C43" s="7" t="s">
        <v>1226</v>
      </c>
      <c r="D43" s="7" t="s">
        <v>1227</v>
      </c>
      <c r="E43" s="7" t="s">
        <v>1228</v>
      </c>
      <c r="F43" s="7" t="s">
        <v>1229</v>
      </c>
      <c r="G43" s="7" t="s">
        <v>1230</v>
      </c>
      <c r="H43" s="7" t="s">
        <v>1231</v>
      </c>
      <c r="I43" s="7" t="s">
        <v>1706</v>
      </c>
      <c r="J43" s="7" t="s">
        <v>1211</v>
      </c>
    </row>
    <row r="44" spans="1:10" x14ac:dyDescent="0.3">
      <c r="A44" s="3" t="s">
        <v>1198</v>
      </c>
      <c r="B44" s="37">
        <f>COUNTIF('OBO_Cleaned Data'!SO:SO,"1")</f>
        <v>0</v>
      </c>
      <c r="C44" s="37">
        <f>COUNTIF('OBO_Cleaned Data'!SP:SP,"1")</f>
        <v>0</v>
      </c>
      <c r="D44" s="37">
        <f>COUNTIF('OBO_Cleaned Data'!SQ:SQ,"1")</f>
        <v>0</v>
      </c>
      <c r="E44" s="37">
        <f>COUNTIF('OBO_Cleaned Data'!SR:SR,"1")</f>
        <v>0</v>
      </c>
      <c r="F44" s="37">
        <f>COUNTIF('OBO_Cleaned Data'!SS:SS,"1")</f>
        <v>0</v>
      </c>
      <c r="G44" s="37">
        <f>COUNTIF('OBO_Cleaned Data'!ST:ST,"1")</f>
        <v>0</v>
      </c>
      <c r="H44" s="37">
        <f>COUNTIF('OBO_Cleaned Data'!SZ:SZ,"1")</f>
        <v>1</v>
      </c>
      <c r="I44" s="37">
        <f>COUNTIF('OBO_Cleaned Data'!SV:SV,"1")</f>
        <v>1</v>
      </c>
      <c r="J44" s="37">
        <f>COUNTIF('OBO_Cleaned Data'!SW:SW,"1")</f>
        <v>0</v>
      </c>
    </row>
    <row r="45" spans="1:10" x14ac:dyDescent="0.3">
      <c r="A45" s="3" t="s">
        <v>1212</v>
      </c>
      <c r="B45" s="6">
        <f>B44/$B$9</f>
        <v>0</v>
      </c>
      <c r="C45" s="6">
        <f t="shared" ref="C45:J45" si="4">C44/$B$9</f>
        <v>0</v>
      </c>
      <c r="D45" s="6">
        <f t="shared" si="4"/>
        <v>0</v>
      </c>
      <c r="E45" s="6">
        <f t="shared" si="4"/>
        <v>0</v>
      </c>
      <c r="F45" s="6">
        <f t="shared" si="4"/>
        <v>0</v>
      </c>
      <c r="G45" s="6">
        <f t="shared" si="4"/>
        <v>0</v>
      </c>
      <c r="H45" s="6">
        <f t="shared" si="4"/>
        <v>0.5</v>
      </c>
      <c r="I45" s="6">
        <f t="shared" si="4"/>
        <v>0.5</v>
      </c>
      <c r="J45" s="6">
        <f t="shared" si="4"/>
        <v>0</v>
      </c>
    </row>
    <row r="46" spans="1:10" x14ac:dyDescent="0.3">
      <c r="A46" s="13"/>
      <c r="B46" s="14"/>
      <c r="C46" s="14"/>
      <c r="D46" s="14"/>
      <c r="J46" s="73"/>
    </row>
    <row r="47" spans="1:10" ht="15.5" x14ac:dyDescent="0.35">
      <c r="A47" s="28" t="s">
        <v>1399</v>
      </c>
    </row>
    <row r="48" spans="1:10" s="35" customFormat="1" ht="28" x14ac:dyDescent="0.35">
      <c r="A48" s="42"/>
      <c r="B48" s="34" t="s">
        <v>1201</v>
      </c>
      <c r="C48" s="34" t="s">
        <v>1400</v>
      </c>
      <c r="D48" s="34" t="s">
        <v>1200</v>
      </c>
      <c r="E48" s="102" t="s">
        <v>1197</v>
      </c>
    </row>
    <row r="49" spans="1:6" x14ac:dyDescent="0.3">
      <c r="A49" s="3" t="s">
        <v>1198</v>
      </c>
      <c r="B49" s="3">
        <f>COUNTIF('OBO_Cleaned Data'!PL:PL,"oui")</f>
        <v>1</v>
      </c>
      <c r="C49" s="3">
        <f>COUNTIF('OBO_Cleaned Data'!PL:PL,"non_non_fonctionnelles")</f>
        <v>1</v>
      </c>
      <c r="D49" s="3">
        <f>COUNTIF('OBO_Cleaned Data'!PL:PL,"non_aucun")</f>
        <v>0</v>
      </c>
      <c r="E49" s="103">
        <f>SUM(B49:D49)</f>
        <v>2</v>
      </c>
    </row>
    <row r="50" spans="1:6" s="35" customFormat="1" ht="37" x14ac:dyDescent="0.3">
      <c r="A50" s="53" t="s">
        <v>2023</v>
      </c>
      <c r="B50" s="88">
        <f>(B49/$E$9)</f>
        <v>0.5</v>
      </c>
      <c r="C50" s="88">
        <f t="shared" ref="C50:D50" si="5">(C49/$E$9)</f>
        <v>0.5</v>
      </c>
      <c r="D50" s="88">
        <f t="shared" si="5"/>
        <v>0</v>
      </c>
      <c r="E50" s="107">
        <f>SUM(B50:D50)</f>
        <v>1</v>
      </c>
    </row>
    <row r="52" spans="1:6" x14ac:dyDescent="0.3">
      <c r="B52" s="17" t="s">
        <v>1277</v>
      </c>
    </row>
    <row r="53" spans="1:6" x14ac:dyDescent="0.3">
      <c r="B53" s="20">
        <f>AVERAGE('OBO_Cleaned Data'!PM:PM)</f>
        <v>15</v>
      </c>
    </row>
    <row r="54" spans="1:6" x14ac:dyDescent="0.3">
      <c r="B54" s="20"/>
      <c r="F54" s="73"/>
    </row>
    <row r="55" spans="1:6" x14ac:dyDescent="0.3">
      <c r="B55" s="17" t="s">
        <v>1401</v>
      </c>
    </row>
    <row r="56" spans="1:6" x14ac:dyDescent="0.3">
      <c r="B56" s="3"/>
      <c r="C56" s="10" t="s">
        <v>1201</v>
      </c>
      <c r="D56" s="10" t="s">
        <v>1200</v>
      </c>
      <c r="E56" s="102" t="s">
        <v>1197</v>
      </c>
    </row>
    <row r="57" spans="1:6" x14ac:dyDescent="0.3">
      <c r="B57" s="3" t="s">
        <v>1198</v>
      </c>
      <c r="C57" s="3">
        <f>COUNTIF('OBO_Cleaned Data'!PN:PN,"oui")</f>
        <v>1</v>
      </c>
      <c r="D57" s="3">
        <f>COUNTIF('OBO_Cleaned Data'!PN:PN,"non")</f>
        <v>0</v>
      </c>
      <c r="E57" s="103">
        <f>SUM(C57:D57)</f>
        <v>1</v>
      </c>
    </row>
    <row r="58" spans="1:6" ht="37.5" x14ac:dyDescent="0.3">
      <c r="B58" s="52" t="s">
        <v>2027</v>
      </c>
      <c r="C58" s="6">
        <f>(C57/$B$49)</f>
        <v>1</v>
      </c>
      <c r="D58" s="6">
        <f>(D57/$B$49)</f>
        <v>0</v>
      </c>
      <c r="E58" s="107">
        <f>SUM(C58:D58)</f>
        <v>1</v>
      </c>
    </row>
    <row r="60" spans="1:6" x14ac:dyDescent="0.3">
      <c r="C60" s="17" t="s">
        <v>1403</v>
      </c>
      <c r="D60" s="17"/>
      <c r="E60" s="20">
        <f>AVERAGE('OBO_Cleaned Data'!PO:PO)</f>
        <v>7</v>
      </c>
      <c r="F60" s="73"/>
    </row>
    <row r="61" spans="1:6" x14ac:dyDescent="0.3">
      <c r="C61" s="17"/>
      <c r="D61" s="17"/>
    </row>
    <row r="62" spans="1:6" x14ac:dyDescent="0.3">
      <c r="C62" s="17" t="s">
        <v>1402</v>
      </c>
      <c r="D62" s="17"/>
      <c r="E62" s="20">
        <f>AVERAGE('OBO_Cleaned Data'!PP:PP)</f>
        <v>8</v>
      </c>
      <c r="F62" s="73"/>
    </row>
    <row r="64" spans="1:6" x14ac:dyDescent="0.3">
      <c r="B64" s="17" t="s">
        <v>1404</v>
      </c>
    </row>
    <row r="65" spans="1:8" x14ac:dyDescent="0.3">
      <c r="B65" s="3"/>
      <c r="C65" s="10" t="s">
        <v>1201</v>
      </c>
      <c r="D65" s="10" t="s">
        <v>1200</v>
      </c>
      <c r="E65" s="102" t="s">
        <v>1197</v>
      </c>
    </row>
    <row r="66" spans="1:8" x14ac:dyDescent="0.3">
      <c r="B66" s="3" t="s">
        <v>1198</v>
      </c>
      <c r="C66" s="3">
        <f>COUNTIF('OBO_Cleaned Data'!PQ:PQ,"oui")</f>
        <v>1</v>
      </c>
      <c r="D66" s="3">
        <f>COUNTIF('OBO_Cleaned Data'!PQ:PQ,"non")</f>
        <v>0</v>
      </c>
      <c r="E66" s="103">
        <f>SUM(C66:D66)</f>
        <v>1</v>
      </c>
    </row>
    <row r="67" spans="1:8" ht="37.5" x14ac:dyDescent="0.3">
      <c r="B67" s="52" t="s">
        <v>2027</v>
      </c>
      <c r="C67" s="6">
        <f>(C66/$B$49)</f>
        <v>1</v>
      </c>
      <c r="D67" s="6">
        <f>(D66/$B$49)</f>
        <v>0</v>
      </c>
      <c r="E67" s="107">
        <f>SUM(C67:D67)</f>
        <v>1</v>
      </c>
    </row>
    <row r="69" spans="1:8" ht="15.5" x14ac:dyDescent="0.35">
      <c r="A69" s="28" t="s">
        <v>1405</v>
      </c>
    </row>
    <row r="70" spans="1:8" x14ac:dyDescent="0.3">
      <c r="A70" s="3"/>
      <c r="B70" s="7" t="s">
        <v>1201</v>
      </c>
      <c r="C70" s="7" t="s">
        <v>1200</v>
      </c>
      <c r="D70" s="102" t="s">
        <v>1197</v>
      </c>
    </row>
    <row r="71" spans="1:8" x14ac:dyDescent="0.3">
      <c r="A71" s="3" t="s">
        <v>1198</v>
      </c>
      <c r="B71" s="3">
        <f>COUNTIF('OBO_Cleaned Data'!PR:PR,"oui")</f>
        <v>2</v>
      </c>
      <c r="C71" s="3">
        <f>COUNTIF('OBO_Cleaned Data'!PR:PR,"non")</f>
        <v>0</v>
      </c>
      <c r="D71" s="103">
        <f>SUM(B71:C71)</f>
        <v>2</v>
      </c>
    </row>
    <row r="72" spans="1:8" s="35" customFormat="1" ht="37" x14ac:dyDescent="0.3">
      <c r="A72" s="53" t="s">
        <v>2023</v>
      </c>
      <c r="B72" s="88">
        <f>(B71/$E$9)</f>
        <v>1</v>
      </c>
      <c r="C72" s="88">
        <f>(C71/$E$9)</f>
        <v>0</v>
      </c>
      <c r="D72" s="107">
        <f>SUM(B72:C72)</f>
        <v>1</v>
      </c>
    </row>
    <row r="74" spans="1:8" x14ac:dyDescent="0.3">
      <c r="B74" s="17" t="s">
        <v>1406</v>
      </c>
    </row>
    <row r="75" spans="1:8" ht="42" x14ac:dyDescent="0.3">
      <c r="B75" s="3"/>
      <c r="C75" s="5" t="s">
        <v>1407</v>
      </c>
      <c r="D75" s="10" t="s">
        <v>1408</v>
      </c>
      <c r="E75" s="10" t="s">
        <v>1409</v>
      </c>
      <c r="F75" s="10" t="s">
        <v>1706</v>
      </c>
      <c r="G75" s="10" t="s">
        <v>1196</v>
      </c>
      <c r="H75" s="102" t="s">
        <v>1197</v>
      </c>
    </row>
    <row r="76" spans="1:8" x14ac:dyDescent="0.3">
      <c r="B76" s="3" t="s">
        <v>1198</v>
      </c>
      <c r="C76" s="3">
        <f>COUNTIF('OBO_Cleaned Data'!PS:PS,"acces_direct")</f>
        <v>1</v>
      </c>
      <c r="D76" s="3">
        <f>COUNTIF('OBO_Cleaned Data'!PS:PS,"acces_communautaire")</f>
        <v>1</v>
      </c>
      <c r="E76" s="3">
        <f>COUNTIF('OBO_Cleaned Data'!PS:PS,"camion")</f>
        <v>0</v>
      </c>
      <c r="F76" s="3">
        <f>COUNTIF('OBO_Cleaned Data'!PS:PS,"nsp")</f>
        <v>0</v>
      </c>
      <c r="G76" s="3">
        <f>COUNTIF('OBO_Cleaned Data'!PS:PS,"autre")</f>
        <v>0</v>
      </c>
      <c r="H76" s="103">
        <f>SUM(C76:G76)</f>
        <v>2</v>
      </c>
    </row>
    <row r="77" spans="1:8" ht="48.5" x14ac:dyDescent="0.3">
      <c r="B77" s="53" t="s">
        <v>2028</v>
      </c>
      <c r="C77" s="88">
        <f>C76/$B$71</f>
        <v>0.5</v>
      </c>
      <c r="D77" s="88">
        <f t="shared" ref="D77:G77" si="6">D76/$B$71</f>
        <v>0.5</v>
      </c>
      <c r="E77" s="88">
        <f t="shared" si="6"/>
        <v>0</v>
      </c>
      <c r="F77" s="88">
        <f t="shared" si="6"/>
        <v>0</v>
      </c>
      <c r="G77" s="88">
        <f t="shared" si="6"/>
        <v>0</v>
      </c>
      <c r="H77" s="107">
        <f>SUM(C77:G77)</f>
        <v>1</v>
      </c>
    </row>
    <row r="78" spans="1:8" x14ac:dyDescent="0.3">
      <c r="B78" s="86"/>
    </row>
    <row r="79" spans="1:8" ht="15.5" x14ac:dyDescent="0.35">
      <c r="A79" s="28" t="s">
        <v>1410</v>
      </c>
    </row>
    <row r="80" spans="1:8" x14ac:dyDescent="0.3">
      <c r="A80" s="3"/>
      <c r="B80" s="7" t="s">
        <v>1201</v>
      </c>
      <c r="C80" s="7" t="s">
        <v>1200</v>
      </c>
      <c r="D80" s="102" t="s">
        <v>1197</v>
      </c>
    </row>
    <row r="81" spans="1:14" x14ac:dyDescent="0.3">
      <c r="A81" s="3" t="s">
        <v>1198</v>
      </c>
      <c r="B81" s="3">
        <f>COUNTIF('OBO_Cleaned Data'!PU:PU,"oui")</f>
        <v>0</v>
      </c>
      <c r="C81" s="3">
        <f>COUNTIF('OBO_Cleaned Data'!PU:PU,"non")</f>
        <v>2</v>
      </c>
      <c r="D81" s="103">
        <f>SUM(B81:C81)</f>
        <v>2</v>
      </c>
    </row>
    <row r="82" spans="1:14" s="35" customFormat="1" ht="37" x14ac:dyDescent="0.3">
      <c r="A82" s="53" t="s">
        <v>2023</v>
      </c>
      <c r="B82" s="88">
        <f>(B81/$E$9)</f>
        <v>0</v>
      </c>
      <c r="C82" s="88">
        <f>(C81/$E$9)</f>
        <v>1</v>
      </c>
      <c r="D82" s="92">
        <f>SUM(B82:C82)</f>
        <v>1</v>
      </c>
    </row>
    <row r="83" spans="1:14" s="35" customFormat="1" x14ac:dyDescent="0.35">
      <c r="A83" s="64"/>
      <c r="B83" s="47"/>
      <c r="C83" s="47"/>
    </row>
    <row r="84" spans="1:14" x14ac:dyDescent="0.3">
      <c r="B84" s="17" t="s">
        <v>1908</v>
      </c>
    </row>
    <row r="85" spans="1:14" ht="56" x14ac:dyDescent="0.3">
      <c r="B85" s="3"/>
      <c r="C85" s="10" t="s">
        <v>1201</v>
      </c>
      <c r="D85" s="10" t="s">
        <v>1909</v>
      </c>
      <c r="E85" s="10" t="s">
        <v>1910</v>
      </c>
      <c r="F85" s="10" t="s">
        <v>1911</v>
      </c>
      <c r="G85" s="102" t="s">
        <v>1197</v>
      </c>
    </row>
    <row r="86" spans="1:14" s="35" customFormat="1" x14ac:dyDescent="0.3">
      <c r="B86" s="3" t="s">
        <v>1198</v>
      </c>
      <c r="C86" s="3">
        <f>COUNTIF('OBO_Cleaned Data'!PV:PV,"oui")</f>
        <v>0</v>
      </c>
      <c r="D86" s="3">
        <f>COUNTIF('OBO_Cleaned Data'!PV:PV,"non_panne")</f>
        <v>0</v>
      </c>
      <c r="E86" s="3">
        <f>COUNTIF('OBO_Cleaned Data'!PV:PV,"non_essence")</f>
        <v>0</v>
      </c>
      <c r="F86" s="3">
        <f>COUNTIF('OBO_Cleaned Data'!PV:PV,"non_equipement")</f>
        <v>0</v>
      </c>
      <c r="G86" s="103">
        <f>SUM(C86:F86)</f>
        <v>0</v>
      </c>
    </row>
    <row r="87" spans="1:14" ht="37" x14ac:dyDescent="0.3">
      <c r="B87" s="53" t="s">
        <v>2029</v>
      </c>
      <c r="C87" s="88" t="e">
        <f>(C86/$B$81)</f>
        <v>#DIV/0!</v>
      </c>
      <c r="D87" s="88" t="e">
        <f t="shared" ref="D87:F87" si="7">(D86/$B$81)</f>
        <v>#DIV/0!</v>
      </c>
      <c r="E87" s="88" t="e">
        <f t="shared" si="7"/>
        <v>#DIV/0!</v>
      </c>
      <c r="F87" s="88" t="e">
        <f t="shared" si="7"/>
        <v>#DIV/0!</v>
      </c>
      <c r="G87" s="92" t="e">
        <f>SUM(C87:F87)</f>
        <v>#DIV/0!</v>
      </c>
    </row>
    <row r="88" spans="1:14" x14ac:dyDescent="0.3">
      <c r="C88" s="64"/>
      <c r="D88" s="47"/>
      <c r="E88" s="47"/>
    </row>
    <row r="89" spans="1:14" x14ac:dyDescent="0.3">
      <c r="A89" s="20" t="s">
        <v>1411</v>
      </c>
    </row>
    <row r="90" spans="1:14" ht="15.5" x14ac:dyDescent="0.35">
      <c r="A90" s="28" t="s">
        <v>1412</v>
      </c>
      <c r="C90" s="95" t="s">
        <v>1994</v>
      </c>
    </row>
    <row r="91" spans="1:14" s="35" customFormat="1" ht="42" x14ac:dyDescent="0.3">
      <c r="A91" s="3"/>
      <c r="B91" s="7" t="s">
        <v>1413</v>
      </c>
      <c r="C91" s="7" t="s">
        <v>1837</v>
      </c>
      <c r="D91" s="7" t="s">
        <v>1414</v>
      </c>
      <c r="E91" s="7" t="s">
        <v>1838</v>
      </c>
      <c r="F91" s="7" t="s">
        <v>1415</v>
      </c>
      <c r="G91" s="7" t="s">
        <v>1416</v>
      </c>
      <c r="H91" s="7" t="s">
        <v>1417</v>
      </c>
      <c r="I91" s="7" t="s">
        <v>1839</v>
      </c>
      <c r="J91" s="7" t="s">
        <v>1840</v>
      </c>
      <c r="K91" s="7" t="s">
        <v>1841</v>
      </c>
      <c r="L91" s="7" t="s">
        <v>1418</v>
      </c>
      <c r="M91" s="7" t="s">
        <v>2030</v>
      </c>
      <c r="N91" s="7" t="s">
        <v>1211</v>
      </c>
    </row>
    <row r="92" spans="1:14" x14ac:dyDescent="0.3">
      <c r="A92" s="3" t="s">
        <v>1198</v>
      </c>
      <c r="B92" s="3">
        <f>COUNTIF('OBO_Cleaned Data'!QA:QA,"1")</f>
        <v>2</v>
      </c>
      <c r="C92" s="3">
        <f>COUNTIF('OBO_Cleaned Data'!QN:QN,"1")</f>
        <v>2</v>
      </c>
      <c r="D92" s="3">
        <f>COUNTIF('OBO_Cleaned Data'!QB:QB,"1")</f>
        <v>2</v>
      </c>
      <c r="E92" s="3">
        <f>COUNTIF('OBO_Cleaned Data'!QC:QC,"1")</f>
        <v>2</v>
      </c>
      <c r="F92" s="3">
        <f>COUNTIF('OBO_Cleaned Data'!QD:QD,"1")</f>
        <v>1</v>
      </c>
      <c r="G92" s="3">
        <f>COUNTIF('OBO_Cleaned Data'!QE:QE,"1")</f>
        <v>2</v>
      </c>
      <c r="H92" s="3">
        <f>COUNTIF('OBO_Cleaned Data'!QF:QF,"1")</f>
        <v>1</v>
      </c>
      <c r="I92" s="3">
        <f>COUNTIF('OBO_Cleaned Data'!QG:QG,"1")</f>
        <v>1</v>
      </c>
      <c r="J92" s="3">
        <f>COUNTIF('OBO_Cleaned Data'!QH:QH,"1")</f>
        <v>2</v>
      </c>
      <c r="K92" s="3">
        <f>COUNTIF('OBO_Cleaned Data'!QJ:QJ,"1")</f>
        <v>1</v>
      </c>
      <c r="L92" s="3">
        <f>COUNTIF('OBO_Cleaned Data'!QK:QK,"1")</f>
        <v>2</v>
      </c>
      <c r="M92" s="3">
        <f>COUNTIF('OBO_Cleaned Data'!QL:QL,"1")</f>
        <v>2</v>
      </c>
      <c r="N92" s="3">
        <f>COUNTIF('OBO_Cleaned Data'!QM:QM,"1")</f>
        <v>0</v>
      </c>
    </row>
    <row r="93" spans="1:14" s="35" customFormat="1" ht="37" x14ac:dyDescent="0.35">
      <c r="A93" s="53" t="s">
        <v>2031</v>
      </c>
      <c r="B93" s="54">
        <f t="shared" ref="B93:N93" si="8">(B92/$E$9)</f>
        <v>1</v>
      </c>
      <c r="C93" s="54">
        <f t="shared" si="8"/>
        <v>1</v>
      </c>
      <c r="D93" s="54">
        <f t="shared" si="8"/>
        <v>1</v>
      </c>
      <c r="E93" s="54">
        <f t="shared" si="8"/>
        <v>1</v>
      </c>
      <c r="F93" s="54">
        <f t="shared" si="8"/>
        <v>0.5</v>
      </c>
      <c r="G93" s="54">
        <f t="shared" si="8"/>
        <v>1</v>
      </c>
      <c r="H93" s="54">
        <f t="shared" si="8"/>
        <v>0.5</v>
      </c>
      <c r="I93" s="54">
        <f t="shared" si="8"/>
        <v>0.5</v>
      </c>
      <c r="J93" s="54">
        <f t="shared" si="8"/>
        <v>1</v>
      </c>
      <c r="K93" s="54">
        <f t="shared" si="8"/>
        <v>0.5</v>
      </c>
      <c r="L93" s="54">
        <f t="shared" si="8"/>
        <v>1</v>
      </c>
      <c r="M93" s="54">
        <f t="shared" si="8"/>
        <v>1</v>
      </c>
      <c r="N93" s="54">
        <f t="shared" si="8"/>
        <v>0</v>
      </c>
    </row>
    <row r="94" spans="1:14" x14ac:dyDescent="0.3">
      <c r="A94" s="13"/>
      <c r="B94" s="13"/>
      <c r="C94" s="13"/>
      <c r="D94" s="13"/>
      <c r="E94" s="13"/>
      <c r="F94" s="13"/>
      <c r="G94" s="13"/>
      <c r="H94" s="13"/>
      <c r="I94" s="13"/>
      <c r="J94" s="13"/>
      <c r="K94" s="13"/>
      <c r="L94" s="13"/>
      <c r="M94" s="13"/>
      <c r="N94" s="134"/>
    </row>
    <row r="95" spans="1:14" ht="15.5" x14ac:dyDescent="0.35">
      <c r="A95" s="44" t="s">
        <v>1449</v>
      </c>
      <c r="B95" s="13"/>
      <c r="C95" s="13"/>
      <c r="D95" s="13"/>
      <c r="E95" s="13"/>
      <c r="F95" s="13"/>
      <c r="G95" s="13"/>
      <c r="H95" s="13"/>
      <c r="I95" s="13"/>
      <c r="J95" s="13"/>
      <c r="K95" s="13"/>
      <c r="L95" s="13"/>
      <c r="M95" s="13"/>
    </row>
    <row r="96" spans="1:14" ht="42" x14ac:dyDescent="0.3">
      <c r="A96" s="23"/>
      <c r="B96" s="7" t="s">
        <v>1912</v>
      </c>
      <c r="C96" s="7" t="s">
        <v>1913</v>
      </c>
      <c r="D96" s="7" t="s">
        <v>1882</v>
      </c>
      <c r="E96" s="102" t="s">
        <v>1197</v>
      </c>
      <c r="F96" s="13"/>
      <c r="G96" s="13"/>
      <c r="H96" s="13"/>
      <c r="I96" s="13"/>
      <c r="J96" s="13"/>
      <c r="K96" s="13"/>
      <c r="L96" s="13"/>
      <c r="M96" s="13"/>
    </row>
    <row r="97" spans="1:13" x14ac:dyDescent="0.3">
      <c r="A97" s="23" t="s">
        <v>1198</v>
      </c>
      <c r="B97" s="3">
        <f>COUNTIF('OBO_Cleaned Data'!TB:TB,"oui")</f>
        <v>1</v>
      </c>
      <c r="C97" s="3">
        <f>COUNTIF('OBO_Cleaned Data'!TB:TB,"oui_exception")</f>
        <v>0</v>
      </c>
      <c r="D97" s="3">
        <f>COUNTIF('OBO_Cleaned Data'!TB:TB,"non")</f>
        <v>1</v>
      </c>
      <c r="E97" s="103">
        <f>SUM(B97:D97)</f>
        <v>2</v>
      </c>
      <c r="F97" s="13"/>
      <c r="G97" s="13"/>
      <c r="H97" s="13"/>
      <c r="I97" s="13"/>
      <c r="J97" s="13"/>
      <c r="K97" s="13"/>
      <c r="L97" s="13"/>
      <c r="M97" s="13"/>
    </row>
    <row r="98" spans="1:13" s="35" customFormat="1" ht="37" x14ac:dyDescent="0.3">
      <c r="A98" s="53" t="s">
        <v>2031</v>
      </c>
      <c r="B98" s="110">
        <f>(B97/$E$9)</f>
        <v>0.5</v>
      </c>
      <c r="C98" s="110">
        <f t="shared" ref="C98:D98" si="9">(C97/$E$9)</f>
        <v>0</v>
      </c>
      <c r="D98" s="110">
        <f t="shared" si="9"/>
        <v>0.5</v>
      </c>
      <c r="E98" s="92">
        <f>SUM(B98:D98)</f>
        <v>1</v>
      </c>
      <c r="F98" s="46"/>
      <c r="G98" s="46"/>
      <c r="H98" s="46"/>
      <c r="I98" s="46"/>
      <c r="J98" s="46"/>
      <c r="K98" s="46"/>
      <c r="L98" s="46"/>
      <c r="M98" s="46"/>
    </row>
    <row r="99" spans="1:13" x14ac:dyDescent="0.3">
      <c r="A99" s="13"/>
      <c r="B99" s="14"/>
      <c r="C99" s="84"/>
      <c r="D99" s="13"/>
      <c r="E99" s="13"/>
      <c r="F99" s="13"/>
      <c r="G99" s="13"/>
      <c r="H99" s="13"/>
      <c r="I99" s="13"/>
      <c r="J99" s="13"/>
      <c r="K99" s="13"/>
      <c r="L99" s="13"/>
      <c r="M99" s="13"/>
    </row>
    <row r="100" spans="1:13" x14ac:dyDescent="0.3">
      <c r="A100" s="13"/>
      <c r="B100" s="14"/>
      <c r="C100" s="83"/>
      <c r="D100" s="13"/>
      <c r="E100" s="13"/>
      <c r="F100" s="13"/>
      <c r="G100" s="13"/>
      <c r="H100" s="13"/>
      <c r="I100" s="13"/>
      <c r="J100" s="13"/>
      <c r="K100" s="13"/>
      <c r="L100" s="13"/>
      <c r="M100" s="13"/>
    </row>
    <row r="101" spans="1:13" x14ac:dyDescent="0.3">
      <c r="A101" s="13"/>
      <c r="B101" s="41" t="s">
        <v>1450</v>
      </c>
      <c r="C101" s="14"/>
      <c r="D101" s="13"/>
      <c r="E101" s="13"/>
      <c r="F101" s="13"/>
      <c r="G101" s="13"/>
      <c r="H101" s="13"/>
      <c r="I101" s="13"/>
      <c r="J101" s="13"/>
      <c r="K101" s="13"/>
      <c r="L101" s="13"/>
      <c r="M101" s="13"/>
    </row>
    <row r="102" spans="1:13" x14ac:dyDescent="0.3">
      <c r="A102" s="13"/>
      <c r="B102" s="23"/>
      <c r="C102" s="10" t="s">
        <v>1201</v>
      </c>
      <c r="D102" s="10" t="s">
        <v>1200</v>
      </c>
      <c r="E102" s="102" t="s">
        <v>1197</v>
      </c>
      <c r="F102" s="13"/>
      <c r="G102" s="13"/>
      <c r="H102" s="13"/>
      <c r="I102" s="13"/>
      <c r="J102" s="13"/>
      <c r="K102" s="13"/>
      <c r="L102" s="13"/>
      <c r="M102" s="13"/>
    </row>
    <row r="103" spans="1:13" x14ac:dyDescent="0.3">
      <c r="A103" s="13"/>
      <c r="B103" s="23" t="s">
        <v>1198</v>
      </c>
      <c r="C103" s="3">
        <f>COUNTIF('OBO_Cleaned Data'!TJ:TJ,"oui")</f>
        <v>0</v>
      </c>
      <c r="D103" s="3">
        <f>COUNTIF('OBO_Cleaned Data'!TJ:TJ,"non")</f>
        <v>2</v>
      </c>
      <c r="E103" s="103">
        <f>SUM(C103:D103)</f>
        <v>2</v>
      </c>
      <c r="F103" s="75"/>
      <c r="G103" s="13"/>
      <c r="H103" s="13"/>
      <c r="I103" s="13"/>
      <c r="J103" s="13"/>
      <c r="K103" s="13"/>
      <c r="L103" s="13"/>
      <c r="M103" s="13"/>
    </row>
    <row r="104" spans="1:13" ht="40.5" customHeight="1" x14ac:dyDescent="0.3">
      <c r="A104" s="13"/>
      <c r="B104" s="111" t="s">
        <v>2032</v>
      </c>
      <c r="C104" s="38">
        <f>(C103/($B$97+$C$97))</f>
        <v>0</v>
      </c>
      <c r="D104" s="38">
        <f>(D103/($B$97+$C$97))</f>
        <v>2</v>
      </c>
      <c r="E104" s="92">
        <f>SUM(C104:D104)</f>
        <v>2</v>
      </c>
      <c r="F104" s="13"/>
      <c r="G104" s="13"/>
      <c r="H104" s="13"/>
      <c r="I104" s="13"/>
      <c r="J104" s="13"/>
      <c r="K104" s="13"/>
      <c r="L104" s="13"/>
      <c r="M104" s="13"/>
    </row>
    <row r="105" spans="1:13" x14ac:dyDescent="0.3">
      <c r="A105" s="13"/>
      <c r="B105" s="14"/>
      <c r="C105" s="14"/>
      <c r="D105" s="13"/>
      <c r="E105" s="13"/>
      <c r="F105" s="13"/>
      <c r="G105" s="13"/>
      <c r="H105" s="13"/>
      <c r="I105" s="13"/>
      <c r="J105" s="13"/>
      <c r="K105" s="13"/>
      <c r="L105" s="13"/>
      <c r="M105" s="13"/>
    </row>
    <row r="106" spans="1:13" x14ac:dyDescent="0.3">
      <c r="A106" s="13"/>
      <c r="B106" s="14"/>
      <c r="C106" s="41" t="s">
        <v>1451</v>
      </c>
      <c r="D106" s="13"/>
      <c r="E106" s="13"/>
      <c r="F106" s="13"/>
      <c r="G106" s="13"/>
      <c r="H106" s="13"/>
      <c r="I106" s="13"/>
      <c r="J106" s="13"/>
      <c r="K106" s="13"/>
      <c r="L106" s="13"/>
      <c r="M106" s="13"/>
    </row>
    <row r="107" spans="1:13" ht="28" x14ac:dyDescent="0.3">
      <c r="A107" s="13"/>
      <c r="B107" s="14"/>
      <c r="C107" s="23"/>
      <c r="D107" s="10" t="s">
        <v>1217</v>
      </c>
      <c r="E107" s="10" t="s">
        <v>1392</v>
      </c>
      <c r="F107" s="10" t="s">
        <v>1216</v>
      </c>
      <c r="G107" s="10" t="s">
        <v>1391</v>
      </c>
      <c r="J107" s="13"/>
      <c r="K107" s="13"/>
      <c r="L107" s="13"/>
      <c r="M107" s="13"/>
    </row>
    <row r="108" spans="1:13" x14ac:dyDescent="0.3">
      <c r="A108" s="13"/>
      <c r="B108" s="14"/>
      <c r="C108" s="23" t="s">
        <v>1198</v>
      </c>
      <c r="D108" s="37">
        <f>COUNTIF('OBO_Cleaned Data'!TK:TK,"bcp_diminue")</f>
        <v>0</v>
      </c>
      <c r="E108" s="37">
        <f>COUNTIF('OBO_Cleaned Data'!TK:TK,"peu_diminue")</f>
        <v>0</v>
      </c>
      <c r="F108" s="37">
        <f>COUNTIF('OBO_Cleaned Data'!TK:TK,"bcp_augmente")</f>
        <v>0</v>
      </c>
      <c r="G108" s="37">
        <f>COUNTIF('OBO_Cleaned Data'!TK:TK,"peu_augmente")</f>
        <v>0</v>
      </c>
      <c r="I108" s="73" t="s">
        <v>2677</v>
      </c>
      <c r="J108" s="13"/>
      <c r="K108" s="75"/>
      <c r="L108" s="13"/>
      <c r="M108" s="13"/>
    </row>
    <row r="109" spans="1:13" ht="60.5" x14ac:dyDescent="0.3">
      <c r="A109" s="13"/>
      <c r="B109" s="14"/>
      <c r="C109" s="111" t="s">
        <v>2032</v>
      </c>
      <c r="D109" s="38" t="e">
        <f>(D108/$C$103)</f>
        <v>#DIV/0!</v>
      </c>
      <c r="E109" s="38" t="e">
        <f>(E108/$C$103)</f>
        <v>#DIV/0!</v>
      </c>
      <c r="F109" s="38" t="e">
        <f>(F108/$C$103)</f>
        <v>#DIV/0!</v>
      </c>
      <c r="G109" s="38" t="e">
        <f>(G108/$C$103)</f>
        <v>#DIV/0!</v>
      </c>
      <c r="J109" s="13"/>
      <c r="K109" s="13"/>
      <c r="L109" s="13"/>
      <c r="M109" s="13"/>
    </row>
    <row r="110" spans="1:13" x14ac:dyDescent="0.3">
      <c r="A110" s="13"/>
      <c r="B110" s="14"/>
      <c r="C110" s="14"/>
      <c r="D110" s="13"/>
      <c r="E110" s="13"/>
      <c r="F110" s="13"/>
      <c r="G110" s="13"/>
      <c r="H110" s="13"/>
      <c r="I110" s="13"/>
      <c r="J110" s="13"/>
      <c r="K110" s="13"/>
      <c r="L110" s="13"/>
      <c r="M110" s="13"/>
    </row>
    <row r="111" spans="1:13" x14ac:dyDescent="0.3">
      <c r="A111" s="13"/>
      <c r="B111" s="14"/>
      <c r="C111" s="41" t="s">
        <v>1300</v>
      </c>
      <c r="D111" s="13"/>
      <c r="E111" s="95" t="s">
        <v>1994</v>
      </c>
      <c r="F111" s="13"/>
      <c r="G111" s="13"/>
      <c r="H111" s="13"/>
      <c r="I111" s="13"/>
      <c r="J111" s="13"/>
      <c r="K111" s="13"/>
      <c r="L111" s="13"/>
      <c r="M111" s="13"/>
    </row>
    <row r="112" spans="1:13" s="35" customFormat="1" ht="70" x14ac:dyDescent="0.3">
      <c r="A112" s="46"/>
      <c r="B112" s="47"/>
      <c r="C112" s="23"/>
      <c r="D112" s="10" t="s">
        <v>1850</v>
      </c>
      <c r="E112" s="10" t="s">
        <v>1851</v>
      </c>
      <c r="F112" s="10" t="s">
        <v>1852</v>
      </c>
      <c r="G112" s="10" t="s">
        <v>1853</v>
      </c>
      <c r="H112" s="10" t="s">
        <v>1854</v>
      </c>
      <c r="I112" s="10" t="s">
        <v>1855</v>
      </c>
      <c r="J112" s="10" t="s">
        <v>1706</v>
      </c>
      <c r="K112" s="10" t="s">
        <v>1211</v>
      </c>
      <c r="L112" s="46"/>
      <c r="M112" s="46"/>
    </row>
    <row r="113" spans="1:13" x14ac:dyDescent="0.3">
      <c r="A113" s="13"/>
      <c r="B113" s="14"/>
      <c r="C113" s="23" t="s">
        <v>1198</v>
      </c>
      <c r="D113" s="23">
        <f>COUNTIF('OBO_Cleaned Data'!TW:TW,"1")</f>
        <v>0</v>
      </c>
      <c r="E113" s="23">
        <f>COUNTIF('OBO_Cleaned Data'!TX:TX,"1")</f>
        <v>0</v>
      </c>
      <c r="F113" s="23">
        <f>COUNTIF('OBO_Cleaned Data'!TY:TY,"1")</f>
        <v>0</v>
      </c>
      <c r="G113" s="23">
        <f>COUNTIF('OBO_Cleaned Data'!TZ:TZ,"1")</f>
        <v>0</v>
      </c>
      <c r="H113" s="23">
        <f>COUNTIF('OBO_Cleaned Data'!UA:UA,"1")</f>
        <v>0</v>
      </c>
      <c r="I113" s="23">
        <f>COUNTIF('OBO_Cleaned Data'!UB:UB,"1")</f>
        <v>0</v>
      </c>
      <c r="J113" s="23">
        <f>COUNTIF('OBO_Cleaned Data'!UC:UC,"1")</f>
        <v>0</v>
      </c>
      <c r="K113" s="23">
        <f>COUNTIF('OBO_Cleaned Data'!UD:UD,"1")</f>
        <v>0</v>
      </c>
      <c r="L113" s="13"/>
      <c r="M113" s="13"/>
    </row>
    <row r="114" spans="1:13" ht="60.5" x14ac:dyDescent="0.3">
      <c r="A114" s="13"/>
      <c r="B114" s="14"/>
      <c r="C114" s="111" t="s">
        <v>2033</v>
      </c>
      <c r="D114" s="37" t="e">
        <f>D113/(D108+E108)</f>
        <v>#DIV/0!</v>
      </c>
      <c r="E114" s="80" t="e">
        <f>E113/(D108+E108)</f>
        <v>#DIV/0!</v>
      </c>
      <c r="F114" s="80" t="e">
        <f>F113/(D108+E108)</f>
        <v>#DIV/0!</v>
      </c>
      <c r="G114" s="80" t="e">
        <f>G113/(D108+E108)</f>
        <v>#DIV/0!</v>
      </c>
      <c r="H114" s="80" t="e">
        <f>H113/(D108+E108)</f>
        <v>#DIV/0!</v>
      </c>
      <c r="I114" s="80" t="e">
        <f>I113/(D108+E108)</f>
        <v>#DIV/0!</v>
      </c>
      <c r="J114" s="80" t="e">
        <f>J113/(D108+E108)</f>
        <v>#DIV/0!</v>
      </c>
      <c r="K114" s="80" t="e">
        <f>K113/(D108+E108)</f>
        <v>#DIV/0!</v>
      </c>
      <c r="L114" s="13"/>
      <c r="M114" s="13"/>
    </row>
    <row r="115" spans="1:13" x14ac:dyDescent="0.3">
      <c r="A115" s="13"/>
      <c r="B115" s="14"/>
      <c r="C115" s="13"/>
      <c r="D115" s="13"/>
      <c r="E115" s="13"/>
      <c r="F115" s="13"/>
      <c r="G115" s="13"/>
      <c r="H115" s="13"/>
      <c r="I115" s="13"/>
      <c r="J115" s="13"/>
      <c r="K115" s="13"/>
      <c r="L115" s="13"/>
      <c r="M115" s="13"/>
    </row>
    <row r="116" spans="1:13" x14ac:dyDescent="0.3">
      <c r="A116" s="13"/>
      <c r="B116" s="14"/>
      <c r="C116" s="41" t="s">
        <v>1218</v>
      </c>
      <c r="D116" s="13"/>
      <c r="E116" s="95" t="s">
        <v>1994</v>
      </c>
      <c r="F116" s="13"/>
      <c r="G116" s="13"/>
      <c r="H116" s="13"/>
      <c r="I116" s="13"/>
      <c r="J116" s="13"/>
      <c r="K116" s="13"/>
      <c r="L116" s="13"/>
      <c r="M116" s="13"/>
    </row>
    <row r="117" spans="1:13" s="35" customFormat="1" ht="42" x14ac:dyDescent="0.3">
      <c r="A117" s="46"/>
      <c r="B117" s="47"/>
      <c r="C117" s="23"/>
      <c r="D117" s="10" t="s">
        <v>1452</v>
      </c>
      <c r="E117" s="10" t="s">
        <v>1856</v>
      </c>
      <c r="F117" s="10" t="s">
        <v>1453</v>
      </c>
      <c r="G117" s="10" t="s">
        <v>1454</v>
      </c>
      <c r="H117" s="10" t="s">
        <v>1857</v>
      </c>
      <c r="I117" s="10" t="s">
        <v>1455</v>
      </c>
      <c r="J117" s="10" t="s">
        <v>1706</v>
      </c>
      <c r="K117" s="10" t="s">
        <v>1196</v>
      </c>
      <c r="L117" s="46"/>
      <c r="M117" s="46"/>
    </row>
    <row r="118" spans="1:13" x14ac:dyDescent="0.3">
      <c r="A118" s="13"/>
      <c r="B118" s="14"/>
      <c r="C118" s="23" t="s">
        <v>1198</v>
      </c>
      <c r="D118" s="23">
        <f>COUNTIF('OBO_Cleaned Data'!TM:TM,"1")</f>
        <v>0</v>
      </c>
      <c r="E118" s="23">
        <f>COUNTIF('OBO_Cleaned Data'!TN:TN,"1")</f>
        <v>0</v>
      </c>
      <c r="F118" s="23">
        <f>COUNTIF('OBO_Cleaned Data'!TO:TO,"1")</f>
        <v>0</v>
      </c>
      <c r="G118" s="23">
        <f>COUNTIF('OBO_Cleaned Data'!TP:TP,"1")</f>
        <v>0</v>
      </c>
      <c r="H118" s="23">
        <f>COUNTIF('OBO_Cleaned Data'!TQ:TQ,"1")</f>
        <v>0</v>
      </c>
      <c r="I118" s="23">
        <f>COUNTIF('OBO_Cleaned Data'!TR:TR,"1")</f>
        <v>0</v>
      </c>
      <c r="J118" s="23">
        <f>COUNTIF('OBO_Cleaned Data'!TS:TS,"1")</f>
        <v>0</v>
      </c>
      <c r="K118" s="23">
        <f>COUNTIF('OBO_Cleaned Data'!TT:TT,"1")</f>
        <v>0</v>
      </c>
      <c r="L118" s="13"/>
      <c r="M118" s="13"/>
    </row>
    <row r="119" spans="1:13" ht="60.5" x14ac:dyDescent="0.3">
      <c r="A119" s="13"/>
      <c r="B119" s="14"/>
      <c r="C119" s="111" t="s">
        <v>2034</v>
      </c>
      <c r="D119" s="38" t="e">
        <f>D118/(F108+G108)</f>
        <v>#DIV/0!</v>
      </c>
      <c r="E119" s="38" t="e">
        <f>E118/(F108+G108)</f>
        <v>#DIV/0!</v>
      </c>
      <c r="F119" s="38" t="e">
        <f>F118/(F108+G108)</f>
        <v>#DIV/0!</v>
      </c>
      <c r="G119" s="38" t="e">
        <f>G118/(F108+G108)</f>
        <v>#DIV/0!</v>
      </c>
      <c r="H119" s="38" t="e">
        <f>H118/(F108+G108)</f>
        <v>#DIV/0!</v>
      </c>
      <c r="I119" s="38" t="e">
        <f>I118/(F108+G108)</f>
        <v>#DIV/0!</v>
      </c>
      <c r="J119" s="38" t="e">
        <f>J118/(F108+G108)</f>
        <v>#DIV/0!</v>
      </c>
      <c r="K119" s="38" t="e">
        <f>K118/(F108+G108)</f>
        <v>#DIV/0!</v>
      </c>
      <c r="L119" s="13"/>
      <c r="M119" s="13"/>
    </row>
    <row r="120" spans="1:13" x14ac:dyDescent="0.3">
      <c r="A120" s="13"/>
      <c r="B120" s="14"/>
      <c r="C120" s="13"/>
      <c r="D120" s="13"/>
      <c r="E120" s="13"/>
      <c r="F120" s="13"/>
      <c r="G120" s="13"/>
      <c r="H120" s="13"/>
      <c r="I120" s="13"/>
      <c r="J120" s="13"/>
      <c r="K120" s="13"/>
      <c r="L120" s="13"/>
      <c r="M120" s="13"/>
    </row>
    <row r="121" spans="1:13" ht="15.5" x14ac:dyDescent="0.35">
      <c r="A121" s="28" t="s">
        <v>1419</v>
      </c>
      <c r="C121" s="95" t="s">
        <v>1994</v>
      </c>
    </row>
    <row r="122" spans="1:13" ht="28" x14ac:dyDescent="0.3">
      <c r="A122" s="3"/>
      <c r="B122" s="7" t="s">
        <v>1420</v>
      </c>
      <c r="C122" s="7" t="s">
        <v>1842</v>
      </c>
      <c r="D122" s="7" t="s">
        <v>1843</v>
      </c>
      <c r="E122" s="7" t="s">
        <v>1844</v>
      </c>
      <c r="F122" s="7" t="s">
        <v>1706</v>
      </c>
      <c r="G122" s="7" t="s">
        <v>1196</v>
      </c>
    </row>
    <row r="123" spans="1:13" x14ac:dyDescent="0.3">
      <c r="A123" s="3" t="s">
        <v>1198</v>
      </c>
      <c r="B123" s="3">
        <f>COUNTIF('OBO_Cleaned Data'!QR:QR,"1")</f>
        <v>2</v>
      </c>
      <c r="C123" s="3">
        <f>COUNTIF('OBO_Cleaned Data'!QS:QS,"1")</f>
        <v>2</v>
      </c>
      <c r="D123" s="3">
        <f>COUNTIF('OBO_Cleaned Data'!QV:QV,"1")</f>
        <v>2</v>
      </c>
      <c r="E123" s="3">
        <f>COUNTIF('OBO_Cleaned Data'!QW:QW,"1")</f>
        <v>2</v>
      </c>
      <c r="F123" s="3">
        <f>COUNTIF('OBO_Cleaned Data'!QT:QT,"1")</f>
        <v>0</v>
      </c>
      <c r="G123" s="3">
        <f>COUNTIF('OBO_Cleaned Data'!QU:QU,"1")</f>
        <v>0</v>
      </c>
    </row>
    <row r="124" spans="1:13" s="35" customFormat="1" ht="37" x14ac:dyDescent="0.3">
      <c r="A124" s="53" t="s">
        <v>2031</v>
      </c>
      <c r="B124" s="88">
        <f>B123/$E$9</f>
        <v>1</v>
      </c>
      <c r="C124" s="88">
        <f t="shared" ref="C124:G124" si="10">C123/$E$9</f>
        <v>1</v>
      </c>
      <c r="D124" s="88">
        <f t="shared" si="10"/>
        <v>1</v>
      </c>
      <c r="E124" s="88">
        <f t="shared" si="10"/>
        <v>1</v>
      </c>
      <c r="F124" s="88">
        <f t="shared" si="10"/>
        <v>0</v>
      </c>
      <c r="G124" s="88">
        <f t="shared" si="10"/>
        <v>0</v>
      </c>
    </row>
    <row r="125" spans="1:13" x14ac:dyDescent="0.3">
      <c r="G125" s="112"/>
    </row>
    <row r="126" spans="1:13" x14ac:dyDescent="0.3">
      <c r="F126" s="73"/>
    </row>
    <row r="127" spans="1:13" ht="15.5" x14ac:dyDescent="0.35">
      <c r="A127" s="28" t="s">
        <v>1421</v>
      </c>
    </row>
    <row r="128" spans="1:13" x14ac:dyDescent="0.3">
      <c r="A128" s="3"/>
      <c r="B128" s="7" t="s">
        <v>1201</v>
      </c>
      <c r="C128" s="7" t="s">
        <v>1200</v>
      </c>
      <c r="D128" s="102" t="s">
        <v>1197</v>
      </c>
    </row>
    <row r="129" spans="1:6" x14ac:dyDescent="0.3">
      <c r="A129" s="3" t="s">
        <v>1198</v>
      </c>
      <c r="B129" s="3">
        <f>COUNTIF('OBO_Cleaned Data'!QY:QY,"oui")</f>
        <v>1</v>
      </c>
      <c r="C129" s="3">
        <f>COUNTIF('OBO_Cleaned Data'!QY:QY,"non")</f>
        <v>1</v>
      </c>
      <c r="D129" s="103">
        <f>SUM(B129:C129)</f>
        <v>2</v>
      </c>
    </row>
    <row r="130" spans="1:6" s="35" customFormat="1" ht="37" x14ac:dyDescent="0.3">
      <c r="A130" s="53" t="s">
        <v>2031</v>
      </c>
      <c r="B130" s="88">
        <f>(B129/$E$9)</f>
        <v>0.5</v>
      </c>
      <c r="C130" s="88">
        <f>(C129/$E$9)</f>
        <v>0.5</v>
      </c>
      <c r="D130" s="92">
        <f>SUM(B130:C130)</f>
        <v>1</v>
      </c>
    </row>
    <row r="132" spans="1:6" x14ac:dyDescent="0.3">
      <c r="B132" s="17" t="s">
        <v>1422</v>
      </c>
      <c r="D132" s="95" t="s">
        <v>1994</v>
      </c>
      <c r="E132" s="20"/>
    </row>
    <row r="133" spans="1:6" ht="28" x14ac:dyDescent="0.3">
      <c r="B133" s="5" t="s">
        <v>1423</v>
      </c>
      <c r="C133" s="5" t="s">
        <v>1424</v>
      </c>
      <c r="D133" s="5" t="s">
        <v>1425</v>
      </c>
      <c r="E133" s="5" t="s">
        <v>2006</v>
      </c>
      <c r="F133" s="5" t="s">
        <v>1196</v>
      </c>
    </row>
    <row r="134" spans="1:6" x14ac:dyDescent="0.3">
      <c r="B134" s="3">
        <f>COUNTIF('OBO_Cleaned Data'!RA:RA,"1")</f>
        <v>0</v>
      </c>
      <c r="C134" s="3">
        <f>COUNTIF('OBO_Cleaned Data'!RB:RB,"1")</f>
        <v>0</v>
      </c>
      <c r="D134" s="3">
        <f>COUNTIF('OBO_Cleaned Data'!RC:RC,"1")</f>
        <v>1</v>
      </c>
      <c r="E134" s="3">
        <f>COUNTIF('OBO_Cleaned Data'!RD:RD,"1")</f>
        <v>0</v>
      </c>
      <c r="F134" s="3">
        <f>COUNTIF('OBO_Cleaned Data'!RE:RE,"1")</f>
        <v>0</v>
      </c>
    </row>
    <row r="137" spans="1:6" x14ac:dyDescent="0.3">
      <c r="A137" s="20" t="s">
        <v>1292</v>
      </c>
    </row>
    <row r="138" spans="1:6" ht="33.5" customHeight="1" x14ac:dyDescent="0.3">
      <c r="A138" s="175" t="s">
        <v>1426</v>
      </c>
      <c r="B138" s="175"/>
      <c r="C138" s="175"/>
      <c r="D138" s="175"/>
      <c r="E138" s="43">
        <f>AVERAGE('OBO_Cleaned Data'!RG:RG)</f>
        <v>130</v>
      </c>
    </row>
    <row r="140" spans="1:6" ht="15.5" x14ac:dyDescent="0.35">
      <c r="A140" s="28" t="s">
        <v>1427</v>
      </c>
    </row>
    <row r="141" spans="1:6" x14ac:dyDescent="0.3">
      <c r="A141" s="3"/>
      <c r="B141" s="7" t="s">
        <v>1201</v>
      </c>
      <c r="C141" s="7" t="s">
        <v>1200</v>
      </c>
      <c r="D141" s="102" t="s">
        <v>1197</v>
      </c>
    </row>
    <row r="142" spans="1:6" x14ac:dyDescent="0.3">
      <c r="A142" s="3" t="s">
        <v>1198</v>
      </c>
      <c r="B142" s="3">
        <f>COUNTIF('OBO_Cleaned Data'!RH:RH,"oui")</f>
        <v>2</v>
      </c>
      <c r="C142" s="3">
        <f>COUNTIF('OBO_Cleaned Data'!RH:RH,"non")</f>
        <v>0</v>
      </c>
      <c r="D142" s="103">
        <f>SUM(B142:C142)</f>
        <v>2</v>
      </c>
    </row>
    <row r="143" spans="1:6" s="35" customFormat="1" ht="37" x14ac:dyDescent="0.3">
      <c r="A143" s="53" t="s">
        <v>2031</v>
      </c>
      <c r="B143" s="88">
        <f>(B142/$E$9)</f>
        <v>1</v>
      </c>
      <c r="C143" s="88">
        <f>(C142/$E$9)</f>
        <v>0</v>
      </c>
      <c r="D143" s="92">
        <f>SUM(B143:C143)</f>
        <v>1</v>
      </c>
    </row>
    <row r="145" spans="1:13" x14ac:dyDescent="0.3">
      <c r="B145" s="17" t="s">
        <v>1428</v>
      </c>
    </row>
    <row r="146" spans="1:13" ht="28" x14ac:dyDescent="0.3">
      <c r="B146" s="3"/>
      <c r="C146" s="11" t="s">
        <v>1217</v>
      </c>
      <c r="D146" s="11" t="s">
        <v>1392</v>
      </c>
      <c r="E146" s="11" t="s">
        <v>1216</v>
      </c>
      <c r="F146" s="11" t="s">
        <v>1391</v>
      </c>
      <c r="G146" s="102" t="s">
        <v>1197</v>
      </c>
    </row>
    <row r="147" spans="1:13" x14ac:dyDescent="0.3">
      <c r="B147" s="3" t="s">
        <v>1198</v>
      </c>
      <c r="C147" s="3">
        <f>COUNTIF('OBO_Cleaned Data'!RI:RI,"bcp_diminue")</f>
        <v>0</v>
      </c>
      <c r="D147" s="3">
        <f>COUNTIF('OBO_Cleaned Data'!RI:RI,"peu_diminue")</f>
        <v>2</v>
      </c>
      <c r="E147" s="3">
        <f>COUNTIF('OBO_Cleaned Data'!RI:RI,"bcp_augmente")</f>
        <v>0</v>
      </c>
      <c r="F147" s="3">
        <f>COUNTIF('OBO_Cleaned Data'!RI:RI,"peu_augmente")</f>
        <v>0</v>
      </c>
      <c r="G147" s="103">
        <f>SUM(C147:F147)</f>
        <v>2</v>
      </c>
    </row>
    <row r="148" spans="1:13" ht="49" x14ac:dyDescent="0.3">
      <c r="B148" s="52" t="s">
        <v>2035</v>
      </c>
      <c r="C148" s="6">
        <f>(C147/$B$142)</f>
        <v>0</v>
      </c>
      <c r="D148" s="6">
        <f>(D147/$B$142)</f>
        <v>1</v>
      </c>
      <c r="E148" s="6">
        <f>(E147/$B$142)</f>
        <v>0</v>
      </c>
      <c r="F148" s="6">
        <f>(F147/$B$142)</f>
        <v>0</v>
      </c>
      <c r="G148" s="92">
        <f>SUM(C148:F148)</f>
        <v>1</v>
      </c>
    </row>
    <row r="150" spans="1:13" x14ac:dyDescent="0.3">
      <c r="C150" s="17" t="s">
        <v>1300</v>
      </c>
      <c r="E150" s="95" t="s">
        <v>1994</v>
      </c>
    </row>
    <row r="151" spans="1:13" s="35" customFormat="1" ht="73.5" customHeight="1" x14ac:dyDescent="0.3">
      <c r="C151" s="3"/>
      <c r="D151" s="10" t="s">
        <v>1845</v>
      </c>
      <c r="E151" s="10" t="s">
        <v>1846</v>
      </c>
      <c r="F151" s="10" t="s">
        <v>1847</v>
      </c>
      <c r="G151" s="10" t="s">
        <v>1848</v>
      </c>
      <c r="H151" s="10" t="s">
        <v>1849</v>
      </c>
      <c r="I151" s="10" t="s">
        <v>1706</v>
      </c>
      <c r="J151" s="10" t="s">
        <v>1196</v>
      </c>
      <c r="K151" s="9"/>
      <c r="L151" s="9"/>
      <c r="M151" s="9"/>
    </row>
    <row r="152" spans="1:13" x14ac:dyDescent="0.3">
      <c r="C152" s="3" t="s">
        <v>1198</v>
      </c>
      <c r="D152" s="3">
        <f>COUNTIF('OBO_Cleaned Data'!RW:RW,"1")</f>
        <v>0</v>
      </c>
      <c r="E152" s="3">
        <f>COUNTIF('OBO_Cleaned Data'!RX:RX,"1")</f>
        <v>0</v>
      </c>
      <c r="F152" s="3">
        <f>COUNTIF('OBO_Cleaned Data'!RY:RY,"1")</f>
        <v>1</v>
      </c>
      <c r="G152" s="3">
        <f>COUNTIF('OBO_Cleaned Data'!RZ:RZ,"1")</f>
        <v>0</v>
      </c>
      <c r="H152" s="3">
        <f>COUNTIF('OBO_Cleaned Data'!SA:SA,"1")</f>
        <v>1</v>
      </c>
      <c r="I152" s="3">
        <f>COUNTIF('OBO_Cleaned Data'!SB:SB,"1")</f>
        <v>0</v>
      </c>
      <c r="J152" s="3">
        <f>COUNTIF('OBO_Cleaned Data'!SC:SC,"1")</f>
        <v>0</v>
      </c>
    </row>
    <row r="153" spans="1:13" ht="49" x14ac:dyDescent="0.3">
      <c r="C153" s="52" t="s">
        <v>2036</v>
      </c>
      <c r="D153" s="77">
        <f>D152/(C147+D147)</f>
        <v>0</v>
      </c>
      <c r="E153" s="77">
        <f>E152/(C147+D147)</f>
        <v>0</v>
      </c>
      <c r="F153" s="77">
        <f>F152/(C147+D147)</f>
        <v>0.5</v>
      </c>
      <c r="G153" s="77">
        <f>G152/(C147+D147)</f>
        <v>0</v>
      </c>
      <c r="H153" s="77">
        <f>H152/(C147+D147)</f>
        <v>0.5</v>
      </c>
      <c r="I153" s="77">
        <f>I152/(C147+D147)</f>
        <v>0</v>
      </c>
      <c r="J153" s="77">
        <f>J152/(C147+D147)</f>
        <v>0</v>
      </c>
    </row>
    <row r="154" spans="1:13" x14ac:dyDescent="0.3">
      <c r="C154" s="13"/>
      <c r="D154" s="13"/>
      <c r="E154" s="13"/>
      <c r="F154" s="13"/>
      <c r="G154" s="13"/>
      <c r="H154" s="13"/>
      <c r="I154" s="13"/>
      <c r="J154" s="13"/>
    </row>
    <row r="155" spans="1:13" x14ac:dyDescent="0.3">
      <c r="C155" s="17" t="s">
        <v>1218</v>
      </c>
      <c r="E155" s="95" t="s">
        <v>1994</v>
      </c>
    </row>
    <row r="156" spans="1:13" s="35" customFormat="1" ht="73.5" customHeight="1" x14ac:dyDescent="0.3">
      <c r="C156" s="3"/>
      <c r="D156" s="10" t="s">
        <v>1219</v>
      </c>
      <c r="E156" s="10" t="s">
        <v>1914</v>
      </c>
      <c r="F156" s="10" t="s">
        <v>1429</v>
      </c>
      <c r="G156" s="10" t="s">
        <v>1430</v>
      </c>
      <c r="H156" s="10" t="s">
        <v>1431</v>
      </c>
      <c r="I156" s="10" t="s">
        <v>1432</v>
      </c>
      <c r="J156" s="10" t="s">
        <v>1433</v>
      </c>
      <c r="K156" s="10" t="s">
        <v>1434</v>
      </c>
      <c r="L156" s="10" t="s">
        <v>1706</v>
      </c>
      <c r="M156" s="10" t="s">
        <v>1211</v>
      </c>
    </row>
    <row r="157" spans="1:13" x14ac:dyDescent="0.3">
      <c r="C157" s="3" t="s">
        <v>1198</v>
      </c>
      <c r="D157" s="3">
        <f>COUNTIF('OBO_Cleaned Data'!RK:RK,"1")</f>
        <v>0</v>
      </c>
      <c r="E157" s="3">
        <f>COUNTIF('OBO_Cleaned Data'!RL:RL,"1")</f>
        <v>0</v>
      </c>
      <c r="F157" s="3">
        <f>COUNTIF('OBO_Cleaned Data'!RM:RM,"1")</f>
        <v>0</v>
      </c>
      <c r="G157" s="3">
        <f>COUNTIF('OBO_Cleaned Data'!RN:RN,"1")</f>
        <v>0</v>
      </c>
      <c r="H157" s="3">
        <f>COUNTIF('OBO_Cleaned Data'!RO:RO,"1")</f>
        <v>0</v>
      </c>
      <c r="I157" s="3">
        <f>COUNTIF('OBO_Cleaned Data'!RP:RP,"1")</f>
        <v>0</v>
      </c>
      <c r="J157" s="3">
        <f>COUNTIF('OBO_Cleaned Data'!RQ:RQ,"1")</f>
        <v>0</v>
      </c>
      <c r="K157" s="3">
        <f>COUNTIF('OBO_Cleaned Data'!RR:RR,"1")</f>
        <v>0</v>
      </c>
      <c r="L157" s="3">
        <f>COUNTIF('OBO_Cleaned Data'!RS:RS,"1")</f>
        <v>0</v>
      </c>
      <c r="M157" s="3">
        <f>COUNTIF('OBO_Cleaned Data'!RT:RT,"1")</f>
        <v>0</v>
      </c>
    </row>
    <row r="158" spans="1:13" ht="49" x14ac:dyDescent="0.3">
      <c r="C158" s="52" t="s">
        <v>2037</v>
      </c>
      <c r="D158" s="6" t="e">
        <f>D157/(E147+F147)</f>
        <v>#DIV/0!</v>
      </c>
      <c r="E158" s="6" t="e">
        <f>E157/(E147+F147)</f>
        <v>#DIV/0!</v>
      </c>
      <c r="F158" s="6" t="e">
        <f>F157/(E147+F147)</f>
        <v>#DIV/0!</v>
      </c>
      <c r="G158" s="6" t="e">
        <f>G157/(E147+F147)</f>
        <v>#DIV/0!</v>
      </c>
      <c r="H158" s="6" t="e">
        <f>H157/(E147+F147)</f>
        <v>#DIV/0!</v>
      </c>
      <c r="I158" s="6" t="e">
        <f>I157/(E147+F147)</f>
        <v>#DIV/0!</v>
      </c>
      <c r="J158" s="6" t="e">
        <f>J157/(E147+F147)</f>
        <v>#DIV/0!</v>
      </c>
      <c r="K158" s="6" t="e">
        <f>K157/(E147+F147)</f>
        <v>#DIV/0!</v>
      </c>
      <c r="L158" s="6" t="e">
        <f>L157/(E147+F147)</f>
        <v>#DIV/0!</v>
      </c>
      <c r="M158" s="6" t="e">
        <f>M157/(E147+F147)</f>
        <v>#DIV/0!</v>
      </c>
    </row>
    <row r="159" spans="1:13" x14ac:dyDescent="0.3">
      <c r="C159" s="49"/>
    </row>
    <row r="160" spans="1:13" ht="15.5" x14ac:dyDescent="0.35">
      <c r="A160" s="28" t="s">
        <v>1435</v>
      </c>
    </row>
    <row r="161" spans="1:8" ht="28" x14ac:dyDescent="0.3">
      <c r="A161" s="3"/>
      <c r="B161" s="7" t="s">
        <v>1436</v>
      </c>
      <c r="C161" s="7" t="s">
        <v>1437</v>
      </c>
      <c r="D161" s="7" t="s">
        <v>1438</v>
      </c>
      <c r="E161" s="7" t="s">
        <v>1439</v>
      </c>
      <c r="F161" s="7" t="s">
        <v>1440</v>
      </c>
      <c r="G161" s="7" t="s">
        <v>1706</v>
      </c>
      <c r="H161" s="102" t="s">
        <v>1197</v>
      </c>
    </row>
    <row r="162" spans="1:8" x14ac:dyDescent="0.3">
      <c r="A162" s="3" t="s">
        <v>1198</v>
      </c>
      <c r="B162" s="3">
        <f>COUNTIF('OBO_Cleaned Data'!SE:SE,"fortement_sur:utilise")</f>
        <v>0</v>
      </c>
      <c r="C162" s="3">
        <f>COUNTIF('OBO_Cleaned Data'!SE:SE,"sur_utilise")</f>
        <v>0</v>
      </c>
      <c r="D162" s="3">
        <f>COUNTIF('OBO_Cleaned Data'!SE:SE,"ok")</f>
        <v>2</v>
      </c>
      <c r="E162" s="3">
        <f>COUNTIF('OBO_Cleaned Data'!SE:SE,"sous_utilise")</f>
        <v>0</v>
      </c>
      <c r="F162" s="3">
        <f>COUNTIF('OBO_Cleaned Data'!SE:SE,"fortement_sous_utilise")</f>
        <v>0</v>
      </c>
      <c r="G162" s="3">
        <f>COUNTIF('OBO_Cleaned Data'!SE:SE,"nsp")</f>
        <v>0</v>
      </c>
      <c r="H162" s="103">
        <f>SUM(B162:G162)</f>
        <v>2</v>
      </c>
    </row>
    <row r="163" spans="1:8" s="35" customFormat="1" ht="37" x14ac:dyDescent="0.3">
      <c r="A163" s="53" t="s">
        <v>2031</v>
      </c>
      <c r="B163" s="88">
        <f>B162/$E$9</f>
        <v>0</v>
      </c>
      <c r="C163" s="88">
        <f t="shared" ref="C163:G163" si="11">C162/$E$9</f>
        <v>0</v>
      </c>
      <c r="D163" s="88">
        <f t="shared" si="11"/>
        <v>1</v>
      </c>
      <c r="E163" s="88">
        <f t="shared" si="11"/>
        <v>0</v>
      </c>
      <c r="F163" s="88">
        <f t="shared" si="11"/>
        <v>0</v>
      </c>
      <c r="G163" s="88">
        <f t="shared" si="11"/>
        <v>0</v>
      </c>
      <c r="H163" s="92">
        <f>SUM(B163:G163)</f>
        <v>1</v>
      </c>
    </row>
    <row r="166" spans="1:8" ht="15.5" x14ac:dyDescent="0.3">
      <c r="A166" s="79" t="s">
        <v>1441</v>
      </c>
      <c r="E166" s="121">
        <f>AVERAGE('OBO_Cleaned Data'!SF:SF)</f>
        <v>38</v>
      </c>
    </row>
    <row r="167" spans="1:8" ht="15.5" x14ac:dyDescent="0.35">
      <c r="A167" s="78" t="s">
        <v>1442</v>
      </c>
      <c r="E167" s="20">
        <f>AVERAGE('OBO_Cleaned Data'!SG:SG)</f>
        <v>2</v>
      </c>
    </row>
    <row r="168" spans="1:8" ht="15.5" x14ac:dyDescent="0.35">
      <c r="A168" s="28" t="s">
        <v>1443</v>
      </c>
      <c r="E168" s="9">
        <f>AVERAGE('OBO_Cleaned Data'!SH:SH)</f>
        <v>5</v>
      </c>
    </row>
    <row r="169" spans="1:8" ht="15.5" x14ac:dyDescent="0.35">
      <c r="A169" s="28" t="s">
        <v>1444</v>
      </c>
      <c r="E169" s="9">
        <f>AVERAGE('OBO_Cleaned Data'!SI:SI)</f>
        <v>2</v>
      </c>
    </row>
    <row r="170" spans="1:8" ht="15.5" x14ac:dyDescent="0.35">
      <c r="A170" s="28" t="s">
        <v>1445</v>
      </c>
      <c r="E170" s="9">
        <f>AVERAGE('OBO_Cleaned Data'!SJ:SJ)</f>
        <v>6</v>
      </c>
    </row>
    <row r="171" spans="1:8" ht="15.5" x14ac:dyDescent="0.35">
      <c r="A171" s="28" t="s">
        <v>1446</v>
      </c>
      <c r="E171" s="9">
        <f>AVERAGE('OBO_Cleaned Data'!SK:SK)</f>
        <v>2</v>
      </c>
    </row>
    <row r="172" spans="1:8" ht="15.5" x14ac:dyDescent="0.35">
      <c r="A172" s="78" t="s">
        <v>1447</v>
      </c>
      <c r="B172" s="20"/>
      <c r="C172" s="20"/>
      <c r="D172" s="20"/>
      <c r="E172" s="20">
        <f>AVERAGE('OBO_Cleaned Data'!SL:SL)</f>
        <v>14.5</v>
      </c>
    </row>
    <row r="173" spans="1:8" ht="15.5" x14ac:dyDescent="0.35">
      <c r="A173" s="28" t="s">
        <v>1448</v>
      </c>
      <c r="E173" s="9">
        <f>AVERAGE('OBO_Cleaned Data'!SM:SM)</f>
        <v>5</v>
      </c>
    </row>
    <row r="174" spans="1:8" x14ac:dyDescent="0.3">
      <c r="A174" s="133" t="s">
        <v>2074</v>
      </c>
    </row>
    <row r="176" spans="1:8" ht="15.5" x14ac:dyDescent="0.35">
      <c r="A176" s="8" t="s">
        <v>1286</v>
      </c>
    </row>
    <row r="177" spans="1:8" ht="15.5" x14ac:dyDescent="0.35">
      <c r="A177" s="28" t="s">
        <v>1456</v>
      </c>
    </row>
    <row r="178" spans="1:8" x14ac:dyDescent="0.3">
      <c r="A178" s="3"/>
      <c r="B178" s="7" t="s">
        <v>1458</v>
      </c>
      <c r="C178" s="7" t="s">
        <v>1459</v>
      </c>
      <c r="D178" s="7" t="s">
        <v>1460</v>
      </c>
      <c r="E178" s="7" t="s">
        <v>1457</v>
      </c>
      <c r="F178" s="7" t="s">
        <v>2006</v>
      </c>
      <c r="G178" s="7" t="s">
        <v>1211</v>
      </c>
      <c r="H178" s="102" t="s">
        <v>1197</v>
      </c>
    </row>
    <row r="179" spans="1:8" x14ac:dyDescent="0.3">
      <c r="A179" s="3" t="s">
        <v>1198</v>
      </c>
      <c r="B179" s="3">
        <f>COUNTIF('OBO_Cleaned Data'!UM:UM,"public")</f>
        <v>1</v>
      </c>
      <c r="C179" s="3">
        <f>COUNTIF('OBO_Cleaned Data'!UM:UM,"prive")</f>
        <v>1</v>
      </c>
      <c r="D179" s="3">
        <f>COUNTIF('OBO_Cleaned Data'!UM:UM,"religieux")</f>
        <v>0</v>
      </c>
      <c r="E179" s="3">
        <f>COUNTIF('OBO_Cleaned Data'!UM:UM,"ong")</f>
        <v>0</v>
      </c>
      <c r="F179" s="3">
        <f>COUNTIF('OBO_Cleaned Data'!UM:UM,"nsp")</f>
        <v>0</v>
      </c>
      <c r="G179" s="113">
        <f>COUNTIF('OBO_Cleaned Data'!UM:UM,"autre")</f>
        <v>0</v>
      </c>
      <c r="H179" s="103">
        <f>SUM(B179:G179)</f>
        <v>2</v>
      </c>
    </row>
    <row r="180" spans="1:8" s="35" customFormat="1" ht="37" x14ac:dyDescent="0.3">
      <c r="A180" s="53" t="s">
        <v>2038</v>
      </c>
      <c r="B180" s="88">
        <f t="shared" ref="B180:G180" si="12">B179/$C$4</f>
        <v>0.5</v>
      </c>
      <c r="C180" s="88">
        <f t="shared" si="12"/>
        <v>0.5</v>
      </c>
      <c r="D180" s="88">
        <f t="shared" si="12"/>
        <v>0</v>
      </c>
      <c r="E180" s="88">
        <f t="shared" si="12"/>
        <v>0</v>
      </c>
      <c r="F180" s="88">
        <f t="shared" si="12"/>
        <v>0</v>
      </c>
      <c r="G180" s="88">
        <f t="shared" si="12"/>
        <v>0</v>
      </c>
      <c r="H180" s="92">
        <f>SUM(B180:G180)</f>
        <v>1</v>
      </c>
    </row>
    <row r="181" spans="1:8" x14ac:dyDescent="0.3">
      <c r="A181" s="13"/>
      <c r="B181" s="13"/>
      <c r="C181" s="13"/>
      <c r="D181" s="13"/>
      <c r="E181" s="13"/>
      <c r="F181" s="13"/>
    </row>
    <row r="182" spans="1:8" ht="15.5" x14ac:dyDescent="0.35">
      <c r="A182" s="44" t="s">
        <v>1461</v>
      </c>
      <c r="B182" s="13"/>
      <c r="C182" s="13"/>
      <c r="D182" s="13"/>
      <c r="E182" s="13"/>
      <c r="F182" s="13"/>
    </row>
    <row r="183" spans="1:8" x14ac:dyDescent="0.3">
      <c r="A183" s="3"/>
      <c r="B183" s="7" t="s">
        <v>1201</v>
      </c>
      <c r="C183" s="7" t="s">
        <v>1200</v>
      </c>
      <c r="D183" s="102" t="s">
        <v>1197</v>
      </c>
      <c r="E183" s="13"/>
      <c r="F183" s="13"/>
    </row>
    <row r="184" spans="1:8" x14ac:dyDescent="0.3">
      <c r="A184" s="3" t="s">
        <v>1198</v>
      </c>
      <c r="B184" s="3">
        <f>COUNTIF('OBO_Cleaned Data'!UO:UO,"oui")</f>
        <v>2</v>
      </c>
      <c r="C184" s="3">
        <f>COUNTIF('OBO_Cleaned Data'!UO:UO,"non")</f>
        <v>0</v>
      </c>
      <c r="D184" s="103">
        <f>SUM(B184:C184)</f>
        <v>2</v>
      </c>
      <c r="E184" s="13"/>
      <c r="F184" s="13"/>
    </row>
    <row r="185" spans="1:8" s="35" customFormat="1" ht="37" x14ac:dyDescent="0.3">
      <c r="A185" s="53" t="s">
        <v>2038</v>
      </c>
      <c r="B185" s="88">
        <f>(B184/$C$4)</f>
        <v>1</v>
      </c>
      <c r="C185" s="88">
        <f>(C184/$C$4)</f>
        <v>0</v>
      </c>
      <c r="D185" s="92">
        <f>SUM(B185:C185)</f>
        <v>1</v>
      </c>
      <c r="E185" s="46"/>
      <c r="F185" s="46"/>
    </row>
    <row r="186" spans="1:8" ht="15.5" x14ac:dyDescent="0.35">
      <c r="A186" s="8"/>
    </row>
    <row r="187" spans="1:8" ht="15.5" x14ac:dyDescent="0.35">
      <c r="A187" s="28" t="s">
        <v>1288</v>
      </c>
      <c r="D187" s="95" t="s">
        <v>1994</v>
      </c>
    </row>
    <row r="188" spans="1:8" x14ac:dyDescent="0.3">
      <c r="A188" s="3"/>
      <c r="B188" s="7" t="s">
        <v>1240</v>
      </c>
      <c r="C188" s="7" t="s">
        <v>1241</v>
      </c>
      <c r="D188" s="7" t="s">
        <v>1706</v>
      </c>
      <c r="E188" s="7" t="s">
        <v>1196</v>
      </c>
      <c r="F188" s="7" t="s">
        <v>1242</v>
      </c>
    </row>
    <row r="189" spans="1:8" x14ac:dyDescent="0.3">
      <c r="A189" s="3" t="s">
        <v>1198</v>
      </c>
      <c r="B189" s="3">
        <f>COUNTIF('OBO_Cleaned Data'!UG:UG,"1")</f>
        <v>2</v>
      </c>
      <c r="C189" s="3">
        <f>COUNTIF('OBO_Cleaned Data'!UH:UH,"1")</f>
        <v>0</v>
      </c>
      <c r="D189" s="3">
        <f>COUNTIF('OBO_Cleaned Data'!UI:UI,"1")</f>
        <v>0</v>
      </c>
      <c r="E189" s="3">
        <f>COUNTIF('OBO_Cleaned Data'!UJ:UJ,"1")</f>
        <v>0</v>
      </c>
      <c r="F189" s="3">
        <f>COUNTIF('OBO_Cleaned Data'!UK:UK,"1")</f>
        <v>0</v>
      </c>
    </row>
    <row r="190" spans="1:8" s="35" customFormat="1" ht="37" x14ac:dyDescent="0.3">
      <c r="A190" s="53" t="s">
        <v>2038</v>
      </c>
      <c r="B190" s="88">
        <f>B189/$C$4</f>
        <v>1</v>
      </c>
      <c r="C190" s="88">
        <f>C189/$C$4</f>
        <v>0</v>
      </c>
      <c r="D190" s="88">
        <f>D189/$C$4</f>
        <v>0</v>
      </c>
      <c r="E190" s="88">
        <f>E189/$C$4</f>
        <v>0</v>
      </c>
      <c r="F190" s="88">
        <f t="shared" ref="F190" si="13">F189/$B$9</f>
        <v>0</v>
      </c>
    </row>
    <row r="192" spans="1:8" ht="15.5" x14ac:dyDescent="0.35">
      <c r="A192" s="28" t="s">
        <v>1289</v>
      </c>
      <c r="D192" s="95" t="s">
        <v>1994</v>
      </c>
    </row>
    <row r="193" spans="1:26" s="35" customFormat="1" ht="76.5" customHeight="1" x14ac:dyDescent="0.35">
      <c r="A193" s="7" t="s">
        <v>1462</v>
      </c>
      <c r="B193" s="7" t="s">
        <v>1858</v>
      </c>
      <c r="C193" s="7" t="s">
        <v>1463</v>
      </c>
      <c r="D193" s="7" t="s">
        <v>1464</v>
      </c>
      <c r="E193" s="7" t="s">
        <v>1465</v>
      </c>
      <c r="F193" s="7" t="s">
        <v>1466</v>
      </c>
      <c r="G193" s="7" t="s">
        <v>1467</v>
      </c>
      <c r="H193" s="7" t="s">
        <v>1859</v>
      </c>
      <c r="I193" s="7" t="s">
        <v>1468</v>
      </c>
      <c r="J193" s="7" t="s">
        <v>1368</v>
      </c>
      <c r="K193" s="7" t="s">
        <v>1469</v>
      </c>
      <c r="L193" s="7" t="s">
        <v>1860</v>
      </c>
      <c r="M193" s="7" t="s">
        <v>1861</v>
      </c>
      <c r="N193" s="7" t="s">
        <v>1371</v>
      </c>
      <c r="O193" s="7" t="s">
        <v>2006</v>
      </c>
      <c r="P193" s="7" t="s">
        <v>1196</v>
      </c>
    </row>
    <row r="194" spans="1:26" x14ac:dyDescent="0.3">
      <c r="A194" s="3">
        <f>COUNTIF('OBO_Cleaned Data'!UQ:UQ,"1")</f>
        <v>1</v>
      </c>
      <c r="B194" s="3">
        <f>COUNTIF('OBO_Cleaned Data'!UR:UR,"1")</f>
        <v>0</v>
      </c>
      <c r="C194" s="3">
        <f>COUNTIF('OBO_Cleaned Data'!US:US,"1")</f>
        <v>2</v>
      </c>
      <c r="D194" s="3">
        <f>COUNTIF('OBO_Cleaned Data'!UT:UT,"1")</f>
        <v>0</v>
      </c>
      <c r="E194" s="3">
        <f>COUNTIF('OBO_Cleaned Data'!UU:UU,"1")</f>
        <v>1</v>
      </c>
      <c r="F194" s="3">
        <f>COUNTIF('OBO_Cleaned Data'!UV:UV,"1")</f>
        <v>1</v>
      </c>
      <c r="G194" s="3">
        <f>COUNTIF('OBO_Cleaned Data'!UW:UW,"1")</f>
        <v>1</v>
      </c>
      <c r="H194" s="3">
        <f>COUNTIF('OBO_Cleaned Data'!UX:UX,"1")</f>
        <v>2</v>
      </c>
      <c r="I194" s="3">
        <f>COUNTIF('OBO_Cleaned Data'!UY:UY,"1")</f>
        <v>1</v>
      </c>
      <c r="J194" s="3">
        <f>COUNTIF('OBO_Cleaned Data'!UZ:UZ,"1")</f>
        <v>0</v>
      </c>
      <c r="K194" s="3">
        <f>COUNTIF('OBO_Cleaned Data'!VA:VA,"1")</f>
        <v>0</v>
      </c>
      <c r="L194" s="3">
        <f>COUNTIF('OBO_Cleaned Data'!VB:VB,"1")</f>
        <v>0</v>
      </c>
      <c r="M194" s="3">
        <f>COUNTIF('OBO_Cleaned Data'!VC:VC,"1")</f>
        <v>0</v>
      </c>
      <c r="N194" s="3">
        <f>COUNTIF('OBO_Cleaned Data'!VD:VD,"1")</f>
        <v>0</v>
      </c>
      <c r="O194" s="3">
        <f>COUNTIF('OBO_Cleaned Data'!VE:VE,"1")</f>
        <v>0</v>
      </c>
      <c r="P194" s="3">
        <f>COUNTIF('OBO_Cleaned Data'!VF:VF,"1")</f>
        <v>0</v>
      </c>
    </row>
    <row r="196" spans="1:26" ht="15.5" x14ac:dyDescent="0.35">
      <c r="A196" s="28" t="s">
        <v>1290</v>
      </c>
      <c r="D196" s="95" t="s">
        <v>1994</v>
      </c>
    </row>
    <row r="197" spans="1:26" ht="28" x14ac:dyDescent="0.3">
      <c r="A197" s="7" t="s">
        <v>1226</v>
      </c>
      <c r="B197" s="7" t="s">
        <v>1246</v>
      </c>
      <c r="C197" s="7" t="s">
        <v>1247</v>
      </c>
      <c r="D197" s="7" t="s">
        <v>1229</v>
      </c>
      <c r="E197" s="7" t="s">
        <v>1230</v>
      </c>
      <c r="F197" s="7" t="s">
        <v>1248</v>
      </c>
      <c r="G197" s="7" t="s">
        <v>1249</v>
      </c>
      <c r="H197" s="7" t="s">
        <v>1250</v>
      </c>
      <c r="I197" s="7" t="s">
        <v>1251</v>
      </c>
      <c r="J197" s="7" t="s">
        <v>1242</v>
      </c>
      <c r="K197" s="7" t="s">
        <v>1706</v>
      </c>
      <c r="L197" s="7" t="s">
        <v>1211</v>
      </c>
    </row>
    <row r="198" spans="1:26" x14ac:dyDescent="0.3">
      <c r="A198" s="23">
        <f>COUNTIF('OBO_Cleaned Data'!VI:VI,"1")</f>
        <v>1</v>
      </c>
      <c r="B198" s="23">
        <f>COUNTIF('OBO_Cleaned Data'!VJ:VJ,"1")</f>
        <v>0</v>
      </c>
      <c r="C198" s="23">
        <f>COUNTIF('OBO_Cleaned Data'!VK:VK,"1")</f>
        <v>0</v>
      </c>
      <c r="D198" s="23">
        <f>COUNTIF('OBO_Cleaned Data'!VL:VL,"1")</f>
        <v>0</v>
      </c>
      <c r="E198" s="23">
        <f>COUNTIF('OBO_Cleaned Data'!VM:VM,"1")</f>
        <v>1</v>
      </c>
      <c r="F198" s="23">
        <f>COUNTIF('OBO_Cleaned Data'!VN:VN,"1")</f>
        <v>0</v>
      </c>
      <c r="G198" s="23">
        <f>COUNTIF('OBO_Cleaned Data'!VO:VO,"1")</f>
        <v>0</v>
      </c>
      <c r="H198" s="23">
        <f>COUNTIF('OBO_Cleaned Data'!VP:VP,"1")</f>
        <v>0</v>
      </c>
      <c r="I198" s="23">
        <f>COUNTIF('OBO_Cleaned Data'!VQ:VQ,"1")</f>
        <v>0</v>
      </c>
      <c r="J198" s="23">
        <f>COUNTIF('OBO_Cleaned Data'!VR:VR,"1")</f>
        <v>0</v>
      </c>
      <c r="K198" s="23">
        <f>COUNTIF('OBO_Cleaned Data'!VS:VS,"1")</f>
        <v>0</v>
      </c>
      <c r="L198" s="23">
        <f>COUNTIF('OBO_Cleaned Data'!VT:VT,"1")</f>
        <v>0</v>
      </c>
    </row>
    <row r="200" spans="1:26" ht="15.5" x14ac:dyDescent="0.35">
      <c r="A200" s="28" t="s">
        <v>1324</v>
      </c>
    </row>
    <row r="201" spans="1:26" x14ac:dyDescent="0.3">
      <c r="A201" s="3"/>
      <c r="B201" s="7" t="s">
        <v>1201</v>
      </c>
      <c r="C201" s="7" t="s">
        <v>1200</v>
      </c>
      <c r="D201" s="102" t="s">
        <v>1197</v>
      </c>
    </row>
    <row r="202" spans="1:26" x14ac:dyDescent="0.3">
      <c r="A202" s="3" t="s">
        <v>1198</v>
      </c>
      <c r="B202" s="23">
        <f>COUNTIF('OBO_Cleaned Data'!VW:VW,"OUI")</f>
        <v>2</v>
      </c>
      <c r="C202" s="23">
        <f>COUNTIF('OBO_Cleaned Data'!VW:VW,"non")</f>
        <v>0</v>
      </c>
      <c r="D202" s="103">
        <f>SUM(B202:C202)</f>
        <v>2</v>
      </c>
    </row>
    <row r="203" spans="1:26" ht="37.5" x14ac:dyDescent="0.3">
      <c r="A203" s="52" t="s">
        <v>2021</v>
      </c>
      <c r="B203" s="38">
        <f>(B202/$C$4)</f>
        <v>1</v>
      </c>
      <c r="C203" s="38">
        <f>(C202/$C$4)</f>
        <v>0</v>
      </c>
      <c r="D203" s="92">
        <f>SUM(B203:C203)</f>
        <v>1</v>
      </c>
    </row>
    <row r="204" spans="1:26" x14ac:dyDescent="0.3">
      <c r="A204" s="86"/>
      <c r="B204" s="14"/>
      <c r="C204" s="14"/>
    </row>
    <row r="205" spans="1:26" s="1" customFormat="1" x14ac:dyDescent="0.3">
      <c r="A205" s="9"/>
      <c r="B205" s="17" t="s">
        <v>1252</v>
      </c>
      <c r="C205" s="9"/>
      <c r="D205" s="95" t="s">
        <v>1994</v>
      </c>
      <c r="E205" s="9"/>
      <c r="F205" s="9"/>
      <c r="G205" s="9"/>
      <c r="H205" s="9"/>
      <c r="I205" s="9"/>
      <c r="J205" s="9"/>
      <c r="K205" s="9"/>
      <c r="L205" s="9"/>
      <c r="M205" s="9"/>
      <c r="N205" s="9"/>
      <c r="O205" s="9"/>
      <c r="P205" s="9"/>
      <c r="Q205" s="9"/>
      <c r="R205" s="9"/>
      <c r="S205" s="9"/>
      <c r="T205" s="9"/>
      <c r="U205" s="9"/>
      <c r="V205" s="9"/>
      <c r="W205" s="9"/>
      <c r="X205" s="9"/>
      <c r="Y205" s="9"/>
      <c r="Z205" s="9"/>
    </row>
    <row r="206" spans="1:26" s="55" customFormat="1" ht="28" x14ac:dyDescent="0.3">
      <c r="A206" s="35"/>
      <c r="B206" s="3"/>
      <c r="C206" s="10" t="s">
        <v>1723</v>
      </c>
      <c r="D206" s="10" t="s">
        <v>1359</v>
      </c>
      <c r="E206" s="10" t="s">
        <v>1724</v>
      </c>
      <c r="F206" s="10" t="s">
        <v>1725</v>
      </c>
      <c r="G206" s="10" t="s">
        <v>1726</v>
      </c>
      <c r="H206" s="10" t="s">
        <v>1706</v>
      </c>
      <c r="I206" s="10" t="s">
        <v>1196</v>
      </c>
      <c r="J206" s="60"/>
      <c r="K206" s="60"/>
      <c r="L206" s="35"/>
      <c r="M206" s="35"/>
      <c r="N206" s="35"/>
      <c r="O206" s="35"/>
      <c r="P206" s="35"/>
      <c r="Q206" s="35"/>
      <c r="R206" s="35"/>
      <c r="S206" s="35"/>
      <c r="T206" s="35"/>
      <c r="U206" s="35"/>
      <c r="V206" s="35"/>
      <c r="W206" s="35"/>
      <c r="X206" s="35"/>
      <c r="Y206" s="35"/>
      <c r="Z206" s="35"/>
    </row>
    <row r="207" spans="1:26" s="1" customFormat="1" x14ac:dyDescent="0.3">
      <c r="A207" s="9"/>
      <c r="B207" s="3" t="s">
        <v>1198</v>
      </c>
      <c r="C207" s="23">
        <f>COUNTIF('OBO_Cleaned Data'!VY:VY,"1")</f>
        <v>0</v>
      </c>
      <c r="D207" s="23">
        <f>COUNTIF('OBO_Cleaned Data'!VZ:VZ,"1")</f>
        <v>1</v>
      </c>
      <c r="E207" s="23">
        <f>COUNTIF('OBO_Cleaned Data'!WA:WA,"1")</f>
        <v>0</v>
      </c>
      <c r="F207" s="23">
        <f>COUNTIF('OBO_Cleaned Data'!WB:WB,"1")</f>
        <v>0</v>
      </c>
      <c r="G207" s="23">
        <f>COUNTIF('OBO_Cleaned Data'!WC:WC,"1")</f>
        <v>2</v>
      </c>
      <c r="H207" s="23">
        <f>COUNTIF('OBO_Cleaned Data'!WD:WD,"1")</f>
        <v>0</v>
      </c>
      <c r="I207" s="23">
        <f>COUNTIF('OBO_Cleaned Data'!WE:WE,"1")</f>
        <v>0</v>
      </c>
      <c r="J207" s="9"/>
      <c r="K207" s="9"/>
      <c r="L207" s="9"/>
      <c r="M207" s="9"/>
      <c r="N207" s="9"/>
      <c r="O207" s="9"/>
      <c r="P207" s="9"/>
      <c r="Q207" s="9"/>
      <c r="R207" s="9"/>
      <c r="S207" s="9"/>
      <c r="T207" s="9"/>
      <c r="U207" s="9"/>
      <c r="V207" s="9"/>
      <c r="W207" s="9"/>
      <c r="X207" s="9"/>
      <c r="Y207" s="9"/>
      <c r="Z207" s="9"/>
    </row>
    <row r="208" spans="1:26" s="1" customFormat="1" ht="37.5" x14ac:dyDescent="0.3">
      <c r="A208" s="9"/>
      <c r="B208" s="52" t="s">
        <v>2039</v>
      </c>
      <c r="C208" s="6">
        <f>C207/$B$202</f>
        <v>0</v>
      </c>
      <c r="D208" s="6">
        <f t="shared" ref="D208:I208" si="14">D207/$B$202</f>
        <v>0.5</v>
      </c>
      <c r="E208" s="6">
        <f t="shared" si="14"/>
        <v>0</v>
      </c>
      <c r="F208" s="6">
        <f t="shared" si="14"/>
        <v>0</v>
      </c>
      <c r="G208" s="6">
        <f t="shared" si="14"/>
        <v>1</v>
      </c>
      <c r="H208" s="6">
        <f t="shared" si="14"/>
        <v>0</v>
      </c>
      <c r="I208" s="6">
        <f t="shared" si="14"/>
        <v>0</v>
      </c>
      <c r="J208" s="73"/>
      <c r="K208" s="9"/>
      <c r="L208" s="9"/>
      <c r="M208" s="9"/>
      <c r="N208" s="9"/>
      <c r="O208" s="9"/>
      <c r="P208" s="9"/>
      <c r="Q208" s="9"/>
      <c r="R208" s="9"/>
      <c r="S208" s="9"/>
      <c r="T208" s="9"/>
      <c r="U208" s="9"/>
      <c r="V208" s="9"/>
      <c r="W208" s="9"/>
      <c r="X208" s="9"/>
      <c r="Y208" s="9"/>
      <c r="Z208" s="9"/>
    </row>
    <row r="209" spans="1:26" s="1" customFormat="1" x14ac:dyDescent="0.3">
      <c r="A209" s="9"/>
      <c r="B209" s="9"/>
      <c r="C209" s="9"/>
      <c r="D209" s="9"/>
      <c r="E209" s="9"/>
      <c r="F209" s="9"/>
      <c r="G209" s="9"/>
      <c r="H209" s="9"/>
      <c r="I209" s="73"/>
      <c r="J209" s="9"/>
      <c r="K209" s="9"/>
      <c r="L209" s="9"/>
      <c r="M209" s="9"/>
      <c r="N209" s="9"/>
      <c r="O209" s="9"/>
      <c r="P209" s="9"/>
      <c r="Q209" s="9"/>
      <c r="R209" s="9"/>
      <c r="S209" s="9"/>
      <c r="T209" s="9"/>
      <c r="U209" s="9"/>
      <c r="V209" s="9"/>
      <c r="W209" s="9"/>
      <c r="X209" s="9"/>
      <c r="Y209" s="9"/>
      <c r="Z209" s="9"/>
    </row>
    <row r="210" spans="1:26" s="1" customFormat="1" x14ac:dyDescent="0.3">
      <c r="A210" s="9"/>
      <c r="B210" s="9"/>
      <c r="C210" s="9"/>
      <c r="D210" s="9"/>
      <c r="E210" s="9"/>
      <c r="F210" s="9"/>
      <c r="G210" s="9"/>
      <c r="H210" s="9"/>
      <c r="I210" s="73"/>
      <c r="J210" s="9"/>
      <c r="K210" s="9"/>
      <c r="L210" s="9"/>
      <c r="M210" s="9"/>
      <c r="N210" s="9"/>
      <c r="O210" s="9"/>
      <c r="P210" s="9"/>
      <c r="Q210" s="9"/>
      <c r="R210" s="9"/>
      <c r="S210" s="9"/>
      <c r="T210" s="9"/>
      <c r="U210" s="9"/>
      <c r="V210" s="9"/>
      <c r="W210" s="9"/>
      <c r="X210" s="9"/>
      <c r="Y210" s="9"/>
      <c r="Z210" s="9"/>
    </row>
    <row r="211" spans="1:26" s="1" customFormat="1" x14ac:dyDescent="0.3">
      <c r="A211" s="9"/>
      <c r="B211" s="17" t="s">
        <v>1255</v>
      </c>
      <c r="C211" s="9"/>
      <c r="D211" s="95" t="s">
        <v>1994</v>
      </c>
      <c r="E211" s="9"/>
      <c r="F211" s="9"/>
      <c r="G211" s="9"/>
      <c r="H211" s="9"/>
      <c r="I211" s="9"/>
      <c r="J211" s="9"/>
      <c r="K211" s="9"/>
      <c r="L211" s="9"/>
      <c r="M211" s="9"/>
      <c r="N211" s="9"/>
      <c r="O211" s="9"/>
      <c r="P211" s="9"/>
      <c r="Q211" s="9"/>
      <c r="R211" s="9"/>
      <c r="S211" s="9"/>
      <c r="T211" s="9"/>
      <c r="U211" s="9"/>
      <c r="V211" s="9"/>
      <c r="W211" s="9"/>
      <c r="X211" s="9"/>
      <c r="Y211" s="9"/>
      <c r="Z211" s="9"/>
    </row>
    <row r="212" spans="1:26" s="55" customFormat="1" ht="56" x14ac:dyDescent="0.3">
      <c r="A212" s="35"/>
      <c r="B212" s="3"/>
      <c r="C212" s="10" t="s">
        <v>1729</v>
      </c>
      <c r="D212" s="10" t="s">
        <v>1727</v>
      </c>
      <c r="E212" s="10" t="s">
        <v>1258</v>
      </c>
      <c r="F212" s="10" t="s">
        <v>1259</v>
      </c>
      <c r="G212" s="10" t="s">
        <v>1728</v>
      </c>
      <c r="H212" s="10" t="s">
        <v>1256</v>
      </c>
      <c r="I212" s="10" t="s">
        <v>1257</v>
      </c>
      <c r="J212" s="10" t="s">
        <v>1730</v>
      </c>
      <c r="K212" s="10" t="s">
        <v>1731</v>
      </c>
      <c r="L212" s="10" t="s">
        <v>1732</v>
      </c>
      <c r="M212" s="10" t="s">
        <v>1733</v>
      </c>
      <c r="N212" s="10" t="s">
        <v>1706</v>
      </c>
      <c r="O212" s="10" t="s">
        <v>1211</v>
      </c>
      <c r="P212" s="60"/>
      <c r="Q212" s="60"/>
      <c r="S212" s="35"/>
      <c r="T212" s="35"/>
      <c r="U212" s="35"/>
      <c r="V212" s="35"/>
      <c r="W212" s="35"/>
      <c r="X212" s="35"/>
      <c r="Y212" s="35"/>
      <c r="Z212" s="35"/>
    </row>
    <row r="213" spans="1:26" s="1" customFormat="1" x14ac:dyDescent="0.3">
      <c r="A213" s="9"/>
      <c r="B213" s="3" t="s">
        <v>1198</v>
      </c>
      <c r="C213" s="23">
        <f>COUNTIF('OBO_Cleaned Data'!WH:WH,"1")</f>
        <v>0</v>
      </c>
      <c r="D213" s="23">
        <f>COUNTIF('OBO_Cleaned Data'!WI:WI,"1")</f>
        <v>1</v>
      </c>
      <c r="E213" s="23">
        <f>COUNTIF('OBO_Cleaned Data'!WJ:WJ,"1")</f>
        <v>1</v>
      </c>
      <c r="F213" s="23">
        <f>COUNTIF('OBO_Cleaned Data'!WK:WK,"1")</f>
        <v>0</v>
      </c>
      <c r="G213" s="23">
        <f>COUNTIF('OBO_Cleaned Data'!WL:WL,"1")</f>
        <v>0</v>
      </c>
      <c r="H213" s="23">
        <f>COUNTIF('OBO_Cleaned Data'!WM:WM,"1")</f>
        <v>0</v>
      </c>
      <c r="I213" s="23">
        <f>COUNTIF('OBO_Cleaned Data'!WN:WN,"1")</f>
        <v>0</v>
      </c>
      <c r="J213" s="23">
        <f>COUNTIF('OBO_Cleaned Data'!WO:WO,"1")</f>
        <v>0</v>
      </c>
      <c r="K213" s="23">
        <f>COUNTIF('OBO_Cleaned Data'!WP:WP,"1")</f>
        <v>0</v>
      </c>
      <c r="L213" s="23">
        <f>COUNTIF('OBO_Cleaned Data'!WQ:WQ,"1")</f>
        <v>0</v>
      </c>
      <c r="M213" s="23">
        <f>COUNTIF('OBO_Cleaned Data'!WR:WR,"1")</f>
        <v>0</v>
      </c>
      <c r="N213" s="23">
        <f>COUNTIF('OBO_Cleaned Data'!WS:WS,"1")</f>
        <v>0</v>
      </c>
      <c r="O213" s="23">
        <f>COUNTIF('OBO_Cleaned Data'!WT:WT,"1")</f>
        <v>0</v>
      </c>
      <c r="P213" s="9"/>
      <c r="Q213" s="9"/>
      <c r="R213" s="9"/>
      <c r="S213" s="9"/>
      <c r="T213" s="9"/>
      <c r="U213" s="9"/>
      <c r="V213" s="9"/>
      <c r="W213" s="9"/>
      <c r="X213" s="9"/>
      <c r="Y213" s="9"/>
      <c r="Z213" s="9"/>
    </row>
    <row r="214" spans="1:26" s="1" customFormat="1" ht="37.5" x14ac:dyDescent="0.3">
      <c r="A214" s="9"/>
      <c r="B214" s="52" t="s">
        <v>2039</v>
      </c>
      <c r="C214" s="6">
        <f>C213/$B$202</f>
        <v>0</v>
      </c>
      <c r="D214" s="6">
        <f t="shared" ref="D214:O214" si="15">D213/$B$202</f>
        <v>0.5</v>
      </c>
      <c r="E214" s="6">
        <f t="shared" si="15"/>
        <v>0.5</v>
      </c>
      <c r="F214" s="6">
        <f t="shared" si="15"/>
        <v>0</v>
      </c>
      <c r="G214" s="6">
        <f t="shared" si="15"/>
        <v>0</v>
      </c>
      <c r="H214" s="6">
        <f t="shared" si="15"/>
        <v>0</v>
      </c>
      <c r="I214" s="6">
        <f t="shared" si="15"/>
        <v>0</v>
      </c>
      <c r="J214" s="6">
        <f t="shared" si="15"/>
        <v>0</v>
      </c>
      <c r="K214" s="6">
        <f t="shared" si="15"/>
        <v>0</v>
      </c>
      <c r="L214" s="6">
        <f t="shared" si="15"/>
        <v>0</v>
      </c>
      <c r="M214" s="6">
        <f t="shared" si="15"/>
        <v>0</v>
      </c>
      <c r="N214" s="6">
        <f t="shared" si="15"/>
        <v>0</v>
      </c>
      <c r="O214" s="6">
        <f t="shared" si="15"/>
        <v>0</v>
      </c>
      <c r="P214" s="9"/>
      <c r="Q214" s="9"/>
      <c r="R214" s="9"/>
      <c r="S214" s="9"/>
      <c r="T214" s="9"/>
      <c r="U214" s="9"/>
      <c r="V214" s="9"/>
      <c r="W214" s="9"/>
      <c r="X214" s="9"/>
      <c r="Y214" s="9"/>
      <c r="Z214" s="9"/>
    </row>
    <row r="215" spans="1:26" x14ac:dyDescent="0.3">
      <c r="B215" s="14"/>
      <c r="C215" s="14"/>
      <c r="D215" s="14"/>
      <c r="E215" s="14"/>
      <c r="F215" s="14"/>
      <c r="G215" s="14"/>
      <c r="H215" s="14"/>
    </row>
    <row r="216" spans="1:26" s="1" customFormat="1" x14ac:dyDescent="0.3">
      <c r="A216" s="9"/>
      <c r="B216" s="17" t="s">
        <v>1393</v>
      </c>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s="1" customFormat="1" x14ac:dyDescent="0.3">
      <c r="A217" s="9"/>
      <c r="B217" s="3"/>
      <c r="C217" s="10" t="s">
        <v>1201</v>
      </c>
      <c r="D217" s="10" t="s">
        <v>1200</v>
      </c>
      <c r="E217" s="102" t="s">
        <v>1197</v>
      </c>
      <c r="F217" s="9"/>
      <c r="G217" s="9"/>
      <c r="H217" s="9"/>
      <c r="I217" s="9"/>
      <c r="J217" s="9"/>
      <c r="K217" s="9"/>
      <c r="L217" s="9"/>
      <c r="M217" s="9"/>
      <c r="N217" s="9"/>
      <c r="O217" s="9"/>
      <c r="P217" s="9"/>
      <c r="Q217" s="9"/>
      <c r="R217" s="9"/>
      <c r="S217" s="9"/>
      <c r="T217" s="9"/>
      <c r="U217" s="9"/>
      <c r="V217" s="9"/>
      <c r="W217" s="9"/>
      <c r="X217" s="9"/>
      <c r="Y217" s="9"/>
      <c r="Z217" s="9"/>
    </row>
    <row r="218" spans="1:26" s="1" customFormat="1" x14ac:dyDescent="0.3">
      <c r="A218" s="9"/>
      <c r="B218" s="3" t="s">
        <v>1198</v>
      </c>
      <c r="C218" s="23">
        <f>COUNTIF('OBO_Cleaned Data'!WV:WV,"OUI")</f>
        <v>0</v>
      </c>
      <c r="D218" s="23">
        <f>COUNTIF('OBO_Cleaned Data'!WV:WV,"non")</f>
        <v>2</v>
      </c>
      <c r="E218" s="103">
        <f>SUM(C218:D218)</f>
        <v>2</v>
      </c>
      <c r="F218" s="9"/>
      <c r="G218" s="9"/>
      <c r="H218" s="9"/>
      <c r="I218" s="9"/>
      <c r="J218" s="9"/>
      <c r="K218" s="9"/>
      <c r="L218" s="9"/>
      <c r="M218" s="9"/>
      <c r="N218" s="9"/>
      <c r="O218" s="9"/>
      <c r="P218" s="9"/>
      <c r="Q218" s="9"/>
      <c r="R218" s="9"/>
      <c r="S218" s="9"/>
      <c r="T218" s="9"/>
      <c r="U218" s="9"/>
      <c r="V218" s="9"/>
      <c r="W218" s="9"/>
      <c r="X218" s="9"/>
      <c r="Y218" s="9"/>
      <c r="Z218" s="9"/>
    </row>
    <row r="219" spans="1:26" s="1" customFormat="1" ht="37.5" x14ac:dyDescent="0.3">
      <c r="A219" s="9"/>
      <c r="B219" s="52" t="s">
        <v>2039</v>
      </c>
      <c r="C219" s="6">
        <f>(C218/$B$202)</f>
        <v>0</v>
      </c>
      <c r="D219" s="6">
        <f>(D218/$B$202)</f>
        <v>1</v>
      </c>
      <c r="E219" s="92">
        <f>SUM(C219:D219)</f>
        <v>1</v>
      </c>
      <c r="F219" s="9"/>
      <c r="G219" s="9"/>
      <c r="H219" s="9"/>
      <c r="I219" s="9"/>
      <c r="J219" s="9"/>
      <c r="K219" s="9"/>
      <c r="L219" s="9"/>
      <c r="M219" s="9"/>
      <c r="N219" s="9"/>
      <c r="O219" s="9"/>
      <c r="P219" s="9"/>
      <c r="Q219" s="9"/>
      <c r="R219" s="9"/>
      <c r="S219" s="9"/>
      <c r="T219" s="9"/>
      <c r="U219" s="9"/>
      <c r="V219" s="9"/>
      <c r="W219" s="9"/>
      <c r="X219" s="9"/>
      <c r="Y219" s="9"/>
      <c r="Z219" s="9"/>
    </row>
    <row r="220" spans="1:26" s="1" customFormat="1" x14ac:dyDescent="0.3">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s="1" customFormat="1" x14ac:dyDescent="0.3">
      <c r="A221" s="9"/>
      <c r="B221" s="9"/>
      <c r="C221" s="17" t="s">
        <v>1260</v>
      </c>
      <c r="D221" s="9"/>
      <c r="E221" s="95" t="s">
        <v>1994</v>
      </c>
      <c r="F221" s="9"/>
      <c r="G221" s="9"/>
      <c r="H221" s="9"/>
      <c r="I221" s="9"/>
      <c r="J221" s="9"/>
      <c r="K221" s="9"/>
      <c r="L221" s="9"/>
      <c r="M221" s="9"/>
      <c r="N221" s="9"/>
      <c r="O221" s="9"/>
      <c r="P221" s="9"/>
      <c r="Q221" s="9"/>
      <c r="R221" s="9"/>
      <c r="S221" s="9"/>
      <c r="T221" s="9"/>
      <c r="U221" s="9"/>
      <c r="V221" s="9"/>
      <c r="W221" s="9"/>
      <c r="X221" s="9"/>
      <c r="Y221" s="9"/>
      <c r="Z221" s="9"/>
    </row>
    <row r="222" spans="1:26" s="1" customFormat="1" x14ac:dyDescent="0.3">
      <c r="A222" s="9"/>
      <c r="B222" s="9"/>
      <c r="C222" s="3"/>
      <c r="D222" s="10" t="s">
        <v>1261</v>
      </c>
      <c r="E222" s="10" t="s">
        <v>1262</v>
      </c>
      <c r="F222" s="10" t="s">
        <v>1263</v>
      </c>
      <c r="G222" s="10" t="s">
        <v>1264</v>
      </c>
      <c r="H222" s="10" t="s">
        <v>1196</v>
      </c>
      <c r="I222" s="9"/>
      <c r="J222" s="9"/>
      <c r="K222" s="9"/>
      <c r="L222" s="9"/>
      <c r="M222" s="9"/>
      <c r="N222" s="9"/>
      <c r="O222" s="9"/>
      <c r="P222" s="9"/>
      <c r="Q222" s="9"/>
      <c r="R222" s="9"/>
      <c r="S222" s="9"/>
      <c r="T222" s="9"/>
      <c r="U222" s="9"/>
      <c r="V222" s="9"/>
      <c r="W222" s="9"/>
      <c r="X222" s="9"/>
      <c r="Y222" s="9"/>
      <c r="Z222" s="9"/>
    </row>
    <row r="223" spans="1:26" s="1" customFormat="1" x14ac:dyDescent="0.3">
      <c r="A223" s="9"/>
      <c r="B223" s="9"/>
      <c r="C223" s="3" t="s">
        <v>1198</v>
      </c>
      <c r="D223" s="4">
        <f>COUNTIF('OBO_Cleaned Data'!WX:WX,"1")</f>
        <v>2</v>
      </c>
      <c r="E223" s="4">
        <f>COUNTIF('OBO_Cleaned Data'!WY:WY,"1")</f>
        <v>0</v>
      </c>
      <c r="F223" s="4">
        <f>COUNTIF('OBO_Cleaned Data'!WZ:WZ,"1")</f>
        <v>0</v>
      </c>
      <c r="G223" s="4">
        <f>COUNTIF('OBO_Cleaned Data'!XA:XA,"1")</f>
        <v>0</v>
      </c>
      <c r="H223" s="4">
        <f>COUNTIF('OBO_Cleaned Data'!XB:XB,"1")</f>
        <v>0</v>
      </c>
      <c r="I223" s="9"/>
      <c r="J223" s="9"/>
      <c r="K223" s="9"/>
      <c r="L223" s="9"/>
      <c r="M223" s="9"/>
      <c r="N223" s="9"/>
      <c r="O223" s="9"/>
      <c r="P223" s="9"/>
      <c r="Q223" s="9"/>
      <c r="R223" s="9"/>
      <c r="S223" s="9"/>
      <c r="T223" s="9"/>
      <c r="U223" s="9"/>
      <c r="V223" s="9"/>
      <c r="W223" s="9"/>
      <c r="X223" s="9"/>
      <c r="Y223" s="9"/>
      <c r="Z223" s="9"/>
    </row>
    <row r="224" spans="1:26" s="1" customFormat="1" ht="49" x14ac:dyDescent="0.3">
      <c r="A224" s="9"/>
      <c r="B224" s="9"/>
      <c r="C224" s="52" t="s">
        <v>2040</v>
      </c>
      <c r="D224" s="6">
        <f>D223/$D$218</f>
        <v>1</v>
      </c>
      <c r="E224" s="6">
        <f t="shared" ref="E224:H224" si="16">E223/$D$218</f>
        <v>0</v>
      </c>
      <c r="F224" s="6">
        <f t="shared" si="16"/>
        <v>0</v>
      </c>
      <c r="G224" s="6">
        <f t="shared" si="16"/>
        <v>0</v>
      </c>
      <c r="H224" s="6">
        <f t="shared" si="16"/>
        <v>0</v>
      </c>
      <c r="I224" s="9"/>
      <c r="J224" s="9"/>
      <c r="K224" s="9"/>
      <c r="L224" s="9"/>
      <c r="M224" s="9"/>
      <c r="N224" s="9"/>
      <c r="O224" s="9"/>
      <c r="P224" s="9"/>
      <c r="Q224" s="9"/>
      <c r="R224" s="9"/>
      <c r="S224" s="9"/>
      <c r="T224" s="9"/>
      <c r="U224" s="9"/>
      <c r="V224" s="9"/>
      <c r="W224" s="9"/>
      <c r="X224" s="9"/>
      <c r="Y224" s="9"/>
      <c r="Z224" s="9"/>
    </row>
    <row r="226" spans="1:13" ht="15.5" x14ac:dyDescent="0.35">
      <c r="A226" s="8" t="s">
        <v>1291</v>
      </c>
      <c r="C226" s="95" t="s">
        <v>1994</v>
      </c>
    </row>
    <row r="227" spans="1:13" s="35" customFormat="1" ht="84" x14ac:dyDescent="0.35">
      <c r="A227" s="7" t="s">
        <v>1862</v>
      </c>
      <c r="B227" s="7" t="s">
        <v>1470</v>
      </c>
      <c r="C227" s="7" t="s">
        <v>1863</v>
      </c>
      <c r="D227" s="7" t="s">
        <v>1864</v>
      </c>
      <c r="E227" s="7" t="s">
        <v>1865</v>
      </c>
      <c r="F227" s="7" t="s">
        <v>1471</v>
      </c>
      <c r="G227" s="7" t="s">
        <v>1258</v>
      </c>
      <c r="H227" s="7" t="s">
        <v>1866</v>
      </c>
      <c r="I227" s="7" t="s">
        <v>1867</v>
      </c>
      <c r="J227" s="7" t="s">
        <v>1868</v>
      </c>
      <c r="K227" s="7" t="s">
        <v>1869</v>
      </c>
      <c r="L227" s="7" t="s">
        <v>1706</v>
      </c>
      <c r="M227" s="7" t="s">
        <v>1211</v>
      </c>
    </row>
    <row r="228" spans="1:13" x14ac:dyDescent="0.3">
      <c r="A228" s="23">
        <f>COUNTIF('OBO_Cleaned Data'!XE:XE,"1")</f>
        <v>1</v>
      </c>
      <c r="B228" s="23">
        <f>COUNTIF('OBO_Cleaned Data'!XF:XF,"1")</f>
        <v>1</v>
      </c>
      <c r="C228" s="23">
        <f>COUNTIF('OBO_Cleaned Data'!XG:XG,"1")</f>
        <v>1</v>
      </c>
      <c r="D228" s="23">
        <f>COUNTIF('OBO_Cleaned Data'!XH:XH,"1")</f>
        <v>1</v>
      </c>
      <c r="E228" s="23">
        <f>COUNTIF('OBO_Cleaned Data'!XI:XI,"1")</f>
        <v>0</v>
      </c>
      <c r="F228" s="23">
        <f>COUNTIF('OBO_Cleaned Data'!XJ:XJ,"1")</f>
        <v>0</v>
      </c>
      <c r="G228" s="23">
        <f>COUNTIF('OBO_Cleaned Data'!XK:XK,"1")</f>
        <v>1</v>
      </c>
      <c r="H228" s="23">
        <f>COUNTIF('OBO_Cleaned Data'!XL:XL,"1")</f>
        <v>1</v>
      </c>
      <c r="I228" s="23">
        <f>COUNTIF('OBO_Cleaned Data'!XM:XM,"1")</f>
        <v>1</v>
      </c>
      <c r="J228" s="23">
        <f>COUNTIF('OBO_Cleaned Data'!XN:XN,"1")</f>
        <v>1</v>
      </c>
      <c r="K228" s="23">
        <f>COUNTIF('OBO_Cleaned Data'!XO:XO,"1")</f>
        <v>0</v>
      </c>
      <c r="L228" s="23">
        <f>COUNTIF('OBO_Cleaned Data'!XP:XP,"1")</f>
        <v>1</v>
      </c>
      <c r="M228" s="23">
        <f>COUNTIF('OBO_Cleaned Data'!XQ:XQ,"1")</f>
        <v>0</v>
      </c>
    </row>
    <row r="229" spans="1:13" x14ac:dyDescent="0.3">
      <c r="M229" s="73"/>
    </row>
    <row r="230" spans="1:13" ht="15.5" x14ac:dyDescent="0.35">
      <c r="A230" s="8" t="s">
        <v>1472</v>
      </c>
    </row>
    <row r="231" spans="1:13" ht="15.5" x14ac:dyDescent="0.35">
      <c r="A231" s="28" t="s">
        <v>1473</v>
      </c>
    </row>
    <row r="232" spans="1:13" x14ac:dyDescent="0.3">
      <c r="A232" s="3"/>
      <c r="B232" s="7" t="s">
        <v>1201</v>
      </c>
      <c r="C232" s="7" t="s">
        <v>1200</v>
      </c>
      <c r="D232" s="102" t="s">
        <v>1197</v>
      </c>
    </row>
    <row r="233" spans="1:13" x14ac:dyDescent="0.3">
      <c r="A233" s="3" t="s">
        <v>1198</v>
      </c>
      <c r="B233" s="4">
        <f>COUNTIF('OBO_Cleaned Data'!XT:XT,"OUI")</f>
        <v>2</v>
      </c>
      <c r="C233" s="4">
        <f>COUNTIF('OBO_Cleaned Data'!XT:XT,"non")</f>
        <v>0</v>
      </c>
      <c r="D233" s="103">
        <f>SUM(B233:C233)</f>
        <v>2</v>
      </c>
    </row>
    <row r="234" spans="1:13" s="35" customFormat="1" ht="37" x14ac:dyDescent="0.3">
      <c r="A234" s="53" t="s">
        <v>2031</v>
      </c>
      <c r="B234" s="110">
        <f>(B233/$E$9)</f>
        <v>1</v>
      </c>
      <c r="C234" s="110">
        <f>(C233/$E$9)</f>
        <v>0</v>
      </c>
      <c r="D234" s="92">
        <f>SUM(B234:C234)</f>
        <v>1</v>
      </c>
    </row>
    <row r="236" spans="1:13" x14ac:dyDescent="0.3">
      <c r="B236" s="17" t="s">
        <v>1474</v>
      </c>
      <c r="D236" s="95" t="s">
        <v>1994</v>
      </c>
    </row>
    <row r="237" spans="1:13" s="35" customFormat="1" ht="56" x14ac:dyDescent="0.3">
      <c r="B237" s="3"/>
      <c r="C237" s="10" t="s">
        <v>1475</v>
      </c>
      <c r="D237" s="10" t="s">
        <v>1476</v>
      </c>
      <c r="E237" s="10" t="s">
        <v>1477</v>
      </c>
      <c r="F237" s="10" t="s">
        <v>1478</v>
      </c>
      <c r="G237" s="10" t="s">
        <v>1479</v>
      </c>
      <c r="H237" s="10" t="s">
        <v>1480</v>
      </c>
      <c r="I237" s="10" t="s">
        <v>2006</v>
      </c>
      <c r="J237" s="10" t="s">
        <v>1196</v>
      </c>
    </row>
    <row r="238" spans="1:13" x14ac:dyDescent="0.3">
      <c r="B238" s="3" t="s">
        <v>1198</v>
      </c>
      <c r="C238" s="23">
        <f>COUNTIF('OBO_Cleaned Data'!XV:XV,"1")</f>
        <v>2</v>
      </c>
      <c r="D238" s="23">
        <f>COUNTIF('OBO_Cleaned Data'!XW:XW,"1")</f>
        <v>2</v>
      </c>
      <c r="E238" s="23">
        <f>COUNTIF('OBO_Cleaned Data'!XX:XX,"1")</f>
        <v>2</v>
      </c>
      <c r="F238" s="23">
        <f>COUNTIF('OBO_Cleaned Data'!XY:XY,"1")</f>
        <v>2</v>
      </c>
      <c r="G238" s="23">
        <f>COUNTIF('OBO_Cleaned Data'!XZ:XZ,"1")</f>
        <v>2</v>
      </c>
      <c r="H238" s="23">
        <f>COUNTIF('OBO_Cleaned Data'!YA:YA,"1")</f>
        <v>2</v>
      </c>
      <c r="I238" s="23">
        <f>COUNTIF('OBO_Cleaned Data'!YB:YB,"1")</f>
        <v>0</v>
      </c>
      <c r="J238" s="23">
        <f>COUNTIF('OBO_Cleaned Data'!YC:YC,"1")</f>
        <v>0</v>
      </c>
    </row>
    <row r="239" spans="1:13" ht="37" x14ac:dyDescent="0.3">
      <c r="B239" s="53" t="s">
        <v>2041</v>
      </c>
      <c r="C239" s="110">
        <f>(C238/$B$233)</f>
        <v>1</v>
      </c>
      <c r="D239" s="110">
        <f t="shared" ref="D239:J239" si="17">(D238/$B$233)</f>
        <v>1</v>
      </c>
      <c r="E239" s="110">
        <f t="shared" si="17"/>
        <v>1</v>
      </c>
      <c r="F239" s="110">
        <f t="shared" si="17"/>
        <v>1</v>
      </c>
      <c r="G239" s="110">
        <f t="shared" si="17"/>
        <v>1</v>
      </c>
      <c r="H239" s="110">
        <f t="shared" si="17"/>
        <v>1</v>
      </c>
      <c r="I239" s="110">
        <f t="shared" si="17"/>
        <v>0</v>
      </c>
      <c r="J239" s="110">
        <f t="shared" si="17"/>
        <v>0</v>
      </c>
    </row>
    <row r="241" spans="1:4" ht="15.5" x14ac:dyDescent="0.35">
      <c r="A241" s="28" t="s">
        <v>1481</v>
      </c>
    </row>
    <row r="242" spans="1:4" x14ac:dyDescent="0.3">
      <c r="A242" s="3"/>
      <c r="B242" s="7" t="s">
        <v>1201</v>
      </c>
      <c r="C242" s="7" t="s">
        <v>1200</v>
      </c>
      <c r="D242" s="102" t="s">
        <v>1197</v>
      </c>
    </row>
    <row r="243" spans="1:4" x14ac:dyDescent="0.3">
      <c r="A243" s="3" t="s">
        <v>1198</v>
      </c>
      <c r="B243" s="4">
        <f>COUNTIF('OBO_Cleaned Data'!YE:YE,"OUI")</f>
        <v>1</v>
      </c>
      <c r="C243" s="4">
        <f>COUNTIF('OBO_Cleaned Data'!YE:YE,"non")</f>
        <v>1</v>
      </c>
      <c r="D243" s="103">
        <f>SUM(B243:C243)</f>
        <v>2</v>
      </c>
    </row>
    <row r="244" spans="1:4" ht="37" x14ac:dyDescent="0.3">
      <c r="A244" s="53" t="s">
        <v>2031</v>
      </c>
      <c r="B244" s="110">
        <f>(B243/$E$9)</f>
        <v>0.5</v>
      </c>
      <c r="C244" s="110">
        <f>(C243/$E$9)</f>
        <v>0.5</v>
      </c>
      <c r="D244" s="92">
        <f>SUM(B244:C244)</f>
        <v>1</v>
      </c>
    </row>
    <row r="246" spans="1:4" ht="15.5" x14ac:dyDescent="0.35">
      <c r="A246" s="28" t="s">
        <v>1482</v>
      </c>
    </row>
    <row r="247" spans="1:4" x14ac:dyDescent="0.3">
      <c r="A247" s="3"/>
      <c r="B247" s="7" t="s">
        <v>1201</v>
      </c>
      <c r="C247" s="7" t="s">
        <v>1200</v>
      </c>
      <c r="D247" s="102" t="s">
        <v>1197</v>
      </c>
    </row>
    <row r="248" spans="1:4" x14ac:dyDescent="0.3">
      <c r="A248" s="3" t="s">
        <v>1198</v>
      </c>
      <c r="B248" s="4">
        <f>COUNTIF('OBO_Cleaned Data'!YF:YF,"OUI")</f>
        <v>0</v>
      </c>
      <c r="C248" s="4">
        <f>COUNTIF('OBO_Cleaned Data'!YF:YF,"non")</f>
        <v>2</v>
      </c>
      <c r="D248" s="103">
        <f>SUM(B248:C248)</f>
        <v>2</v>
      </c>
    </row>
    <row r="249" spans="1:4" ht="37" x14ac:dyDescent="0.3">
      <c r="A249" s="53" t="s">
        <v>2031</v>
      </c>
      <c r="B249" s="110">
        <f>(B248/$E$9)</f>
        <v>0</v>
      </c>
      <c r="C249" s="110">
        <f>(C248/$E$9)</f>
        <v>1</v>
      </c>
      <c r="D249" s="92">
        <f>SUM(B249:C249)</f>
        <v>1</v>
      </c>
    </row>
    <row r="251" spans="1:4" ht="15.5" x14ac:dyDescent="0.35">
      <c r="A251" s="28" t="s">
        <v>1483</v>
      </c>
    </row>
    <row r="252" spans="1:4" x14ac:dyDescent="0.3">
      <c r="A252" s="3"/>
      <c r="B252" s="7" t="s">
        <v>1201</v>
      </c>
      <c r="C252" s="7" t="s">
        <v>1200</v>
      </c>
      <c r="D252" s="102" t="s">
        <v>1197</v>
      </c>
    </row>
    <row r="253" spans="1:4" x14ac:dyDescent="0.3">
      <c r="A253" s="3" t="s">
        <v>1198</v>
      </c>
      <c r="B253" s="4">
        <f>COUNTIF('OBO_Cleaned Data'!YH:YH,"OUI")</f>
        <v>1</v>
      </c>
      <c r="C253" s="4">
        <f>COUNTIF('OBO_Cleaned Data'!YH:YH,"non")</f>
        <v>1</v>
      </c>
      <c r="D253" s="103">
        <f>SUM(B253:C253)</f>
        <v>2</v>
      </c>
    </row>
    <row r="254" spans="1:4" ht="37" x14ac:dyDescent="0.3">
      <c r="A254" s="53" t="s">
        <v>2031</v>
      </c>
      <c r="B254" s="110">
        <f>(B253/$E$9)</f>
        <v>0.5</v>
      </c>
      <c r="C254" s="110">
        <f>(C253/$E$9)</f>
        <v>0.5</v>
      </c>
      <c r="D254" s="92">
        <f>SUM(B254:C254)</f>
        <v>1</v>
      </c>
    </row>
    <row r="256" spans="1:4" x14ac:dyDescent="0.3">
      <c r="B256" s="17" t="s">
        <v>1484</v>
      </c>
      <c r="D256" s="95" t="s">
        <v>1994</v>
      </c>
    </row>
    <row r="257" spans="1:10" s="35" customFormat="1" ht="42" x14ac:dyDescent="0.3">
      <c r="B257" s="3"/>
      <c r="C257" s="10" t="s">
        <v>1475</v>
      </c>
      <c r="D257" s="10" t="s">
        <v>1485</v>
      </c>
      <c r="E257" s="10" t="s">
        <v>1490</v>
      </c>
      <c r="F257" s="10" t="s">
        <v>1486</v>
      </c>
      <c r="G257" s="10" t="s">
        <v>1487</v>
      </c>
      <c r="H257" s="10" t="s">
        <v>1488</v>
      </c>
      <c r="I257" s="10" t="s">
        <v>1489</v>
      </c>
      <c r="J257" s="10" t="s">
        <v>1211</v>
      </c>
    </row>
    <row r="258" spans="1:10" x14ac:dyDescent="0.3">
      <c r="B258" s="3" t="s">
        <v>1198</v>
      </c>
      <c r="C258" s="23">
        <f>COUNTIF('OBO_Cleaned Data'!YJ:YJ,"1")</f>
        <v>1</v>
      </c>
      <c r="D258" s="23">
        <f>COUNTIF('OBO_Cleaned Data'!YK:YK,"1")</f>
        <v>1</v>
      </c>
      <c r="E258" s="23">
        <f>COUNTIF('OBO_Cleaned Data'!YL:YL,"1")</f>
        <v>1</v>
      </c>
      <c r="F258" s="23">
        <f>COUNTIF('OBO_Cleaned Data'!YM:YM,"1")</f>
        <v>1</v>
      </c>
      <c r="G258" s="23">
        <f>COUNTIF('OBO_Cleaned Data'!YN:YN,"1")</f>
        <v>1</v>
      </c>
      <c r="H258" s="23">
        <f>COUNTIF('OBO_Cleaned Data'!YO:YO,"1")</f>
        <v>1</v>
      </c>
      <c r="I258" s="23">
        <f>COUNTIF('OBO_Cleaned Data'!YP:YP,"1")</f>
        <v>1</v>
      </c>
      <c r="J258" s="23">
        <f>COUNTIF('OBO_Cleaned Data'!YQ:YQ,"1")</f>
        <v>0</v>
      </c>
    </row>
    <row r="259" spans="1:10" ht="49" x14ac:dyDescent="0.3">
      <c r="B259" s="52" t="s">
        <v>2042</v>
      </c>
      <c r="C259" s="110">
        <f>C258/$B$253</f>
        <v>1</v>
      </c>
      <c r="D259" s="110">
        <f t="shared" ref="D259:J259" si="18">D258/$B$253</f>
        <v>1</v>
      </c>
      <c r="E259" s="110">
        <f t="shared" si="18"/>
        <v>1</v>
      </c>
      <c r="F259" s="110">
        <f t="shared" si="18"/>
        <v>1</v>
      </c>
      <c r="G259" s="110">
        <f t="shared" si="18"/>
        <v>1</v>
      </c>
      <c r="H259" s="110">
        <f t="shared" si="18"/>
        <v>1</v>
      </c>
      <c r="I259" s="110">
        <f t="shared" si="18"/>
        <v>1</v>
      </c>
      <c r="J259" s="110">
        <f t="shared" si="18"/>
        <v>0</v>
      </c>
    </row>
    <row r="261" spans="1:10" x14ac:dyDescent="0.3">
      <c r="B261" s="17" t="s">
        <v>1491</v>
      </c>
    </row>
    <row r="262" spans="1:10" x14ac:dyDescent="0.3">
      <c r="B262" s="3"/>
      <c r="C262" s="5" t="s">
        <v>1201</v>
      </c>
      <c r="D262" s="5" t="s">
        <v>1200</v>
      </c>
      <c r="E262" s="102" t="s">
        <v>1197</v>
      </c>
    </row>
    <row r="263" spans="1:10" x14ac:dyDescent="0.3">
      <c r="B263" s="3" t="s">
        <v>1198</v>
      </c>
      <c r="C263" s="4">
        <f>COUNTIF('OBO_Cleaned Data'!YS:YS,"oui")</f>
        <v>0</v>
      </c>
      <c r="D263" s="4">
        <f>COUNTIF('OBO_Cleaned Data'!YS:YS,"non")</f>
        <v>1</v>
      </c>
      <c r="E263" s="103">
        <f>SUM(C263:D263)</f>
        <v>1</v>
      </c>
    </row>
    <row r="264" spans="1:10" ht="49" x14ac:dyDescent="0.3">
      <c r="B264" s="52" t="s">
        <v>2042</v>
      </c>
      <c r="C264" s="6">
        <f>(C263/$B$253)</f>
        <v>0</v>
      </c>
      <c r="D264" s="6">
        <f>(D263/$B$253)</f>
        <v>1</v>
      </c>
      <c r="E264" s="92">
        <f>SUM(C264:D264)</f>
        <v>1</v>
      </c>
    </row>
    <row r="266" spans="1:10" x14ac:dyDescent="0.3">
      <c r="C266" s="17" t="s">
        <v>1252</v>
      </c>
      <c r="E266" s="95" t="s">
        <v>1994</v>
      </c>
    </row>
    <row r="267" spans="1:10" ht="28" x14ac:dyDescent="0.3">
      <c r="C267" s="3"/>
      <c r="D267" s="10" t="s">
        <v>1492</v>
      </c>
      <c r="E267" s="10" t="s">
        <v>1493</v>
      </c>
      <c r="F267" s="10" t="s">
        <v>1494</v>
      </c>
      <c r="G267" s="10" t="s">
        <v>1495</v>
      </c>
      <c r="H267" s="10" t="s">
        <v>1211</v>
      </c>
    </row>
    <row r="268" spans="1:10" x14ac:dyDescent="0.3">
      <c r="C268" s="3" t="s">
        <v>1198</v>
      </c>
      <c r="D268" s="23">
        <f>COUNTIF('OBO_Cleaned Data'!YU:YU,"1")</f>
        <v>0</v>
      </c>
      <c r="E268" s="23">
        <f>COUNTIF('OBO_Cleaned Data'!YV:YV,"1")</f>
        <v>0</v>
      </c>
      <c r="F268" s="23">
        <f>COUNTIF('OBO_Cleaned Data'!YW:YW,"1")</f>
        <v>0</v>
      </c>
      <c r="G268" s="23">
        <f>COUNTIF('OBO_Cleaned Data'!YX:YX,"1")</f>
        <v>0</v>
      </c>
      <c r="H268" s="23">
        <f>COUNTIF('OBO_Cleaned Data'!YY:YY,"1")</f>
        <v>0</v>
      </c>
    </row>
    <row r="269" spans="1:10" ht="60.5" x14ac:dyDescent="0.3">
      <c r="C269" s="52" t="s">
        <v>2042</v>
      </c>
      <c r="D269" s="6">
        <f>(D268/$B$253)</f>
        <v>0</v>
      </c>
      <c r="E269" s="6">
        <f t="shared" ref="E269:H269" si="19">(E268/$B$253)</f>
        <v>0</v>
      </c>
      <c r="F269" s="6">
        <f t="shared" si="19"/>
        <v>0</v>
      </c>
      <c r="G269" s="6">
        <f t="shared" si="19"/>
        <v>0</v>
      </c>
      <c r="H269" s="6">
        <f t="shared" si="19"/>
        <v>0</v>
      </c>
    </row>
    <row r="271" spans="1:10" ht="15.5" x14ac:dyDescent="0.35">
      <c r="A271" s="28" t="s">
        <v>1496</v>
      </c>
    </row>
    <row r="272" spans="1:10" x14ac:dyDescent="0.3">
      <c r="A272" s="3"/>
      <c r="B272" s="7" t="s">
        <v>1201</v>
      </c>
      <c r="C272" s="7" t="s">
        <v>1200</v>
      </c>
      <c r="D272" s="102" t="s">
        <v>1197</v>
      </c>
    </row>
    <row r="273" spans="1:4" x14ac:dyDescent="0.3">
      <c r="A273" s="3" t="s">
        <v>1198</v>
      </c>
      <c r="B273" s="4">
        <f>COUNTIF('OBO_Cleaned Data'!ZA:ZA,"OUI")</f>
        <v>2</v>
      </c>
      <c r="C273" s="4">
        <f>COUNTIF('OBO_Cleaned Data'!ZA:ZA,"non")</f>
        <v>0</v>
      </c>
      <c r="D273" s="103">
        <f>SUM(B273:C273)</f>
        <v>2</v>
      </c>
    </row>
    <row r="274" spans="1:4" ht="37.5" x14ac:dyDescent="0.3">
      <c r="A274" s="52" t="s">
        <v>2023</v>
      </c>
      <c r="B274" s="38">
        <f>(B273/$E$9)</f>
        <v>1</v>
      </c>
      <c r="C274" s="38">
        <f>(C273/$E$9)</f>
        <v>0</v>
      </c>
      <c r="D274" s="92">
        <f>SUM(B274:C274)</f>
        <v>1</v>
      </c>
    </row>
    <row r="275" spans="1:4" x14ac:dyDescent="0.3">
      <c r="D275" s="114"/>
    </row>
    <row r="276" spans="1:4" ht="15.5" x14ac:dyDescent="0.35">
      <c r="A276" s="28" t="s">
        <v>1498</v>
      </c>
    </row>
    <row r="277" spans="1:4" x14ac:dyDescent="0.3">
      <c r="A277" s="3"/>
      <c r="B277" s="7" t="s">
        <v>1201</v>
      </c>
      <c r="C277" s="7" t="s">
        <v>1200</v>
      </c>
      <c r="D277" s="102" t="s">
        <v>1197</v>
      </c>
    </row>
    <row r="278" spans="1:4" x14ac:dyDescent="0.3">
      <c r="A278" s="3" t="s">
        <v>1198</v>
      </c>
      <c r="B278" s="4">
        <f>COUNTIF('OBO_Cleaned Data'!ZF:ZF,"OUI")</f>
        <v>0</v>
      </c>
      <c r="C278" s="4">
        <f>COUNTIF('OBO_Cleaned Data'!ZF:ZF,"non")</f>
        <v>2</v>
      </c>
      <c r="D278" s="103">
        <f>SUM(B278:C278)</f>
        <v>2</v>
      </c>
    </row>
    <row r="279" spans="1:4" ht="37.5" x14ac:dyDescent="0.3">
      <c r="A279" s="52" t="s">
        <v>2023</v>
      </c>
      <c r="B279" s="38">
        <f>(B278/$E$9)</f>
        <v>0</v>
      </c>
      <c r="C279" s="38">
        <f>(C278/$E$9)</f>
        <v>1</v>
      </c>
      <c r="D279" s="92">
        <f>SUM(B279:C279)</f>
        <v>1</v>
      </c>
    </row>
    <row r="280" spans="1:4" x14ac:dyDescent="0.3">
      <c r="D280" s="114"/>
    </row>
    <row r="281" spans="1:4" ht="15.5" x14ac:dyDescent="0.35">
      <c r="A281" s="28" t="s">
        <v>1497</v>
      </c>
    </row>
    <row r="282" spans="1:4" x14ac:dyDescent="0.3">
      <c r="A282" s="3"/>
      <c r="B282" s="7" t="s">
        <v>1201</v>
      </c>
      <c r="C282" s="7" t="s">
        <v>1200</v>
      </c>
      <c r="D282" s="102" t="s">
        <v>1197</v>
      </c>
    </row>
    <row r="283" spans="1:4" x14ac:dyDescent="0.3">
      <c r="A283" s="3" t="s">
        <v>1198</v>
      </c>
      <c r="B283" s="4">
        <f>COUNTIF('OBO_Cleaned Data'!ZK:ZK,"OUI")</f>
        <v>1</v>
      </c>
      <c r="C283" s="4">
        <f>COUNTIF('OBO_Cleaned Data'!ZK:ZK,"non")</f>
        <v>1</v>
      </c>
      <c r="D283" s="103">
        <f>SUM(B283:C283)</f>
        <v>2</v>
      </c>
    </row>
    <row r="284" spans="1:4" ht="37.5" x14ac:dyDescent="0.3">
      <c r="A284" s="52" t="s">
        <v>2023</v>
      </c>
      <c r="B284" s="38">
        <f>(B283/$E$9)</f>
        <v>0.5</v>
      </c>
      <c r="C284" s="38">
        <f>(C283/$E$9)</f>
        <v>0.5</v>
      </c>
      <c r="D284" s="92">
        <f>SUM(B284:C284)</f>
        <v>1</v>
      </c>
    </row>
    <row r="285" spans="1:4" x14ac:dyDescent="0.3">
      <c r="D285" s="114"/>
    </row>
    <row r="286" spans="1:4" ht="15.5" x14ac:dyDescent="0.35">
      <c r="A286" s="28" t="s">
        <v>1499</v>
      </c>
    </row>
    <row r="287" spans="1:4" x14ac:dyDescent="0.3">
      <c r="A287" s="3"/>
      <c r="B287" s="7" t="s">
        <v>1201</v>
      </c>
      <c r="C287" s="7" t="s">
        <v>1200</v>
      </c>
      <c r="D287" s="102" t="s">
        <v>1197</v>
      </c>
    </row>
    <row r="288" spans="1:4" x14ac:dyDescent="0.3">
      <c r="A288" s="3" t="s">
        <v>1198</v>
      </c>
      <c r="B288" s="4">
        <f>COUNTIF('OBO_Cleaned Data'!ZL:ZL,"OUI")</f>
        <v>2</v>
      </c>
      <c r="C288" s="4">
        <f>COUNTIF('OBO_Cleaned Data'!ZL:ZL,"non")</f>
        <v>0</v>
      </c>
      <c r="D288" s="103">
        <f>SUM(B288:C288)</f>
        <v>2</v>
      </c>
    </row>
    <row r="289" spans="1:4" ht="37.5" x14ac:dyDescent="0.3">
      <c r="A289" s="52" t="s">
        <v>2023</v>
      </c>
      <c r="B289" s="38">
        <f>(B288/$E$9)</f>
        <v>1</v>
      </c>
      <c r="C289" s="38">
        <f>(C288/$E$9)</f>
        <v>0</v>
      </c>
      <c r="D289" s="92">
        <f>SUM(B289:C289)</f>
        <v>1</v>
      </c>
    </row>
    <row r="290" spans="1:4" x14ac:dyDescent="0.3">
      <c r="D290" s="114"/>
    </row>
    <row r="291" spans="1:4" ht="15.5" x14ac:dyDescent="0.35">
      <c r="A291" s="28" t="s">
        <v>1500</v>
      </c>
    </row>
    <row r="292" spans="1:4" x14ac:dyDescent="0.3">
      <c r="A292" s="3"/>
      <c r="B292" s="7" t="s">
        <v>1201</v>
      </c>
      <c r="C292" s="7" t="s">
        <v>1200</v>
      </c>
      <c r="D292" s="102" t="s">
        <v>1197</v>
      </c>
    </row>
    <row r="293" spans="1:4" x14ac:dyDescent="0.3">
      <c r="A293" s="3" t="s">
        <v>1198</v>
      </c>
      <c r="B293" s="4">
        <f>COUNTIF('OBO_Cleaned Data'!ZN:ZN,"OUI")</f>
        <v>2</v>
      </c>
      <c r="C293" s="4">
        <f>COUNTIF('OBO_Cleaned Data'!ZN:ZN,"non")</f>
        <v>0</v>
      </c>
      <c r="D293" s="103">
        <f>SUM(B293:C293)</f>
        <v>2</v>
      </c>
    </row>
    <row r="294" spans="1:4" ht="37.5" x14ac:dyDescent="0.3">
      <c r="A294" s="52" t="s">
        <v>2023</v>
      </c>
      <c r="B294" s="38">
        <f>(B293/$E$9)</f>
        <v>1</v>
      </c>
      <c r="C294" s="38">
        <f>(C293/$E$9)</f>
        <v>0</v>
      </c>
      <c r="D294" s="92">
        <f>SUM(B294:C294)</f>
        <v>1</v>
      </c>
    </row>
    <row r="295" spans="1:4" x14ac:dyDescent="0.3">
      <c r="D295" s="114"/>
    </row>
    <row r="296" spans="1:4" ht="15.5" x14ac:dyDescent="0.35">
      <c r="A296" s="28" t="s">
        <v>1501</v>
      </c>
    </row>
    <row r="297" spans="1:4" x14ac:dyDescent="0.3">
      <c r="A297" s="3"/>
      <c r="B297" s="7" t="s">
        <v>1201</v>
      </c>
      <c r="C297" s="7" t="s">
        <v>1200</v>
      </c>
      <c r="D297" s="102" t="s">
        <v>1197</v>
      </c>
    </row>
    <row r="298" spans="1:4" x14ac:dyDescent="0.3">
      <c r="A298" s="3" t="s">
        <v>1198</v>
      </c>
      <c r="B298" s="4">
        <f>COUNTIF('OBO_Cleaned Data'!ZO:ZO,"OUI")</f>
        <v>1</v>
      </c>
      <c r="C298" s="4">
        <f>COUNTIF('OBO_Cleaned Data'!ZO:ZO,"non")</f>
        <v>1</v>
      </c>
      <c r="D298" s="103">
        <f>SUM(B298:C298)</f>
        <v>2</v>
      </c>
    </row>
    <row r="299" spans="1:4" ht="37.5" x14ac:dyDescent="0.3">
      <c r="A299" s="52" t="s">
        <v>2023</v>
      </c>
      <c r="B299" s="38">
        <f>(B298/$E$9)</f>
        <v>0.5</v>
      </c>
      <c r="C299" s="38">
        <f>(C298/$E$9)</f>
        <v>0.5</v>
      </c>
      <c r="D299" s="92">
        <f>SUM(B299:C299)</f>
        <v>1</v>
      </c>
    </row>
    <row r="300" spans="1:4" x14ac:dyDescent="0.3">
      <c r="A300" s="89"/>
      <c r="B300" s="14"/>
      <c r="C300" s="14"/>
      <c r="D300" s="114"/>
    </row>
    <row r="301" spans="1:4" ht="15.5" x14ac:dyDescent="0.35">
      <c r="A301" s="28" t="s">
        <v>1502</v>
      </c>
    </row>
    <row r="302" spans="1:4" x14ac:dyDescent="0.3">
      <c r="A302" s="3"/>
      <c r="B302" s="7" t="s">
        <v>1201</v>
      </c>
      <c r="C302" s="7" t="s">
        <v>1200</v>
      </c>
      <c r="D302" s="102" t="s">
        <v>1197</v>
      </c>
    </row>
    <row r="303" spans="1:4" x14ac:dyDescent="0.3">
      <c r="A303" s="3" t="s">
        <v>1198</v>
      </c>
      <c r="B303" s="4">
        <f>COUNTIF('OBO_Cleaned Data'!ZQ:ZQ,"OUI")</f>
        <v>0</v>
      </c>
      <c r="C303" s="4">
        <f>COUNTIF('OBO_Cleaned Data'!ZQ:ZQ,"non")</f>
        <v>2</v>
      </c>
      <c r="D303" s="103">
        <f>SUM(B303:C303)</f>
        <v>2</v>
      </c>
    </row>
    <row r="304" spans="1:4" ht="37.5" x14ac:dyDescent="0.3">
      <c r="A304" s="52" t="s">
        <v>2023</v>
      </c>
      <c r="B304" s="38">
        <f>(B303/$E$9)</f>
        <v>0</v>
      </c>
      <c r="C304" s="38">
        <f>(C303/$E$9)</f>
        <v>1</v>
      </c>
      <c r="D304" s="92">
        <f>SUM(B304:C304)</f>
        <v>1</v>
      </c>
    </row>
  </sheetData>
  <mergeCells count="2">
    <mergeCell ref="A4:B4"/>
    <mergeCell ref="A138:D138"/>
  </mergeCells>
  <conditionalFormatting sqref="A94:M95 D99:M101 D105:M106 F102:M104 D110:M110 J107:M109 B92:N92 D116 D120:M120 L117:M119 F96:M98 F116:M116">
    <cfRule type="colorScale" priority="51">
      <colorScale>
        <cfvo type="min"/>
        <cfvo type="max"/>
        <color theme="6" tint="0.79998168889431442"/>
        <color theme="5" tint="0.39997558519241921"/>
      </colorScale>
    </cfRule>
  </conditionalFormatting>
  <conditionalFormatting sqref="B134:F134">
    <cfRule type="colorScale" priority="50">
      <colorScale>
        <cfvo type="min"/>
        <cfvo type="max"/>
        <color theme="6" tint="0.79998168889431442"/>
        <color theme="5" tint="0.39997558519241921"/>
      </colorScale>
    </cfRule>
  </conditionalFormatting>
  <conditionalFormatting sqref="D157:M157">
    <cfRule type="colorScale" priority="49">
      <colorScale>
        <cfvo type="min"/>
        <cfvo type="max"/>
        <color theme="6" tint="0.79998168889431442"/>
        <color theme="5" tint="0.39997558519241921"/>
      </colorScale>
    </cfRule>
  </conditionalFormatting>
  <conditionalFormatting sqref="B162:G162">
    <cfRule type="colorScale" priority="48">
      <colorScale>
        <cfvo type="min"/>
        <cfvo type="max"/>
        <color theme="6" tint="0.79998168889431442"/>
        <color theme="5" tint="0.39997558519241921"/>
      </colorScale>
    </cfRule>
  </conditionalFormatting>
  <conditionalFormatting sqref="B44:J44">
    <cfRule type="colorScale" priority="47">
      <colorScale>
        <cfvo type="min"/>
        <cfvo type="max"/>
        <color theme="6" tint="0.79998168889431442"/>
        <color theme="5" tint="0.39997558519241921"/>
      </colorScale>
    </cfRule>
  </conditionalFormatting>
  <conditionalFormatting sqref="D118:K118">
    <cfRule type="colorScale" priority="46">
      <colorScale>
        <cfvo type="min"/>
        <cfvo type="max"/>
        <color theme="6" tint="0.79998168889431442"/>
        <color theme="5" tint="0.39997558519241921"/>
      </colorScale>
    </cfRule>
  </conditionalFormatting>
  <conditionalFormatting sqref="B189:F189">
    <cfRule type="colorScale" priority="45">
      <colorScale>
        <cfvo type="min"/>
        <cfvo type="max"/>
        <color theme="6" tint="0.79998168889431442"/>
        <color theme="5" tint="0.39997558519241921"/>
      </colorScale>
    </cfRule>
  </conditionalFormatting>
  <conditionalFormatting sqref="A181:F182 B179:G179 E183:F185">
    <cfRule type="colorScale" priority="44">
      <colorScale>
        <cfvo type="min"/>
        <cfvo type="max"/>
        <color theme="6" tint="0.79998168889431442"/>
        <color theme="5" tint="0.39997558519241921"/>
      </colorScale>
    </cfRule>
  </conditionalFormatting>
  <conditionalFormatting sqref="A194:P194">
    <cfRule type="colorScale" priority="43">
      <colorScale>
        <cfvo type="min"/>
        <cfvo type="max"/>
        <color theme="6" tint="0.79998168889431442"/>
        <color theme="5" tint="0.39997558519241921"/>
      </colorScale>
    </cfRule>
  </conditionalFormatting>
  <conditionalFormatting sqref="A198:L198">
    <cfRule type="colorScale" priority="42">
      <colorScale>
        <cfvo type="min"/>
        <cfvo type="max"/>
        <color theme="6" tint="0.79998168889431442"/>
        <color theme="5" tint="0.39997558519241921"/>
      </colorScale>
    </cfRule>
  </conditionalFormatting>
  <conditionalFormatting sqref="A228:M228">
    <cfRule type="colorScale" priority="41">
      <colorScale>
        <cfvo type="min"/>
        <cfvo type="max"/>
        <color theme="6" tint="0.79998168889431442"/>
        <color theme="5" tint="0.39997558519241921"/>
      </colorScale>
    </cfRule>
  </conditionalFormatting>
  <conditionalFormatting sqref="C238:J238">
    <cfRule type="colorScale" priority="40">
      <colorScale>
        <cfvo type="min"/>
        <cfvo type="max"/>
        <color theme="6" tint="0.79998168889431442"/>
        <color theme="5" tint="0.39997558519241921"/>
      </colorScale>
    </cfRule>
  </conditionalFormatting>
  <conditionalFormatting sqref="C258:J258">
    <cfRule type="colorScale" priority="39">
      <colorScale>
        <cfvo type="min"/>
        <cfvo type="max"/>
        <color theme="6" tint="0.79998168889431442"/>
        <color theme="5" tint="0.39997558519241921"/>
      </colorScale>
    </cfRule>
  </conditionalFormatting>
  <conditionalFormatting sqref="D268:H268">
    <cfRule type="colorScale" priority="38">
      <colorScale>
        <cfvo type="min"/>
        <cfvo type="max"/>
        <color theme="6" tint="0.79998168889431442"/>
        <color theme="5" tint="0.39997558519241921"/>
      </colorScale>
    </cfRule>
  </conditionalFormatting>
  <conditionalFormatting sqref="B9:D9">
    <cfRule type="colorScale" priority="37">
      <colorScale>
        <cfvo type="min"/>
        <cfvo type="max"/>
        <color theme="6" tint="0.79998168889431442"/>
        <color theme="5" tint="0.39997558519241921"/>
      </colorScale>
    </cfRule>
  </conditionalFormatting>
  <conditionalFormatting sqref="C14:M14">
    <cfRule type="colorScale" priority="36">
      <colorScale>
        <cfvo type="min"/>
        <cfvo type="max"/>
        <color theme="6" tint="0.79998168889431442"/>
        <color theme="5" tint="0.39997558519241921"/>
      </colorScale>
    </cfRule>
  </conditionalFormatting>
  <conditionalFormatting sqref="C19:G19">
    <cfRule type="colorScale" priority="35">
      <colorScale>
        <cfvo type="min"/>
        <cfvo type="max"/>
        <color theme="6" tint="0.79998168889431442"/>
        <color theme="5" tint="0.39997558519241921"/>
      </colorScale>
    </cfRule>
  </conditionalFormatting>
  <conditionalFormatting sqref="C29:G29">
    <cfRule type="colorScale" priority="34">
      <colorScale>
        <cfvo type="min"/>
        <cfvo type="max"/>
        <color theme="6" tint="0.79998168889431442"/>
        <color theme="5" tint="0.39997558519241921"/>
      </colorScale>
    </cfRule>
  </conditionalFormatting>
  <conditionalFormatting sqref="B49:D49">
    <cfRule type="colorScale" priority="33">
      <colorScale>
        <cfvo type="min"/>
        <cfvo type="max"/>
        <color theme="6" tint="0.79998168889431442"/>
        <color theme="5" tint="0.39997558519241921"/>
      </colorScale>
    </cfRule>
  </conditionalFormatting>
  <conditionalFormatting sqref="C57:D57">
    <cfRule type="colorScale" priority="32">
      <colorScale>
        <cfvo type="min"/>
        <cfvo type="max"/>
        <color theme="6" tint="0.79998168889431442"/>
        <color theme="5" tint="0.39997558519241921"/>
      </colorScale>
    </cfRule>
  </conditionalFormatting>
  <conditionalFormatting sqref="C66:D66">
    <cfRule type="colorScale" priority="31">
      <colorScale>
        <cfvo type="min"/>
        <cfvo type="max"/>
        <color theme="6" tint="0.79998168889431442"/>
        <color theme="5" tint="0.39997558519241921"/>
      </colorScale>
    </cfRule>
  </conditionalFormatting>
  <conditionalFormatting sqref="B71:C71">
    <cfRule type="colorScale" priority="30">
      <colorScale>
        <cfvo type="min"/>
        <cfvo type="max"/>
        <color theme="6" tint="0.79998168889431442"/>
        <color theme="5" tint="0.39997558519241921"/>
      </colorScale>
    </cfRule>
  </conditionalFormatting>
  <conditionalFormatting sqref="B81:C81">
    <cfRule type="colorScale" priority="29">
      <colorScale>
        <cfvo type="min"/>
        <cfvo type="max"/>
        <color theme="6" tint="0.79998168889431442"/>
        <color theme="5" tint="0.39997558519241921"/>
      </colorScale>
    </cfRule>
  </conditionalFormatting>
  <conditionalFormatting sqref="B34:C34">
    <cfRule type="colorScale" priority="28">
      <colorScale>
        <cfvo type="min"/>
        <cfvo type="max"/>
        <color theme="6" tint="0.79998168889431442"/>
        <color theme="5" tint="0.39997558519241921"/>
      </colorScale>
    </cfRule>
  </conditionalFormatting>
  <conditionalFormatting sqref="C39:E39">
    <cfRule type="colorScale" priority="27">
      <colorScale>
        <cfvo type="min"/>
        <cfvo type="max"/>
        <color theme="6" tint="0.79998168889431442"/>
        <color theme="5" tint="0.39997558519241921"/>
      </colorScale>
    </cfRule>
  </conditionalFormatting>
  <conditionalFormatting sqref="B129:C129">
    <cfRule type="colorScale" priority="26">
      <colorScale>
        <cfvo type="min"/>
        <cfvo type="max"/>
        <color theme="6" tint="0.79998168889431442"/>
        <color theme="5" tint="0.39997558519241921"/>
      </colorScale>
    </cfRule>
  </conditionalFormatting>
  <conditionalFormatting sqref="B142:C142">
    <cfRule type="colorScale" priority="25">
      <colorScale>
        <cfvo type="min"/>
        <cfvo type="max"/>
        <color theme="6" tint="0.79998168889431442"/>
        <color theme="5" tint="0.39997558519241921"/>
      </colorScale>
    </cfRule>
  </conditionalFormatting>
  <conditionalFormatting sqref="D154:J154">
    <cfRule type="colorScale" priority="24">
      <colorScale>
        <cfvo type="min"/>
        <cfvo type="max"/>
        <color theme="6" tint="0.79998168889431442"/>
        <color theme="5" tint="0.39997558519241921"/>
      </colorScale>
    </cfRule>
  </conditionalFormatting>
  <conditionalFormatting sqref="D152:J152">
    <cfRule type="colorScale" priority="23">
      <colorScale>
        <cfvo type="min"/>
        <cfvo type="max"/>
        <color theme="6" tint="0.79998168889431442"/>
        <color theme="5" tint="0.39997558519241921"/>
      </colorScale>
    </cfRule>
  </conditionalFormatting>
  <conditionalFormatting sqref="C103:D103">
    <cfRule type="colorScale" priority="22">
      <colorScale>
        <cfvo type="min"/>
        <cfvo type="max"/>
        <color theme="6" tint="0.79998168889431442"/>
        <color theme="5" tint="0.39997558519241921"/>
      </colorScale>
    </cfRule>
  </conditionalFormatting>
  <conditionalFormatting sqref="K115:M115 D111 L112:M114 F111:M111">
    <cfRule type="colorScale" priority="21">
      <colorScale>
        <cfvo type="min"/>
        <cfvo type="max"/>
        <color theme="6" tint="0.79998168889431442"/>
        <color theme="5" tint="0.39997558519241921"/>
      </colorScale>
    </cfRule>
  </conditionalFormatting>
  <conditionalFormatting sqref="D115:J115 D113:K113">
    <cfRule type="colorScale" priority="20">
      <colorScale>
        <cfvo type="min"/>
        <cfvo type="max"/>
        <color theme="6" tint="0.79998168889431442"/>
        <color theme="5" tint="0.39997558519241921"/>
      </colorScale>
    </cfRule>
  </conditionalFormatting>
  <conditionalFormatting sqref="B184:C184">
    <cfRule type="colorScale" priority="19">
      <colorScale>
        <cfvo type="min"/>
        <cfvo type="max"/>
        <color theme="6" tint="0.79998168889431442"/>
        <color theme="5" tint="0.39997558519241921"/>
      </colorScale>
    </cfRule>
  </conditionalFormatting>
  <conditionalFormatting sqref="B202:C202">
    <cfRule type="colorScale" priority="18">
      <colorScale>
        <cfvo type="min"/>
        <cfvo type="max"/>
        <color theme="6" tint="0.79998168889431442"/>
        <color theme="5" tint="0.39997558519241921"/>
      </colorScale>
    </cfRule>
  </conditionalFormatting>
  <conditionalFormatting sqref="C213:O213">
    <cfRule type="colorScale" priority="17">
      <colorScale>
        <cfvo type="min"/>
        <cfvo type="max"/>
        <color theme="6" tint="0.79998168889431442"/>
        <color theme="5" tint="0.39997558519241921"/>
      </colorScale>
    </cfRule>
  </conditionalFormatting>
  <conditionalFormatting sqref="D223:H223">
    <cfRule type="colorScale" priority="16">
      <colorScale>
        <cfvo type="min"/>
        <cfvo type="max"/>
        <color theme="6" tint="0.79998168889431442"/>
        <color theme="5" tint="0.39997558519241921"/>
      </colorScale>
    </cfRule>
  </conditionalFormatting>
  <conditionalFormatting sqref="C207:I207">
    <cfRule type="colorScale" priority="15">
      <colorScale>
        <cfvo type="min"/>
        <cfvo type="max"/>
        <color theme="6" tint="0.79998168889431442"/>
        <color theme="5" tint="0.39997558519241921"/>
      </colorScale>
    </cfRule>
  </conditionalFormatting>
  <conditionalFormatting sqref="C218:D218">
    <cfRule type="colorScale" priority="14">
      <colorScale>
        <cfvo type="min"/>
        <cfvo type="max"/>
        <color theme="6" tint="0.79998168889431442"/>
        <color theme="5" tint="0.39997558519241921"/>
      </colorScale>
    </cfRule>
  </conditionalFormatting>
  <conditionalFormatting sqref="B233:C233">
    <cfRule type="colorScale" priority="13">
      <colorScale>
        <cfvo type="min"/>
        <cfvo type="max"/>
        <color theme="6" tint="0.79998168889431442"/>
        <color theme="5" tint="0.39997558519241921"/>
      </colorScale>
    </cfRule>
  </conditionalFormatting>
  <conditionalFormatting sqref="B243:C243">
    <cfRule type="colorScale" priority="12">
      <colorScale>
        <cfvo type="min"/>
        <cfvo type="max"/>
        <color theme="6" tint="0.79998168889431442"/>
        <color theme="5" tint="0.39997558519241921"/>
      </colorScale>
    </cfRule>
  </conditionalFormatting>
  <conditionalFormatting sqref="B248:C248">
    <cfRule type="colorScale" priority="11">
      <colorScale>
        <cfvo type="min"/>
        <cfvo type="max"/>
        <color theme="6" tint="0.79998168889431442"/>
        <color theme="5" tint="0.39997558519241921"/>
      </colorScale>
    </cfRule>
  </conditionalFormatting>
  <conditionalFormatting sqref="B253:C253">
    <cfRule type="colorScale" priority="10">
      <colorScale>
        <cfvo type="min"/>
        <cfvo type="max"/>
        <color theme="6" tint="0.79998168889431442"/>
        <color theme="5" tint="0.39997558519241921"/>
      </colorScale>
    </cfRule>
  </conditionalFormatting>
  <conditionalFormatting sqref="C263:D263">
    <cfRule type="colorScale" priority="9">
      <colorScale>
        <cfvo type="min"/>
        <cfvo type="max"/>
        <color theme="6" tint="0.79998168889431442"/>
        <color theme="5" tint="0.39997558519241921"/>
      </colorScale>
    </cfRule>
  </conditionalFormatting>
  <conditionalFormatting sqref="B123:G123">
    <cfRule type="colorScale" priority="8">
      <colorScale>
        <cfvo type="min"/>
        <cfvo type="max"/>
        <color theme="6" tint="0.79998168889431442"/>
        <color theme="5" tint="0.39997558519241921"/>
      </colorScale>
    </cfRule>
  </conditionalFormatting>
  <conditionalFormatting sqref="C86:F86">
    <cfRule type="colorScale" priority="7">
      <colorScale>
        <cfvo type="min"/>
        <cfvo type="max"/>
        <color theme="6" tint="0.79998168889431442"/>
        <color theme="5" tint="0.39997558519241921"/>
      </colorScale>
    </cfRule>
  </conditionalFormatting>
  <conditionalFormatting sqref="B97:D97">
    <cfRule type="colorScale" priority="6">
      <colorScale>
        <cfvo type="min"/>
        <cfvo type="max"/>
        <color theme="6" tint="0.79998168889431442"/>
        <color theme="5" tint="0.39997558519241921"/>
      </colorScale>
    </cfRule>
  </conditionalFormatting>
  <conditionalFormatting sqref="C147:F147">
    <cfRule type="colorScale" priority="5">
      <colorScale>
        <cfvo type="min"/>
        <cfvo type="max"/>
        <color theme="6" tint="0.79998168889431442"/>
        <color theme="5" tint="0.39997558519241921"/>
      </colorScale>
    </cfRule>
  </conditionalFormatting>
  <conditionalFormatting sqref="C24:J24">
    <cfRule type="colorScale" priority="4">
      <colorScale>
        <cfvo type="min"/>
        <cfvo type="max"/>
        <color theme="6" tint="0.79998168889431442"/>
        <color theme="5" tint="0.39997558519241921"/>
      </colorScale>
    </cfRule>
  </conditionalFormatting>
  <conditionalFormatting sqref="K24">
    <cfRule type="colorScale" priority="3">
      <colorScale>
        <cfvo type="min"/>
        <cfvo type="max"/>
        <color theme="6" tint="0.79998168889431442"/>
        <color theme="5" tint="0.39997558519241921"/>
      </colorScale>
    </cfRule>
  </conditionalFormatting>
  <conditionalFormatting sqref="L24">
    <cfRule type="colorScale" priority="2">
      <colorScale>
        <cfvo type="min"/>
        <cfvo type="max"/>
        <color theme="6" tint="0.79998168889431442"/>
        <color theme="5" tint="0.39997558519241921"/>
      </colorScale>
    </cfRule>
  </conditionalFormatting>
  <conditionalFormatting sqref="C76:G76">
    <cfRule type="colorScale" priority="1">
      <colorScale>
        <cfvo type="min"/>
        <cfvo type="max"/>
        <color theme="6" tint="0.79998168889431442"/>
        <color theme="5" tint="0.39997558519241921"/>
      </colorScale>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2:Z208"/>
  <sheetViews>
    <sheetView zoomScale="90" zoomScaleNormal="90" workbookViewId="0">
      <selection activeCell="D159" sqref="D159"/>
    </sheetView>
  </sheetViews>
  <sheetFormatPr defaultColWidth="8.81640625" defaultRowHeight="14" x14ac:dyDescent="0.3"/>
  <cols>
    <col min="1" max="1" width="15.1796875" style="9" customWidth="1"/>
    <col min="2" max="2" width="12.6328125" style="9" customWidth="1"/>
    <col min="3" max="3" width="13.90625" style="9" customWidth="1"/>
    <col min="4" max="4" width="16.36328125" style="9" customWidth="1"/>
    <col min="5" max="5" width="16.81640625" style="9" customWidth="1"/>
    <col min="6" max="6" width="12.6328125" style="9" customWidth="1"/>
    <col min="7" max="7" width="12.36328125" style="9" customWidth="1"/>
    <col min="8" max="8" width="12.1796875" style="9" customWidth="1"/>
    <col min="9" max="9" width="8.81640625" style="9"/>
    <col min="10" max="10" width="11.81640625" style="9" customWidth="1"/>
    <col min="11" max="11" width="16.453125" style="9" customWidth="1"/>
    <col min="12" max="12" width="19.453125" style="9" customWidth="1"/>
    <col min="13" max="16384" width="8.81640625" style="9"/>
  </cols>
  <sheetData>
    <row r="2" spans="1:7" ht="15.5" x14ac:dyDescent="0.35">
      <c r="A2" s="8" t="s">
        <v>1284</v>
      </c>
    </row>
    <row r="3" spans="1:7" ht="15.5" x14ac:dyDescent="0.35">
      <c r="A3" s="28" t="s">
        <v>1397</v>
      </c>
      <c r="B3" s="20">
        <f>COUNTIFS('OBO_Cleaned Data'!N:N,"education",'OBO_Cleaned Data'!K:K,"obo")</f>
        <v>6</v>
      </c>
    </row>
    <row r="5" spans="1:7" ht="15.5" x14ac:dyDescent="0.35">
      <c r="A5" s="28" t="s">
        <v>1734</v>
      </c>
    </row>
    <row r="6" spans="1:7" ht="42" x14ac:dyDescent="0.3">
      <c r="A6" s="3"/>
      <c r="B6" s="7" t="s">
        <v>1265</v>
      </c>
      <c r="C6" s="7" t="s">
        <v>1266</v>
      </c>
      <c r="D6" s="7" t="s">
        <v>1267</v>
      </c>
      <c r="E6" s="7" t="s">
        <v>2058</v>
      </c>
      <c r="F6" s="7" t="s">
        <v>2314</v>
      </c>
      <c r="G6" s="50" t="s">
        <v>2008</v>
      </c>
    </row>
    <row r="7" spans="1:7" x14ac:dyDescent="0.3">
      <c r="A7" s="3" t="s">
        <v>1198</v>
      </c>
      <c r="B7" s="4">
        <f>COUNTIF('OBO_Cleaned Data'!YK:ZT,"public")</f>
        <v>5</v>
      </c>
      <c r="C7" s="4">
        <f>COUNTIF('OBO_Cleaned Data'!ZT:ZT,"prive")</f>
        <v>0</v>
      </c>
      <c r="D7" s="4">
        <f>COUNTIF('OBO_Cleaned Data'!ZT:ZT,"religieux")</f>
        <v>0</v>
      </c>
      <c r="E7" s="4">
        <f>COUNTIF('OBO_Cleaned Data'!ZT:ZT,"communautaire")</f>
        <v>0</v>
      </c>
      <c r="F7" s="4">
        <f>COUNTIF('OBO_Cleaned Data'!ZT:ZT,"ecac")</f>
        <v>1</v>
      </c>
      <c r="G7" s="51">
        <f>SUM(B7:F7)</f>
        <v>6</v>
      </c>
    </row>
    <row r="8" spans="1:7" ht="26" x14ac:dyDescent="0.3">
      <c r="A8" s="52" t="s">
        <v>2007</v>
      </c>
      <c r="B8" s="6">
        <f>(B7/$B$3)</f>
        <v>0.83333333333333337</v>
      </c>
      <c r="C8" s="6">
        <f t="shared" ref="C8:D8" si="0">(C7/$B$3)</f>
        <v>0</v>
      </c>
      <c r="D8" s="6">
        <f t="shared" si="0"/>
        <v>0</v>
      </c>
      <c r="E8" s="6">
        <f t="shared" ref="E8:F8" si="1">(E7/$B$3)</f>
        <v>0</v>
      </c>
      <c r="F8" s="6">
        <f t="shared" si="1"/>
        <v>0.16666666666666666</v>
      </c>
      <c r="G8" s="105">
        <f>SUM(B8:F8)</f>
        <v>1</v>
      </c>
    </row>
    <row r="9" spans="1:7" x14ac:dyDescent="0.3">
      <c r="A9" s="13"/>
      <c r="B9" s="14"/>
      <c r="C9" s="14"/>
      <c r="D9" s="14"/>
    </row>
    <row r="10" spans="1:7" ht="15.5" x14ac:dyDescent="0.35">
      <c r="A10" s="44" t="s">
        <v>1758</v>
      </c>
      <c r="B10" s="14"/>
      <c r="C10" s="14"/>
      <c r="D10" s="13"/>
      <c r="E10" s="13"/>
    </row>
    <row r="11" spans="1:7" ht="42" x14ac:dyDescent="0.3">
      <c r="A11" s="3"/>
      <c r="B11" s="7" t="s">
        <v>1759</v>
      </c>
      <c r="C11" s="7" t="s">
        <v>1760</v>
      </c>
      <c r="D11" s="7" t="s">
        <v>1761</v>
      </c>
      <c r="E11" s="7" t="s">
        <v>1762</v>
      </c>
      <c r="F11" s="7" t="s">
        <v>1196</v>
      </c>
      <c r="G11" s="106" t="s">
        <v>1197</v>
      </c>
    </row>
    <row r="12" spans="1:7" x14ac:dyDescent="0.3">
      <c r="A12" s="3" t="s">
        <v>1198</v>
      </c>
      <c r="B12" s="4">
        <f>COUNTIF('OBO_Cleaned Data'!ABE:ABE,"f1")</f>
        <v>6</v>
      </c>
      <c r="C12" s="4">
        <f>COUNTIF('OBO_Cleaned Data'!ABE:ABE,"f2")</f>
        <v>0</v>
      </c>
      <c r="D12" s="4">
        <f>COUNTIF('OBO_Cleaned Data'!ABE:ABE,"etp")</f>
        <v>0</v>
      </c>
      <c r="E12" s="4">
        <f>COUNTIF('OBO_Cleaned Data'!ABE:ABE,"coranique")</f>
        <v>0</v>
      </c>
      <c r="F12" s="4">
        <f>COUNTIF('OBO_Cleaned Data'!ABH:ABH,"autre")</f>
        <v>0</v>
      </c>
      <c r="G12" s="103">
        <f>SUM(B12:F12)</f>
        <v>6</v>
      </c>
    </row>
    <row r="13" spans="1:7" ht="26" x14ac:dyDescent="0.3">
      <c r="A13" s="52" t="s">
        <v>2007</v>
      </c>
      <c r="B13" s="6">
        <f>(B12/$B$3)</f>
        <v>1</v>
      </c>
      <c r="C13" s="6">
        <f t="shared" ref="C13:F13" si="2">(C12/$B$3)</f>
        <v>0</v>
      </c>
      <c r="D13" s="6">
        <f t="shared" si="2"/>
        <v>0</v>
      </c>
      <c r="E13" s="6">
        <f t="shared" si="2"/>
        <v>0</v>
      </c>
      <c r="F13" s="6">
        <f t="shared" si="2"/>
        <v>0</v>
      </c>
      <c r="G13" s="107">
        <f>SUM(B13:F13)</f>
        <v>1</v>
      </c>
    </row>
    <row r="15" spans="1:7" ht="15.5" x14ac:dyDescent="0.35">
      <c r="A15" s="8" t="s">
        <v>1275</v>
      </c>
    </row>
    <row r="16" spans="1:7" ht="15.5" x14ac:dyDescent="0.35">
      <c r="A16" s="28" t="s">
        <v>1735</v>
      </c>
    </row>
    <row r="17" spans="1:26" x14ac:dyDescent="0.3">
      <c r="A17" s="3"/>
      <c r="B17" s="7" t="s">
        <v>1268</v>
      </c>
      <c r="C17" s="7" t="s">
        <v>1269</v>
      </c>
      <c r="D17" s="7" t="s">
        <v>1270</v>
      </c>
      <c r="E17" s="106" t="s">
        <v>1197</v>
      </c>
    </row>
    <row r="18" spans="1:26" x14ac:dyDescent="0.3">
      <c r="A18" s="3" t="s">
        <v>1198</v>
      </c>
      <c r="B18" s="4">
        <f>COUNTIF('OBO_Cleaned Data'!ZV:ZV,"durable")</f>
        <v>5</v>
      </c>
      <c r="C18" s="4">
        <f>COUNTIF('OBO_Cleaned Data'!ZV:ZV,"hangar")</f>
        <v>1</v>
      </c>
      <c r="D18" s="4">
        <f>COUNTIF('OBO_Cleaned Data'!ZV:ZV,"hangar_traditionnel")</f>
        <v>0</v>
      </c>
      <c r="E18" s="103">
        <f>SUM(B18:D18)</f>
        <v>6</v>
      </c>
    </row>
    <row r="19" spans="1:26" ht="26" x14ac:dyDescent="0.3">
      <c r="A19" s="52" t="s">
        <v>2007</v>
      </c>
      <c r="B19" s="6">
        <f>B18/$B$3</f>
        <v>0.83333333333333337</v>
      </c>
      <c r="C19" s="6">
        <f t="shared" ref="C19:D19" si="3">C18/$B$3</f>
        <v>0.16666666666666666</v>
      </c>
      <c r="D19" s="6">
        <f t="shared" si="3"/>
        <v>0</v>
      </c>
      <c r="E19" s="107">
        <f>SUM(B19:D19)</f>
        <v>1</v>
      </c>
    </row>
    <row r="20" spans="1:26" x14ac:dyDescent="0.3">
      <c r="A20" s="13"/>
      <c r="B20" s="14"/>
      <c r="C20" s="14"/>
      <c r="D20" s="14"/>
      <c r="E20" s="25"/>
    </row>
    <row r="21" spans="1:26" ht="15.5" x14ac:dyDescent="0.35">
      <c r="A21" s="44" t="s">
        <v>1736</v>
      </c>
      <c r="B21" s="14"/>
      <c r="C21" s="14"/>
      <c r="D21" s="14"/>
      <c r="E21" s="25"/>
    </row>
    <row r="22" spans="1:26" ht="28" x14ac:dyDescent="0.3">
      <c r="A22" s="3"/>
      <c r="B22" s="7" t="s">
        <v>1201</v>
      </c>
      <c r="C22" s="7" t="s">
        <v>1200</v>
      </c>
      <c r="D22" s="7" t="s">
        <v>1737</v>
      </c>
      <c r="E22" s="70" t="s">
        <v>1775</v>
      </c>
    </row>
    <row r="23" spans="1:26" x14ac:dyDescent="0.3">
      <c r="A23" s="3" t="s">
        <v>1198</v>
      </c>
      <c r="B23" s="4">
        <f>COUNTIF('OBO_Cleaned Data'!ZX:ZX,"Oui")</f>
        <v>6</v>
      </c>
      <c r="C23" s="4">
        <f>COUNTIF('OBO_Cleaned Data'!ZX:ZX,"non")</f>
        <v>0</v>
      </c>
      <c r="D23" s="4">
        <f>COUNTIF('OBO_Cleaned Data'!ZX:ZX,"partiel")</f>
        <v>0</v>
      </c>
      <c r="E23" s="71">
        <f>B23+D23</f>
        <v>6</v>
      </c>
    </row>
    <row r="24" spans="1:26" ht="26" x14ac:dyDescent="0.3">
      <c r="A24" s="52" t="s">
        <v>2007</v>
      </c>
      <c r="B24" s="6">
        <f>B23/$B$3</f>
        <v>1</v>
      </c>
      <c r="C24" s="6">
        <f t="shared" ref="C24:D24" si="4">C23/$B$3</f>
        <v>0</v>
      </c>
      <c r="D24" s="6">
        <f t="shared" si="4"/>
        <v>0</v>
      </c>
      <c r="E24" s="109">
        <f>B24+D24</f>
        <v>1</v>
      </c>
    </row>
    <row r="25" spans="1:26" x14ac:dyDescent="0.3">
      <c r="A25" s="13"/>
      <c r="B25" s="14"/>
      <c r="C25" s="14"/>
      <c r="D25" s="14"/>
      <c r="E25" s="25"/>
    </row>
    <row r="26" spans="1:26" x14ac:dyDescent="0.3">
      <c r="B26" s="17" t="s">
        <v>1753</v>
      </c>
      <c r="D26" s="95" t="s">
        <v>1994</v>
      </c>
    </row>
    <row r="27" spans="1:26" s="35" customFormat="1" ht="77.5" customHeight="1" x14ac:dyDescent="0.3">
      <c r="B27" s="3"/>
      <c r="C27" s="11" t="s">
        <v>1738</v>
      </c>
      <c r="D27" s="11" t="s">
        <v>1739</v>
      </c>
      <c r="E27" s="11" t="s">
        <v>1740</v>
      </c>
      <c r="F27" s="11" t="s">
        <v>1741</v>
      </c>
      <c r="G27" s="11" t="s">
        <v>1742</v>
      </c>
      <c r="H27" s="11" t="s">
        <v>1743</v>
      </c>
      <c r="I27" s="11" t="s">
        <v>1744</v>
      </c>
      <c r="J27" s="11" t="s">
        <v>1706</v>
      </c>
      <c r="K27" s="11" t="s">
        <v>1211</v>
      </c>
    </row>
    <row r="28" spans="1:26" x14ac:dyDescent="0.3">
      <c r="B28" s="3" t="s">
        <v>1198</v>
      </c>
      <c r="C28" s="3">
        <f>COUNTIF('OBO_Cleaned Data'!AAK:AAK,"1")</f>
        <v>0</v>
      </c>
      <c r="D28" s="3">
        <f>COUNTIF('OBO_Cleaned Data'!AAL:AAL,"1")</f>
        <v>0</v>
      </c>
      <c r="E28" s="3">
        <f>COUNTIF('OBO_Cleaned Data'!AAM:AAM,"1")</f>
        <v>0</v>
      </c>
      <c r="F28" s="3">
        <f>COUNTIF('OBO_Cleaned Data'!AAN:AAN,"1")</f>
        <v>0</v>
      </c>
      <c r="G28" s="3">
        <f>COUNTIF('OBO_Cleaned Data'!AAO:AAO,"1")</f>
        <v>0</v>
      </c>
      <c r="H28" s="3">
        <f>COUNTIF('OBO_Cleaned Data'!AAP:AAP,"1")</f>
        <v>0</v>
      </c>
      <c r="I28" s="3">
        <f>COUNTIF('OBO_Cleaned Data'!AAQ:AAQ,"1")</f>
        <v>0</v>
      </c>
      <c r="J28" s="3">
        <f>COUNTIF('OBO_Cleaned Data'!AAR:AAR,"1")</f>
        <v>0</v>
      </c>
      <c r="K28" s="3">
        <f>COUNTIF('OBO_Cleaned Data'!AAS:AAS,"1")</f>
        <v>0</v>
      </c>
    </row>
    <row r="29" spans="1:26" ht="37.5" x14ac:dyDescent="0.3">
      <c r="B29" s="52" t="s">
        <v>2009</v>
      </c>
      <c r="C29" s="6" t="e">
        <f>C28/$C$23</f>
        <v>#DIV/0!</v>
      </c>
      <c r="D29" s="6" t="e">
        <f t="shared" ref="D29:K29" si="5">D28/$C$23</f>
        <v>#DIV/0!</v>
      </c>
      <c r="E29" s="6" t="e">
        <f t="shared" si="5"/>
        <v>#DIV/0!</v>
      </c>
      <c r="F29" s="6" t="e">
        <f t="shared" si="5"/>
        <v>#DIV/0!</v>
      </c>
      <c r="G29" s="6" t="e">
        <f t="shared" si="5"/>
        <v>#DIV/0!</v>
      </c>
      <c r="H29" s="6" t="e">
        <f t="shared" si="5"/>
        <v>#DIV/0!</v>
      </c>
      <c r="I29" s="6" t="e">
        <f t="shared" si="5"/>
        <v>#DIV/0!</v>
      </c>
      <c r="J29" s="6" t="e">
        <f t="shared" si="5"/>
        <v>#DIV/0!</v>
      </c>
      <c r="K29" s="6" t="e">
        <f t="shared" si="5"/>
        <v>#DIV/0!</v>
      </c>
    </row>
    <row r="31" spans="1:26" s="1" customFormat="1" x14ac:dyDescent="0.3">
      <c r="A31" s="9"/>
      <c r="B31" s="16" t="s">
        <v>1752</v>
      </c>
      <c r="C31" s="13"/>
      <c r="D31" s="9"/>
      <c r="E31" s="9"/>
      <c r="F31" s="9"/>
      <c r="G31" s="9"/>
      <c r="I31" s="9"/>
      <c r="J31" s="9"/>
      <c r="K31" s="9"/>
      <c r="L31" s="9"/>
      <c r="M31" s="9"/>
      <c r="N31" s="9"/>
      <c r="O31" s="9"/>
      <c r="P31" s="9"/>
      <c r="Q31" s="9"/>
      <c r="R31" s="9"/>
      <c r="S31" s="9"/>
      <c r="T31" s="9"/>
      <c r="U31" s="9"/>
      <c r="V31" s="9"/>
      <c r="W31" s="9"/>
      <c r="X31" s="9"/>
      <c r="Y31" s="9"/>
      <c r="Z31" s="9"/>
    </row>
    <row r="32" spans="1:26" s="1" customFormat="1" x14ac:dyDescent="0.3">
      <c r="A32" s="9"/>
      <c r="B32" s="3"/>
      <c r="C32" s="108" t="s">
        <v>1663</v>
      </c>
      <c r="D32" s="108" t="s">
        <v>1664</v>
      </c>
      <c r="E32" s="108" t="s">
        <v>1665</v>
      </c>
      <c r="F32" s="108" t="s">
        <v>1666</v>
      </c>
      <c r="G32" s="108" t="s">
        <v>1706</v>
      </c>
      <c r="H32" s="106" t="s">
        <v>1197</v>
      </c>
      <c r="I32" s="9"/>
      <c r="J32" s="9"/>
      <c r="K32" s="9"/>
      <c r="L32" s="9"/>
      <c r="M32" s="9"/>
      <c r="N32" s="9"/>
      <c r="O32" s="9"/>
      <c r="P32" s="9"/>
      <c r="Q32" s="9"/>
      <c r="R32" s="9"/>
      <c r="S32" s="9"/>
      <c r="T32" s="9"/>
      <c r="U32" s="9"/>
      <c r="V32" s="9"/>
      <c r="W32" s="9"/>
      <c r="X32" s="9"/>
      <c r="Y32" s="9"/>
      <c r="Z32" s="9"/>
    </row>
    <row r="33" spans="1:26" s="1" customFormat="1" ht="14.5" customHeight="1" x14ac:dyDescent="0.3">
      <c r="A33" s="9"/>
      <c r="B33" s="3" t="s">
        <v>1198</v>
      </c>
      <c r="C33" s="3">
        <f>COUNTIF('OBO_Cleaned Data'!AAU:AAU,"moins_six_mois")</f>
        <v>0</v>
      </c>
      <c r="D33" s="3">
        <f>COUNTIF('OBO_Cleaned Data'!AAU:AAU,"six_mois_un_an ")</f>
        <v>0</v>
      </c>
      <c r="E33" s="3">
        <f>COUNTIF('OBO_Cleaned Data'!AAU:AAU,"un_an_trois_ans")</f>
        <v>0</v>
      </c>
      <c r="F33" s="3">
        <f>COUNTIF('OBO_Cleaned Data'!AAU:AAU,"plus_trois_ans")</f>
        <v>0</v>
      </c>
      <c r="G33" s="3">
        <f>COUNTIF('OBO_Cleaned Data'!AAU:AAU,"nsp")</f>
        <v>0</v>
      </c>
      <c r="H33" s="103">
        <f>SUM(C33:G33)</f>
        <v>0</v>
      </c>
      <c r="I33" s="9"/>
      <c r="J33" s="9"/>
      <c r="K33" s="73"/>
      <c r="L33" s="9"/>
      <c r="M33" s="9"/>
      <c r="N33" s="9"/>
      <c r="O33" s="9"/>
      <c r="P33" s="9"/>
      <c r="Q33" s="9"/>
      <c r="R33" s="9"/>
      <c r="S33" s="9"/>
      <c r="T33" s="9"/>
      <c r="U33" s="9"/>
      <c r="V33" s="9"/>
      <c r="W33" s="9"/>
      <c r="X33" s="9"/>
      <c r="Y33" s="9"/>
      <c r="Z33" s="9"/>
    </row>
    <row r="34" spans="1:26" ht="37.5" x14ac:dyDescent="0.3">
      <c r="B34" s="52" t="s">
        <v>2009</v>
      </c>
      <c r="C34" s="6" t="e">
        <f>C33/$C$23</f>
        <v>#DIV/0!</v>
      </c>
      <c r="D34" s="6" t="e">
        <f t="shared" ref="D34:G34" si="6">D33/$C$23</f>
        <v>#DIV/0!</v>
      </c>
      <c r="E34" s="6" t="e">
        <f t="shared" si="6"/>
        <v>#DIV/0!</v>
      </c>
      <c r="F34" s="6" t="e">
        <f t="shared" si="6"/>
        <v>#DIV/0!</v>
      </c>
      <c r="G34" s="6" t="e">
        <f t="shared" si="6"/>
        <v>#DIV/0!</v>
      </c>
      <c r="H34" s="107" t="e">
        <f>SUM(C34:G34)</f>
        <v>#DIV/0!</v>
      </c>
    </row>
    <row r="35" spans="1:26" x14ac:dyDescent="0.3">
      <c r="A35" s="13"/>
      <c r="B35" s="14"/>
      <c r="C35" s="14"/>
      <c r="D35" s="14"/>
      <c r="E35" s="25"/>
    </row>
    <row r="36" spans="1:26" x14ac:dyDescent="0.3">
      <c r="B36" s="17" t="s">
        <v>1754</v>
      </c>
      <c r="E36" s="95" t="s">
        <v>1994</v>
      </c>
    </row>
    <row r="37" spans="1:26" ht="77.5" customHeight="1" x14ac:dyDescent="0.3">
      <c r="B37" s="3"/>
      <c r="C37" s="11" t="s">
        <v>1745</v>
      </c>
      <c r="D37" s="11" t="s">
        <v>1750</v>
      </c>
      <c r="E37" s="11" t="s">
        <v>1746</v>
      </c>
      <c r="F37" s="11" t="s">
        <v>1747</v>
      </c>
      <c r="G37" s="11" t="s">
        <v>1748</v>
      </c>
      <c r="H37" s="11" t="s">
        <v>1749</v>
      </c>
      <c r="I37" s="11" t="s">
        <v>1706</v>
      </c>
      <c r="J37" s="11" t="s">
        <v>1211</v>
      </c>
    </row>
    <row r="38" spans="1:26" x14ac:dyDescent="0.3">
      <c r="B38" s="3" t="s">
        <v>1198</v>
      </c>
      <c r="C38" s="3">
        <f>COUNTIF('OBO_Cleaned Data'!ZZ:ZZ,"1")</f>
        <v>0</v>
      </c>
      <c r="D38" s="3">
        <f>COUNTIF('OBO_Cleaned Data'!AAA:AAA,"1")</f>
        <v>0</v>
      </c>
      <c r="E38" s="3">
        <f>COUNTIF('OBO_Cleaned Data'!AAB:AAB,"1")</f>
        <v>0</v>
      </c>
      <c r="F38" s="3">
        <f>COUNTIF('OBO_Cleaned Data'!AAC:AAC,"1")</f>
        <v>0</v>
      </c>
      <c r="G38" s="3">
        <f>COUNTIF('OBO_Cleaned Data'!AAD:AAD,"1")</f>
        <v>0</v>
      </c>
      <c r="H38" s="3">
        <f>COUNTIF('OBO_Cleaned Data'!AAE:AAE,"1")</f>
        <v>0</v>
      </c>
      <c r="I38" s="3">
        <f>COUNTIF('OBO_Cleaned Data'!AAF:AAF,"1")</f>
        <v>0</v>
      </c>
      <c r="J38" s="3">
        <f>COUNTIF('OBO_Cleaned Data'!AAG:AAG,"1")</f>
        <v>0</v>
      </c>
    </row>
    <row r="39" spans="1:26" ht="49" x14ac:dyDescent="0.3">
      <c r="B39" s="52" t="s">
        <v>2010</v>
      </c>
      <c r="C39" s="6" t="e">
        <f>C38/$D$23</f>
        <v>#DIV/0!</v>
      </c>
      <c r="D39" s="6" t="e">
        <f t="shared" ref="D39:J39" si="7">D38/$D$23</f>
        <v>#DIV/0!</v>
      </c>
      <c r="E39" s="6" t="e">
        <f t="shared" si="7"/>
        <v>#DIV/0!</v>
      </c>
      <c r="F39" s="6" t="e">
        <f t="shared" si="7"/>
        <v>#DIV/0!</v>
      </c>
      <c r="G39" s="6" t="e">
        <f t="shared" si="7"/>
        <v>#DIV/0!</v>
      </c>
      <c r="H39" s="6" t="e">
        <f t="shared" si="7"/>
        <v>#DIV/0!</v>
      </c>
      <c r="I39" s="6" t="e">
        <f t="shared" si="7"/>
        <v>#DIV/0!</v>
      </c>
      <c r="J39" s="6" t="e">
        <f t="shared" si="7"/>
        <v>#DIV/0!</v>
      </c>
    </row>
    <row r="40" spans="1:26" x14ac:dyDescent="0.3">
      <c r="B40" s="49"/>
    </row>
    <row r="41" spans="1:26" s="1" customFormat="1" x14ac:dyDescent="0.3">
      <c r="A41" s="9"/>
      <c r="B41" s="16" t="s">
        <v>1751</v>
      </c>
      <c r="D41" s="13"/>
      <c r="E41" s="9"/>
      <c r="F41" s="9"/>
      <c r="G41" s="9"/>
      <c r="H41" s="9"/>
      <c r="I41" s="9"/>
      <c r="J41" s="9"/>
      <c r="K41" s="9"/>
      <c r="L41" s="9"/>
      <c r="M41" s="9"/>
      <c r="N41" s="9"/>
      <c r="O41" s="9"/>
      <c r="P41" s="9"/>
      <c r="Q41" s="9"/>
      <c r="R41" s="9"/>
      <c r="S41" s="9"/>
      <c r="T41" s="9"/>
      <c r="U41" s="9"/>
      <c r="V41" s="9"/>
      <c r="W41" s="9"/>
      <c r="X41" s="9"/>
      <c r="Y41" s="9"/>
      <c r="Z41" s="9"/>
    </row>
    <row r="42" spans="1:26" s="1" customFormat="1" x14ac:dyDescent="0.3">
      <c r="A42" s="9"/>
      <c r="B42" s="3"/>
      <c r="C42" s="5" t="s">
        <v>1663</v>
      </c>
      <c r="D42" s="5" t="s">
        <v>1664</v>
      </c>
      <c r="E42" s="5" t="s">
        <v>1665</v>
      </c>
      <c r="F42" s="5" t="s">
        <v>1666</v>
      </c>
      <c r="G42" s="5" t="s">
        <v>1706</v>
      </c>
      <c r="H42" s="106" t="s">
        <v>1197</v>
      </c>
      <c r="I42" s="9"/>
      <c r="J42" s="9"/>
      <c r="K42" s="9"/>
      <c r="L42" s="9"/>
      <c r="M42" s="9"/>
      <c r="N42" s="9"/>
      <c r="O42" s="9"/>
      <c r="P42" s="9"/>
      <c r="Q42" s="9"/>
      <c r="R42" s="9"/>
      <c r="S42" s="9"/>
      <c r="T42" s="9"/>
      <c r="U42" s="9"/>
      <c r="V42" s="9"/>
      <c r="W42" s="9"/>
      <c r="X42" s="9"/>
      <c r="Y42" s="9"/>
      <c r="Z42" s="9"/>
    </row>
    <row r="43" spans="1:26" s="1" customFormat="1" x14ac:dyDescent="0.3">
      <c r="A43" s="9"/>
      <c r="B43" s="3" t="s">
        <v>1198</v>
      </c>
      <c r="C43" s="3">
        <f>COUNTIF('OBO_Cleaned Data'!AAI:AAI,"moins_six_mois")</f>
        <v>0</v>
      </c>
      <c r="D43" s="3">
        <f>COUNTIF('OBO_Cleaned Data'!AAI:AAI,"six_mois_un_an ")</f>
        <v>0</v>
      </c>
      <c r="E43" s="3">
        <f>COUNTIF('OBO_Cleaned Data'!AAI:AAI,"un_an_trois_ans")</f>
        <v>0</v>
      </c>
      <c r="F43" s="3">
        <f>COUNTIF('OBO_Cleaned Data'!AAI:AAI,"plus_trois_ans")</f>
        <v>0</v>
      </c>
      <c r="G43" s="3">
        <f>COUNTIF('OBO_Cleaned Data'!AAI:AAI,"nsp")</f>
        <v>0</v>
      </c>
      <c r="H43" s="103">
        <f>SUM(C43:G43)</f>
        <v>0</v>
      </c>
      <c r="I43" s="9"/>
      <c r="J43" s="9"/>
      <c r="K43" s="9"/>
      <c r="L43" s="9"/>
      <c r="M43" s="9"/>
      <c r="N43" s="9"/>
      <c r="O43" s="9"/>
      <c r="P43" s="9"/>
      <c r="Q43" s="9"/>
      <c r="R43" s="9"/>
      <c r="S43" s="9"/>
      <c r="T43" s="9"/>
      <c r="U43" s="9"/>
      <c r="V43" s="9"/>
      <c r="W43" s="9"/>
      <c r="X43" s="9"/>
      <c r="Y43" s="9"/>
      <c r="Z43" s="9"/>
    </row>
    <row r="44" spans="1:26" s="1" customFormat="1" ht="53" customHeight="1" x14ac:dyDescent="0.3">
      <c r="A44" s="9"/>
      <c r="B44" s="52" t="s">
        <v>2010</v>
      </c>
      <c r="C44" s="6" t="e">
        <f>C43/$D$23</f>
        <v>#DIV/0!</v>
      </c>
      <c r="D44" s="6" t="e">
        <f t="shared" ref="D44:G44" si="8">D43/$D$23</f>
        <v>#DIV/0!</v>
      </c>
      <c r="E44" s="6" t="e">
        <f t="shared" si="8"/>
        <v>#DIV/0!</v>
      </c>
      <c r="F44" s="6" t="e">
        <f t="shared" si="8"/>
        <v>#DIV/0!</v>
      </c>
      <c r="G44" s="6" t="e">
        <f t="shared" si="8"/>
        <v>#DIV/0!</v>
      </c>
      <c r="H44" s="107" t="e">
        <f>SUM(C44:G44)</f>
        <v>#DIV/0!</v>
      </c>
      <c r="I44" s="9"/>
      <c r="J44" s="9"/>
      <c r="K44" s="9"/>
      <c r="L44" s="9"/>
      <c r="M44" s="9"/>
      <c r="N44" s="9"/>
      <c r="O44" s="9"/>
      <c r="P44" s="9"/>
      <c r="Q44" s="9"/>
      <c r="R44" s="9"/>
      <c r="S44" s="9"/>
      <c r="T44" s="9"/>
      <c r="U44" s="9"/>
      <c r="V44" s="9"/>
      <c r="W44" s="9"/>
      <c r="X44" s="9"/>
      <c r="Y44" s="9"/>
      <c r="Z44" s="9"/>
    </row>
    <row r="45" spans="1:26" ht="14.5" customHeight="1" x14ac:dyDescent="0.3">
      <c r="B45" s="13"/>
      <c r="C45" s="14"/>
      <c r="D45" s="14"/>
      <c r="E45" s="14"/>
      <c r="F45" s="14"/>
      <c r="G45" s="14"/>
    </row>
    <row r="46" spans="1:26" ht="14.5" customHeight="1" x14ac:dyDescent="0.35">
      <c r="A46" s="28" t="s">
        <v>1755</v>
      </c>
      <c r="B46" s="13"/>
      <c r="C46" s="14"/>
      <c r="D46" s="14"/>
      <c r="E46" s="95" t="s">
        <v>1994</v>
      </c>
      <c r="F46" s="14"/>
      <c r="G46" s="14"/>
    </row>
    <row r="47" spans="1:26" s="63" customFormat="1" ht="63.5" customHeight="1" x14ac:dyDescent="0.35">
      <c r="A47" s="53"/>
      <c r="B47" s="34" t="s">
        <v>1271</v>
      </c>
      <c r="C47" s="34" t="s">
        <v>1756</v>
      </c>
      <c r="D47" s="34" t="s">
        <v>1272</v>
      </c>
      <c r="E47" s="34" t="s">
        <v>1273</v>
      </c>
      <c r="F47" s="34" t="s">
        <v>1274</v>
      </c>
      <c r="G47" s="34" t="s">
        <v>1196</v>
      </c>
      <c r="H47" s="34" t="s">
        <v>1706</v>
      </c>
    </row>
    <row r="48" spans="1:26" ht="14.5" customHeight="1" x14ac:dyDescent="0.3">
      <c r="A48" s="3" t="s">
        <v>1198</v>
      </c>
      <c r="B48" s="4">
        <f>COUNTIF('OBO_Cleaned Data'!AAW:AAW,"1")</f>
        <v>0</v>
      </c>
      <c r="C48" s="4">
        <f>COUNTIF('OBO_Cleaned Data'!AAX:AAX,"1")</f>
        <v>0</v>
      </c>
      <c r="D48" s="4">
        <f>COUNTIF('OBO_Cleaned Data'!AAY:AAY,"1")</f>
        <v>0</v>
      </c>
      <c r="E48" s="4">
        <f>COUNTIF('OBO_Cleaned Data'!AAZ:AAZ,"1")</f>
        <v>0</v>
      </c>
      <c r="F48" s="4">
        <f>COUNTIF('OBO_Cleaned Data'!ABA:ABA,"1")</f>
        <v>0</v>
      </c>
      <c r="G48" s="4">
        <f>COUNTIF('OBO_Cleaned Data'!ABB:ABB,"1")</f>
        <v>0</v>
      </c>
      <c r="H48" s="4">
        <f>COUNTIF('OBO_Cleaned Data'!ABC:ABC,"1")</f>
        <v>0</v>
      </c>
      <c r="J48" s="84"/>
    </row>
    <row r="49" spans="1:12" ht="40" customHeight="1" x14ac:dyDescent="0.3">
      <c r="A49" s="53" t="s">
        <v>1757</v>
      </c>
      <c r="B49" s="6" t="e">
        <f>B48/SUM(C28,C38)</f>
        <v>#DIV/0!</v>
      </c>
      <c r="C49" s="6" t="e">
        <f>C48/SUM(C28,C38)</f>
        <v>#DIV/0!</v>
      </c>
      <c r="D49" s="6" t="e">
        <f>D48/SUM(C28,C38)</f>
        <v>#DIV/0!</v>
      </c>
      <c r="E49" s="6" t="e">
        <f>E48/SUM(C28,C38)</f>
        <v>#DIV/0!</v>
      </c>
      <c r="F49" s="6" t="e">
        <f>F48/SUM(C28,C38)</f>
        <v>#DIV/0!</v>
      </c>
      <c r="G49" s="6" t="e">
        <f>G48/SUM(C28,C38)</f>
        <v>#DIV/0!</v>
      </c>
      <c r="H49" s="6" t="e">
        <f>H48/SUM(C28,C38)</f>
        <v>#DIV/0!</v>
      </c>
    </row>
    <row r="50" spans="1:12" ht="18.5" customHeight="1" x14ac:dyDescent="0.3">
      <c r="A50" s="64"/>
      <c r="B50" s="14"/>
      <c r="C50" s="14"/>
      <c r="D50" s="14"/>
      <c r="E50" s="14"/>
      <c r="F50" s="14"/>
      <c r="G50" s="14"/>
    </row>
    <row r="51" spans="1:12" ht="15.5" x14ac:dyDescent="0.35">
      <c r="A51" s="28" t="s">
        <v>1293</v>
      </c>
      <c r="C51" s="95" t="s">
        <v>1994</v>
      </c>
    </row>
    <row r="52" spans="1:12" ht="42" x14ac:dyDescent="0.3">
      <c r="A52" s="53"/>
      <c r="B52" s="7" t="s">
        <v>1698</v>
      </c>
      <c r="C52" s="7" t="s">
        <v>1691</v>
      </c>
      <c r="D52" s="7" t="s">
        <v>1692</v>
      </c>
      <c r="E52" s="7" t="s">
        <v>1695</v>
      </c>
      <c r="F52" s="7" t="s">
        <v>1229</v>
      </c>
      <c r="G52" s="7" t="s">
        <v>1696</v>
      </c>
      <c r="H52" s="7" t="s">
        <v>1697</v>
      </c>
      <c r="I52" s="7" t="s">
        <v>1706</v>
      </c>
      <c r="J52" s="7" t="s">
        <v>1196</v>
      </c>
      <c r="K52" s="7" t="s">
        <v>1693</v>
      </c>
      <c r="L52" s="7" t="s">
        <v>1694</v>
      </c>
    </row>
    <row r="53" spans="1:12" x14ac:dyDescent="0.3">
      <c r="A53" s="3" t="s">
        <v>1198</v>
      </c>
      <c r="B53" s="4">
        <f>COUNTIF('OBO_Cleaned Data'!ABM:ABM,"1")</f>
        <v>2</v>
      </c>
      <c r="C53" s="4">
        <f>COUNTIF('OBO_Cleaned Data'!ABN:ABN,"1")</f>
        <v>0</v>
      </c>
      <c r="D53" s="4">
        <f>COUNTIF('OBO_Cleaned Data'!ABO:ABO,"1")</f>
        <v>0</v>
      </c>
      <c r="E53" s="4">
        <f>COUNTIF('OBO_Cleaned Data'!ABP:ABP,"1")</f>
        <v>0</v>
      </c>
      <c r="F53" s="4">
        <f>COUNTIF('OBO_Cleaned Data'!ABQ:ABQ,"1")</f>
        <v>0</v>
      </c>
      <c r="G53" s="4">
        <f>COUNTIF('OBO_Cleaned Data'!ABR:ABR,"1")</f>
        <v>2</v>
      </c>
      <c r="H53" s="4">
        <f>COUNTIF('OBO_Cleaned Data'!ABX:ABX,"1")</f>
        <v>1</v>
      </c>
      <c r="I53" s="4">
        <f>COUNTIF('OBO_Cleaned Data'!ABT:ABT,"1")</f>
        <v>1</v>
      </c>
      <c r="J53" s="4">
        <f>COUNTIF('OBO_Cleaned Data'!ABU:ABU,"1")</f>
        <v>0</v>
      </c>
      <c r="K53" s="4">
        <f>COUNTIF('OBO_Cleaned Data'!ABV:ABV,"1")</f>
        <v>0</v>
      </c>
      <c r="L53" s="4">
        <f>COUNTIF('OBO_Cleaned Data'!ABW:ABW,"1")</f>
        <v>0</v>
      </c>
    </row>
    <row r="54" spans="1:12" ht="26" x14ac:dyDescent="0.3">
      <c r="A54" s="52" t="s">
        <v>2007</v>
      </c>
      <c r="B54" s="6">
        <f>B53/$B$3</f>
        <v>0.33333333333333331</v>
      </c>
      <c r="C54" s="6">
        <f t="shared" ref="C54:L54" si="9">C53/$B$3</f>
        <v>0</v>
      </c>
      <c r="D54" s="6">
        <f t="shared" si="9"/>
        <v>0</v>
      </c>
      <c r="E54" s="6">
        <f t="shared" si="9"/>
        <v>0</v>
      </c>
      <c r="F54" s="6">
        <f t="shared" si="9"/>
        <v>0</v>
      </c>
      <c r="G54" s="6">
        <f t="shared" si="9"/>
        <v>0.33333333333333331</v>
      </c>
      <c r="H54" s="6">
        <f t="shared" si="9"/>
        <v>0.16666666666666666</v>
      </c>
      <c r="I54" s="6">
        <f t="shared" si="9"/>
        <v>0.16666666666666666</v>
      </c>
      <c r="J54" s="6">
        <f t="shared" si="9"/>
        <v>0</v>
      </c>
      <c r="K54" s="6">
        <f t="shared" si="9"/>
        <v>0</v>
      </c>
      <c r="L54" s="6">
        <f t="shared" si="9"/>
        <v>0</v>
      </c>
    </row>
    <row r="55" spans="1:12" x14ac:dyDescent="0.3">
      <c r="A55" s="64"/>
      <c r="J55" s="73"/>
    </row>
    <row r="56" spans="1:12" x14ac:dyDescent="0.3">
      <c r="A56" s="17" t="s">
        <v>1276</v>
      </c>
    </row>
    <row r="57" spans="1:12" x14ac:dyDescent="0.3">
      <c r="A57" s="3"/>
      <c r="B57" s="7" t="s">
        <v>1201</v>
      </c>
      <c r="C57" s="7" t="s">
        <v>1200</v>
      </c>
      <c r="D57" s="106" t="s">
        <v>1197</v>
      </c>
    </row>
    <row r="58" spans="1:12" x14ac:dyDescent="0.3">
      <c r="A58" s="3" t="s">
        <v>1198</v>
      </c>
      <c r="B58" s="4">
        <f>COUNTIF('OBO_Cleaned Data'!ACA:ACA,"Oui")</f>
        <v>5</v>
      </c>
      <c r="C58" s="4">
        <f>COUNTIF('OBO_Cleaned Data'!ACA:ACA,"non")</f>
        <v>1</v>
      </c>
      <c r="D58" s="103">
        <f>SUM(B58:C58)</f>
        <v>6</v>
      </c>
    </row>
    <row r="59" spans="1:12" ht="26" x14ac:dyDescent="0.3">
      <c r="A59" s="52" t="s">
        <v>2007</v>
      </c>
      <c r="B59" s="6">
        <f>B58/$B$3</f>
        <v>0.83333333333333337</v>
      </c>
      <c r="C59" s="6">
        <f>C58/$B$3</f>
        <v>0.16666666666666666</v>
      </c>
      <c r="D59" s="107">
        <f>SUM(B59:C59)</f>
        <v>1</v>
      </c>
    </row>
    <row r="61" spans="1:12" x14ac:dyDescent="0.3">
      <c r="B61" s="17" t="s">
        <v>1277</v>
      </c>
    </row>
    <row r="62" spans="1:12" x14ac:dyDescent="0.3">
      <c r="B62" s="20">
        <f>AVERAGE('OBO_Cleaned Data'!ACB:ACB)</f>
        <v>5.6</v>
      </c>
    </row>
    <row r="63" spans="1:12" x14ac:dyDescent="0.3">
      <c r="B63" s="20"/>
    </row>
    <row r="64" spans="1:12" x14ac:dyDescent="0.3">
      <c r="B64" s="17" t="s">
        <v>1278</v>
      </c>
    </row>
    <row r="65" spans="1:5" x14ac:dyDescent="0.3">
      <c r="B65" s="3"/>
      <c r="C65" s="10" t="s">
        <v>1201</v>
      </c>
      <c r="D65" s="10" t="s">
        <v>1200</v>
      </c>
      <c r="E65" s="106" t="s">
        <v>1197</v>
      </c>
    </row>
    <row r="66" spans="1:5" x14ac:dyDescent="0.3">
      <c r="B66" s="3" t="s">
        <v>1198</v>
      </c>
      <c r="C66" s="4">
        <f>COUNTIF('OBO_Cleaned Data'!ACC:ACC,"Oui")</f>
        <v>4</v>
      </c>
      <c r="D66" s="4">
        <f>COUNTIF('OBO_Cleaned Data'!ACC:ACC,"non")</f>
        <v>1</v>
      </c>
      <c r="E66" s="103">
        <f>SUM(C66:D66)</f>
        <v>5</v>
      </c>
    </row>
    <row r="67" spans="1:5" ht="49" x14ac:dyDescent="0.3">
      <c r="B67" s="52" t="s">
        <v>2011</v>
      </c>
      <c r="C67" s="6">
        <f>C66/$B$58</f>
        <v>0.8</v>
      </c>
      <c r="D67" s="6">
        <f>D66/$B$58</f>
        <v>0.2</v>
      </c>
      <c r="E67" s="107">
        <f>SUM(C67:D67)</f>
        <v>1</v>
      </c>
    </row>
    <row r="68" spans="1:5" x14ac:dyDescent="0.3">
      <c r="B68" s="13"/>
      <c r="C68" s="14"/>
      <c r="D68" s="14"/>
    </row>
    <row r="69" spans="1:5" x14ac:dyDescent="0.3">
      <c r="C69" s="17" t="s">
        <v>1279</v>
      </c>
    </row>
    <row r="70" spans="1:5" x14ac:dyDescent="0.3">
      <c r="C70" s="20">
        <f>AVERAGE('OBO_Cleaned Data'!ACD:ACD)</f>
        <v>2.75</v>
      </c>
    </row>
    <row r="71" spans="1:5" x14ac:dyDescent="0.3">
      <c r="C71" s="17" t="s">
        <v>1280</v>
      </c>
    </row>
    <row r="72" spans="1:5" x14ac:dyDescent="0.3">
      <c r="C72" s="20">
        <f>AVERAGE('OBO_Cleaned Data'!ACF:ACF)</f>
        <v>2.75</v>
      </c>
    </row>
    <row r="73" spans="1:5" x14ac:dyDescent="0.3">
      <c r="B73" s="20"/>
    </row>
    <row r="74" spans="1:5" x14ac:dyDescent="0.3">
      <c r="B74" s="17" t="s">
        <v>1282</v>
      </c>
    </row>
    <row r="75" spans="1:5" x14ac:dyDescent="0.3">
      <c r="B75" s="3"/>
      <c r="C75" s="10" t="s">
        <v>1201</v>
      </c>
      <c r="D75" s="10" t="s">
        <v>1200</v>
      </c>
      <c r="E75" s="106" t="s">
        <v>1197</v>
      </c>
    </row>
    <row r="76" spans="1:5" x14ac:dyDescent="0.3">
      <c r="B76" s="3" t="s">
        <v>1198</v>
      </c>
      <c r="C76" s="4">
        <f>COUNTIF('OBO_Cleaned Data'!ACI:ACI,"Oui")</f>
        <v>4</v>
      </c>
      <c r="D76" s="4">
        <f>COUNTIF('OBO_Cleaned Data'!ACI:ACI,"non")</f>
        <v>1</v>
      </c>
      <c r="E76" s="103">
        <f>SUM(C76:D76)</f>
        <v>5</v>
      </c>
    </row>
    <row r="77" spans="1:5" ht="49" x14ac:dyDescent="0.3">
      <c r="B77" s="52" t="s">
        <v>2011</v>
      </c>
      <c r="C77" s="6">
        <f>C76/$B$58</f>
        <v>0.8</v>
      </c>
      <c r="D77" s="6">
        <f>D76/$B$58</f>
        <v>0.2</v>
      </c>
      <c r="E77" s="107">
        <f>SUM(C77:D77)</f>
        <v>1</v>
      </c>
    </row>
    <row r="78" spans="1:5" x14ac:dyDescent="0.3">
      <c r="B78" s="17"/>
    </row>
    <row r="79" spans="1:5" x14ac:dyDescent="0.3">
      <c r="A79" s="17" t="s">
        <v>1281</v>
      </c>
    </row>
    <row r="80" spans="1:5" x14ac:dyDescent="0.3">
      <c r="A80" s="3"/>
      <c r="B80" s="7" t="s">
        <v>1201</v>
      </c>
      <c r="C80" s="7" t="s">
        <v>1200</v>
      </c>
      <c r="D80" s="106" t="s">
        <v>1197</v>
      </c>
    </row>
    <row r="81" spans="1:12" x14ac:dyDescent="0.3">
      <c r="A81" s="3" t="s">
        <v>1198</v>
      </c>
      <c r="B81" s="4">
        <f>COUNTIF('OBO_Cleaned Data'!ACJ:ACJ,"Oui")</f>
        <v>3</v>
      </c>
      <c r="C81" s="4">
        <f>COUNTIF('OBO_Cleaned Data'!ACJ:ACJ,"non")</f>
        <v>3</v>
      </c>
      <c r="D81" s="103">
        <f>SUM(B81:C81)</f>
        <v>6</v>
      </c>
    </row>
    <row r="82" spans="1:12" ht="26" x14ac:dyDescent="0.3">
      <c r="A82" s="52" t="s">
        <v>2007</v>
      </c>
      <c r="B82" s="6">
        <f>B81/$B$3</f>
        <v>0.5</v>
      </c>
      <c r="C82" s="6">
        <f>C81/$B$3</f>
        <v>0.5</v>
      </c>
      <c r="D82" s="107">
        <f>SUM(B82:C82)</f>
        <v>1</v>
      </c>
    </row>
    <row r="83" spans="1:12" x14ac:dyDescent="0.3">
      <c r="A83" s="13"/>
      <c r="B83" s="14"/>
      <c r="C83" s="14"/>
    </row>
    <row r="84" spans="1:12" x14ac:dyDescent="0.3">
      <c r="A84" s="13"/>
      <c r="B84" s="14" t="s">
        <v>1964</v>
      </c>
      <c r="C84" s="14"/>
    </row>
    <row r="85" spans="1:12" ht="45.5" customHeight="1" x14ac:dyDescent="0.3">
      <c r="A85" s="13"/>
      <c r="B85" s="3"/>
      <c r="C85" s="10" t="s">
        <v>1971</v>
      </c>
      <c r="D85" s="10" t="s">
        <v>1965</v>
      </c>
      <c r="E85" s="10" t="s">
        <v>1966</v>
      </c>
      <c r="F85" s="10" t="s">
        <v>1194</v>
      </c>
      <c r="G85" s="10" t="s">
        <v>1970</v>
      </c>
      <c r="H85" s="10" t="s">
        <v>1969</v>
      </c>
      <c r="I85" s="10" t="s">
        <v>1968</v>
      </c>
      <c r="J85" s="10" t="s">
        <v>1967</v>
      </c>
      <c r="K85" s="10" t="s">
        <v>1196</v>
      </c>
      <c r="L85" s="106" t="s">
        <v>1197</v>
      </c>
    </row>
    <row r="86" spans="1:12" x14ac:dyDescent="0.3">
      <c r="A86" s="13"/>
      <c r="B86" s="3" t="s">
        <v>1198</v>
      </c>
      <c r="C86" s="4">
        <f>COUNTIF('OBO_Cleaned Data'!ACK:ACK,"fontaine")</f>
        <v>0</v>
      </c>
      <c r="D86" s="4">
        <f>COUNTIF('OBO_Cleaned Data'!ACK:ACK,"pompe_main")</f>
        <v>2</v>
      </c>
      <c r="E86" s="4">
        <f>COUNTIF('OBO_Cleaned Data'!ACK:ACK,"pompe_pied")</f>
        <v>0</v>
      </c>
      <c r="F86" s="4">
        <f>COUNTIF('OBO_Cleaned Data'!ACK:ACK,"puits_protege")</f>
        <v>1</v>
      </c>
      <c r="G86" s="4">
        <f>COUNTIF('OBO_Cleaned Data'!ACK:ACK,"puits_non_protege")</f>
        <v>0</v>
      </c>
      <c r="H86" s="4">
        <f>COUNTIF('OBO_Cleaned Data'!ACK:ACK,"source_amenagee")</f>
        <v>0</v>
      </c>
      <c r="I86" s="4">
        <f>COUNTIF('OBO_Cleaned Data'!ACK:ACK,"source_non_amenagee")</f>
        <v>0</v>
      </c>
      <c r="J86" s="4">
        <f>COUNTIF('OBO_Cleaned Data'!ACK:ACK,"camion")</f>
        <v>0</v>
      </c>
      <c r="K86" s="4">
        <f>COUNTIF('OBO_Cleaned Data'!ACK:ACK,"autre")</f>
        <v>0</v>
      </c>
      <c r="L86" s="103">
        <f>SUM(C86:K86)</f>
        <v>3</v>
      </c>
    </row>
    <row r="87" spans="1:12" ht="49" x14ac:dyDescent="0.3">
      <c r="A87" s="13"/>
      <c r="B87" s="52" t="s">
        <v>2012</v>
      </c>
      <c r="C87" s="6">
        <f>C86/$B$81</f>
        <v>0</v>
      </c>
      <c r="D87" s="6">
        <f t="shared" ref="D87:K87" si="10">D86/$B$81</f>
        <v>0.66666666666666663</v>
      </c>
      <c r="E87" s="6">
        <f t="shared" si="10"/>
        <v>0</v>
      </c>
      <c r="F87" s="6">
        <f t="shared" si="10"/>
        <v>0.33333333333333331</v>
      </c>
      <c r="G87" s="6">
        <f t="shared" si="10"/>
        <v>0</v>
      </c>
      <c r="H87" s="6">
        <f t="shared" si="10"/>
        <v>0</v>
      </c>
      <c r="I87" s="6">
        <f t="shared" si="10"/>
        <v>0</v>
      </c>
      <c r="J87" s="6">
        <f t="shared" si="10"/>
        <v>0</v>
      </c>
      <c r="K87" s="6">
        <f t="shared" si="10"/>
        <v>0</v>
      </c>
      <c r="L87" s="107">
        <f>SUM(C87:K87)</f>
        <v>1</v>
      </c>
    </row>
    <row r="89" spans="1:12" x14ac:dyDescent="0.3">
      <c r="A89" s="20" t="s">
        <v>1292</v>
      </c>
    </row>
    <row r="90" spans="1:12" ht="15.5" x14ac:dyDescent="0.35">
      <c r="A90" s="66" t="s">
        <v>1765</v>
      </c>
      <c r="E90" s="28" t="s">
        <v>1764</v>
      </c>
    </row>
    <row r="91" spans="1:12" x14ac:dyDescent="0.3">
      <c r="A91" s="65">
        <f>AVERAGE('OBO_Cleaned Data'!ABZ:ABZ)</f>
        <v>6.166666666666667</v>
      </c>
      <c r="E91" s="18">
        <f>AVERAGE('OBO_Cleaned Data'!ACN:ACN)</f>
        <v>372.83333333333331</v>
      </c>
    </row>
    <row r="92" spans="1:12" x14ac:dyDescent="0.3">
      <c r="A92" s="65"/>
    </row>
    <row r="93" spans="1:12" x14ac:dyDescent="0.3">
      <c r="A93" s="65"/>
      <c r="D93" s="69">
        <f>E91/A91</f>
        <v>60.459459459459453</v>
      </c>
      <c r="E93" s="67" t="s">
        <v>1766</v>
      </c>
    </row>
    <row r="94" spans="1:12" x14ac:dyDescent="0.3">
      <c r="A94" s="65"/>
    </row>
    <row r="95" spans="1:12" ht="15.5" x14ac:dyDescent="0.35">
      <c r="A95" s="17" t="s">
        <v>1768</v>
      </c>
      <c r="E95" s="28" t="s">
        <v>1767</v>
      </c>
    </row>
    <row r="96" spans="1:12" x14ac:dyDescent="0.3">
      <c r="A96" s="68">
        <f>AVERAGEIF('OBO_Cleaned Data'!ZT:ZT,"public", 'OBO_Cleaned Data'!ABZ:ABZ)</f>
        <v>5.4</v>
      </c>
      <c r="E96" s="18">
        <f>AVERAGEIF('OBO_Cleaned Data'!ZT:ZT,"public",'OBO_Cleaned Data'!ACN:ACN)</f>
        <v>291.39999999999998</v>
      </c>
    </row>
    <row r="98" spans="1:7" x14ac:dyDescent="0.3">
      <c r="D98" s="69">
        <f>E96/A96</f>
        <v>53.962962962962955</v>
      </c>
      <c r="E98" s="67" t="s">
        <v>1766</v>
      </c>
    </row>
    <row r="100" spans="1:7" ht="15.5" x14ac:dyDescent="0.35">
      <c r="A100" s="17" t="s">
        <v>1770</v>
      </c>
      <c r="E100" s="17"/>
    </row>
    <row r="101" spans="1:7" x14ac:dyDescent="0.3">
      <c r="A101" s="87">
        <f>AVERAGE('OBO_Cleaned Data'!ACO:ACO)</f>
        <v>124.16666666666667</v>
      </c>
      <c r="E101" s="17"/>
    </row>
    <row r="102" spans="1:7" ht="15.5" x14ac:dyDescent="0.35">
      <c r="A102" s="28" t="s">
        <v>1769</v>
      </c>
      <c r="E102" s="17"/>
    </row>
    <row r="103" spans="1:7" x14ac:dyDescent="0.3">
      <c r="A103" s="87">
        <f>AVERAGE('OBO_Cleaned Data'!ACQ:ACQ)</f>
        <v>85.333333333333329</v>
      </c>
      <c r="E103" s="18"/>
    </row>
    <row r="105" spans="1:7" x14ac:dyDescent="0.3">
      <c r="A105" s="30" t="s">
        <v>1776</v>
      </c>
    </row>
    <row r="106" spans="1:7" x14ac:dyDescent="0.3">
      <c r="A106" s="3"/>
      <c r="B106" s="7" t="s">
        <v>1201</v>
      </c>
      <c r="C106" s="7" t="s">
        <v>1200</v>
      </c>
      <c r="D106" s="7" t="s">
        <v>2006</v>
      </c>
      <c r="E106" s="106" t="s">
        <v>1197</v>
      </c>
    </row>
    <row r="107" spans="1:7" x14ac:dyDescent="0.3">
      <c r="A107" s="3" t="s">
        <v>1198</v>
      </c>
      <c r="B107" s="4">
        <f>COUNTIF('OBO_Cleaned Data'!ACV:ACV,"Oui")</f>
        <v>6</v>
      </c>
      <c r="C107" s="4">
        <f>COUNTIF('OBO_Cleaned Data'!ACV:ACV,"non")</f>
        <v>0</v>
      </c>
      <c r="D107" s="4">
        <f>COUNTIF('OBO_Cleaned Data'!ACV:ACV,"nsp")</f>
        <v>0</v>
      </c>
      <c r="E107" s="103">
        <f>SUM(B107:C107)</f>
        <v>6</v>
      </c>
    </row>
    <row r="108" spans="1:7" ht="37.5" x14ac:dyDescent="0.3">
      <c r="A108" s="52" t="s">
        <v>2013</v>
      </c>
      <c r="B108" s="6">
        <f>B107/$E$23</f>
        <v>1</v>
      </c>
      <c r="C108" s="6">
        <f>C107/$E$23</f>
        <v>0</v>
      </c>
      <c r="D108" s="6">
        <f>D107/$E$23</f>
        <v>0</v>
      </c>
      <c r="E108" s="107">
        <f>SUM(B108:C108)</f>
        <v>1</v>
      </c>
    </row>
    <row r="109" spans="1:7" x14ac:dyDescent="0.3">
      <c r="A109" s="29"/>
    </row>
    <row r="110" spans="1:7" x14ac:dyDescent="0.3">
      <c r="A110" s="29"/>
      <c r="B110" s="17" t="s">
        <v>1296</v>
      </c>
    </row>
    <row r="111" spans="1:7" ht="28" x14ac:dyDescent="0.3">
      <c r="B111" s="3"/>
      <c r="C111" s="10" t="s">
        <v>1297</v>
      </c>
      <c r="D111" s="10" t="s">
        <v>1298</v>
      </c>
      <c r="E111" s="10" t="s">
        <v>1299</v>
      </c>
      <c r="F111" s="10" t="s">
        <v>1216</v>
      </c>
      <c r="G111" s="106" t="s">
        <v>1197</v>
      </c>
    </row>
    <row r="112" spans="1:7" x14ac:dyDescent="0.3">
      <c r="B112" s="3" t="s">
        <v>1198</v>
      </c>
      <c r="C112" s="23">
        <f>COUNTIF('OBO_Cleaned Data'!ACW:ACW,"peu_diminue")</f>
        <v>2</v>
      </c>
      <c r="D112" s="23">
        <f>COUNTIF('OBO_Cleaned Data'!ACW:ACW,"bcp_diminue")</f>
        <v>0</v>
      </c>
      <c r="E112" s="23">
        <f>COUNTIF('OBO_Cleaned Data'!ACW:ACW,"peu_augmente")</f>
        <v>3</v>
      </c>
      <c r="F112" s="23">
        <f>COUNTIF('OBO_Cleaned Data'!ACW:ACW,"bcp_augmente")</f>
        <v>1</v>
      </c>
      <c r="G112" s="103">
        <f>SUM(C112:F112)</f>
        <v>6</v>
      </c>
    </row>
    <row r="113" spans="1:10" ht="49" x14ac:dyDescent="0.3">
      <c r="B113" s="52" t="s">
        <v>2014</v>
      </c>
      <c r="C113" s="6">
        <f>C112/$B$107</f>
        <v>0.33333333333333331</v>
      </c>
      <c r="D113" s="6">
        <f t="shared" ref="D113:F113" si="11">D112/$B$107</f>
        <v>0</v>
      </c>
      <c r="E113" s="6">
        <f t="shared" si="11"/>
        <v>0.5</v>
      </c>
      <c r="F113" s="6">
        <f t="shared" si="11"/>
        <v>0.16666666666666666</v>
      </c>
      <c r="G113" s="6">
        <f>SUM(C113:F113)</f>
        <v>0.99999999999999989</v>
      </c>
    </row>
    <row r="115" spans="1:10" x14ac:dyDescent="0.3">
      <c r="B115" s="17" t="s">
        <v>1218</v>
      </c>
      <c r="D115" s="95" t="s">
        <v>1994</v>
      </c>
    </row>
    <row r="116" spans="1:10" ht="44" customHeight="1" x14ac:dyDescent="0.3">
      <c r="B116" s="3"/>
      <c r="C116" s="10" t="s">
        <v>1301</v>
      </c>
      <c r="D116" s="10" t="s">
        <v>1302</v>
      </c>
      <c r="E116" s="10" t="s">
        <v>1303</v>
      </c>
      <c r="F116" s="10" t="s">
        <v>1304</v>
      </c>
      <c r="G116" s="10" t="s">
        <v>1771</v>
      </c>
      <c r="H116" s="10" t="s">
        <v>1706</v>
      </c>
      <c r="I116" s="10" t="s">
        <v>1196</v>
      </c>
    </row>
    <row r="117" spans="1:10" x14ac:dyDescent="0.3">
      <c r="B117" s="3" t="s">
        <v>1198</v>
      </c>
      <c r="C117" s="23">
        <f>COUNTIF('OBO_Cleaned Data'!ACY:ACY,"1")</f>
        <v>2</v>
      </c>
      <c r="D117" s="23">
        <f>COUNTIF('OBO_Cleaned Data'!ACZ:ACZ,"1")</f>
        <v>2</v>
      </c>
      <c r="E117" s="23">
        <f>COUNTIF('OBO_Cleaned Data'!ADA:ADA,"1")</f>
        <v>2</v>
      </c>
      <c r="F117" s="23">
        <f>COUNTIF('OBO_Cleaned Data'!ADB:ADB,"1")</f>
        <v>1</v>
      </c>
      <c r="G117" s="23">
        <f>COUNTIF('OBO_Cleaned Data'!ADE:ADE,"1")</f>
        <v>2</v>
      </c>
      <c r="H117" s="23">
        <f>COUNTIF('OBO_Cleaned Data'!ADC:ADC,"1")</f>
        <v>0</v>
      </c>
      <c r="I117" s="23">
        <f>COUNTIF('OBO_Cleaned Data'!ADD:ADD,"1")</f>
        <v>0</v>
      </c>
    </row>
    <row r="118" spans="1:10" ht="49" x14ac:dyDescent="0.3">
      <c r="B118" s="52" t="s">
        <v>2015</v>
      </c>
      <c r="C118" s="6">
        <f>C117/SUM(E112,F112)</f>
        <v>0.5</v>
      </c>
      <c r="D118" s="6">
        <f>D117/SUM(E112,F112)</f>
        <v>0.5</v>
      </c>
      <c r="E118" s="6">
        <f>E117/SUM(E112,F112)</f>
        <v>0.5</v>
      </c>
      <c r="F118" s="6">
        <f>F117/SUM(E112,F112)</f>
        <v>0.25</v>
      </c>
      <c r="G118" s="6">
        <f>G117/SUM(E112,F112)</f>
        <v>0.5</v>
      </c>
      <c r="H118" s="6">
        <f>H117/SUM(E112,F112)</f>
        <v>0</v>
      </c>
      <c r="I118" s="6">
        <f>I117/SUM(F112,G112)</f>
        <v>0</v>
      </c>
    </row>
    <row r="119" spans="1:10" x14ac:dyDescent="0.3">
      <c r="B119" s="49"/>
    </row>
    <row r="120" spans="1:10" x14ac:dyDescent="0.3">
      <c r="B120" s="17" t="s">
        <v>1300</v>
      </c>
      <c r="D120" s="95" t="s">
        <v>1994</v>
      </c>
    </row>
    <row r="121" spans="1:10" s="35" customFormat="1" ht="70" x14ac:dyDescent="0.35">
      <c r="B121" s="42"/>
      <c r="C121" s="10" t="s">
        <v>1305</v>
      </c>
      <c r="D121" s="10" t="s">
        <v>1306</v>
      </c>
      <c r="E121" s="10" t="s">
        <v>1772</v>
      </c>
      <c r="F121" s="10" t="s">
        <v>1307</v>
      </c>
      <c r="G121" s="10" t="s">
        <v>1308</v>
      </c>
      <c r="H121" s="10" t="s">
        <v>1773</v>
      </c>
      <c r="I121" s="10" t="s">
        <v>1706</v>
      </c>
      <c r="J121" s="10" t="s">
        <v>1196</v>
      </c>
    </row>
    <row r="122" spans="1:10" x14ac:dyDescent="0.3">
      <c r="B122" s="3" t="s">
        <v>1198</v>
      </c>
      <c r="C122" s="23">
        <f>COUNTIF('OBO_Cleaned Data'!ADH:ADH,"1")</f>
        <v>0</v>
      </c>
      <c r="D122" s="23">
        <f>COUNTIF('OBO_Cleaned Data'!ADI:ADI,"1")</f>
        <v>0</v>
      </c>
      <c r="E122" s="23">
        <f>COUNTIF('OBO_Cleaned Data'!ADJ:ADJ,"1")</f>
        <v>0</v>
      </c>
      <c r="F122" s="23">
        <f>COUNTIF('OBO_Cleaned Data'!ADK:ADK,"1")</f>
        <v>0</v>
      </c>
      <c r="G122" s="23">
        <f>COUNTIF('OBO_Cleaned Data'!ADL:ADL,"1")</f>
        <v>0</v>
      </c>
      <c r="H122" s="23">
        <f>COUNTIF('OBO_Cleaned Data'!ADO:ADO,"1")</f>
        <v>1</v>
      </c>
      <c r="I122" s="23">
        <f>COUNTIF('OBO_Cleaned Data'!ADM:ADM,"1")</f>
        <v>1</v>
      </c>
      <c r="J122" s="23">
        <f>COUNTIF('OBO_Cleaned Data'!ADN:ADN,"1")</f>
        <v>0</v>
      </c>
    </row>
    <row r="123" spans="1:10" ht="49" x14ac:dyDescent="0.3">
      <c r="B123" s="52" t="s">
        <v>2016</v>
      </c>
      <c r="C123" s="6">
        <f>C122/SUM(C112,D112)</f>
        <v>0</v>
      </c>
      <c r="D123" s="6">
        <f>D122/SUM(C112,D112)</f>
        <v>0</v>
      </c>
      <c r="E123" s="6">
        <f>E122/SUM(C112,D112)</f>
        <v>0</v>
      </c>
      <c r="F123" s="6">
        <f>F122/SUM(C112,D112)</f>
        <v>0</v>
      </c>
      <c r="G123" s="6">
        <f>G122/SUM(C112,D112)</f>
        <v>0</v>
      </c>
      <c r="H123" s="6">
        <f>H122/SUM(C112,D112)</f>
        <v>0.5</v>
      </c>
      <c r="I123" s="6">
        <f>I122/SUM(C112,D112)</f>
        <v>0.5</v>
      </c>
      <c r="J123" s="6">
        <f>J122/SUM(C112,D112)</f>
        <v>0</v>
      </c>
    </row>
    <row r="125" spans="1:10" x14ac:dyDescent="0.3">
      <c r="A125" s="17" t="s">
        <v>1313</v>
      </c>
    </row>
    <row r="126" spans="1:10" x14ac:dyDescent="0.3">
      <c r="A126" s="27">
        <f>AVERAGE('OBO_Cleaned Data'!ADQ:ADQ)</f>
        <v>2.3333333333333335</v>
      </c>
    </row>
    <row r="127" spans="1:10" x14ac:dyDescent="0.3">
      <c r="A127" s="27"/>
    </row>
    <row r="128" spans="1:10" x14ac:dyDescent="0.3">
      <c r="A128" s="17" t="s">
        <v>1309</v>
      </c>
    </row>
    <row r="129" spans="1:5" x14ac:dyDescent="0.3">
      <c r="A129" s="27">
        <f>AVERAGE('OBO_Cleaned Data'!AEO:AEO)</f>
        <v>2.8333333333333335</v>
      </c>
    </row>
    <row r="130" spans="1:5" x14ac:dyDescent="0.3">
      <c r="A130" s="26"/>
    </row>
    <row r="131" spans="1:5" x14ac:dyDescent="0.3">
      <c r="A131" s="17" t="s">
        <v>1310</v>
      </c>
    </row>
    <row r="132" spans="1:5" x14ac:dyDescent="0.3">
      <c r="A132" s="18">
        <f>AVERAGE('OBO_Cleaned Data'!AFL:AFL)</f>
        <v>4.833333333333333</v>
      </c>
    </row>
    <row r="133" spans="1:5" x14ac:dyDescent="0.3">
      <c r="A133" s="18"/>
    </row>
    <row r="134" spans="1:5" x14ac:dyDescent="0.3">
      <c r="A134" s="30" t="s">
        <v>1311</v>
      </c>
    </row>
    <row r="135" spans="1:5" ht="42" x14ac:dyDescent="0.3">
      <c r="A135" s="3"/>
      <c r="B135" s="7" t="s">
        <v>1201</v>
      </c>
      <c r="C135" s="7" t="s">
        <v>1312</v>
      </c>
      <c r="D135" s="7" t="s">
        <v>1200</v>
      </c>
      <c r="E135" s="106" t="s">
        <v>1197</v>
      </c>
    </row>
    <row r="136" spans="1:5" x14ac:dyDescent="0.3">
      <c r="A136" s="3" t="s">
        <v>1198</v>
      </c>
      <c r="B136" s="23">
        <f>COUNTIF('OBO_Cleaned Data'!AGH:AGH,"Oui")</f>
        <v>3</v>
      </c>
      <c r="C136" s="23">
        <f>COUNTIF('OBO_Cleaned Data'!AGH:AGH,"oui_rc")</f>
        <v>0</v>
      </c>
      <c r="D136" s="23">
        <f>COUNTIF('OBO_Cleaned Data'!AGH:AGH,"non_rc")</f>
        <v>3</v>
      </c>
      <c r="E136" s="103">
        <f>SUM(B136:D136)</f>
        <v>6</v>
      </c>
    </row>
    <row r="137" spans="1:5" ht="37.5" x14ac:dyDescent="0.3">
      <c r="A137" s="52" t="s">
        <v>1774</v>
      </c>
      <c r="B137" s="6">
        <f>B136/$E$23</f>
        <v>0.5</v>
      </c>
      <c r="C137" s="6">
        <f t="shared" ref="C137:D137" si="12">C136/$E$23</f>
        <v>0</v>
      </c>
      <c r="D137" s="6">
        <f t="shared" si="12"/>
        <v>0.5</v>
      </c>
      <c r="E137" s="6">
        <f>SUM(B137:D137)</f>
        <v>1</v>
      </c>
    </row>
    <row r="138" spans="1:5" x14ac:dyDescent="0.3">
      <c r="A138" s="18"/>
    </row>
    <row r="139" spans="1:5" x14ac:dyDescent="0.3">
      <c r="A139" s="30" t="s">
        <v>1976</v>
      </c>
    </row>
    <row r="140" spans="1:5" ht="42" x14ac:dyDescent="0.3">
      <c r="A140" s="3"/>
      <c r="B140" s="7" t="s">
        <v>1201</v>
      </c>
      <c r="C140" s="7" t="s">
        <v>1312</v>
      </c>
      <c r="D140" s="7" t="s">
        <v>1200</v>
      </c>
      <c r="E140" s="106" t="s">
        <v>1197</v>
      </c>
    </row>
    <row r="141" spans="1:5" x14ac:dyDescent="0.3">
      <c r="A141" s="3" t="s">
        <v>1198</v>
      </c>
      <c r="B141" s="23">
        <f>COUNTIF('OBO_Cleaned Data'!AGI:AGI,"Oui")</f>
        <v>3</v>
      </c>
      <c r="C141" s="23">
        <f>COUNTIF('OBO_Cleaned Data'!AGI:AGI,"oui_rc")</f>
        <v>0</v>
      </c>
      <c r="D141" s="23">
        <f>COUNTIF('OBO_Cleaned Data'!AGI:AGI,"non_rc")</f>
        <v>3</v>
      </c>
      <c r="E141" s="103">
        <f>SUM(B141:D141)</f>
        <v>6</v>
      </c>
    </row>
    <row r="142" spans="1:5" ht="37.5" x14ac:dyDescent="0.3">
      <c r="A142" s="52" t="s">
        <v>2017</v>
      </c>
      <c r="B142" s="6">
        <f>B141/$E$23</f>
        <v>0.5</v>
      </c>
      <c r="C142" s="6">
        <f t="shared" ref="C142:D142" si="13">C141/$E$23</f>
        <v>0</v>
      </c>
      <c r="D142" s="6">
        <f t="shared" si="13"/>
        <v>0.5</v>
      </c>
      <c r="E142" s="6">
        <f>SUM(B142:D142)</f>
        <v>1</v>
      </c>
    </row>
    <row r="143" spans="1:5" x14ac:dyDescent="0.3">
      <c r="A143" s="18"/>
    </row>
    <row r="145" spans="1:8" ht="15.5" x14ac:dyDescent="0.35">
      <c r="A145" s="8" t="s">
        <v>1283</v>
      </c>
    </row>
    <row r="146" spans="1:8" x14ac:dyDescent="0.3">
      <c r="A146" s="17" t="s">
        <v>1763</v>
      </c>
    </row>
    <row r="147" spans="1:8" x14ac:dyDescent="0.3">
      <c r="A147" s="3"/>
      <c r="B147" s="7" t="s">
        <v>1201</v>
      </c>
      <c r="C147" s="7" t="s">
        <v>1200</v>
      </c>
      <c r="D147" s="7" t="s">
        <v>1897</v>
      </c>
      <c r="E147" s="106" t="s">
        <v>1197</v>
      </c>
    </row>
    <row r="148" spans="1:8" x14ac:dyDescent="0.3">
      <c r="A148" s="3" t="s">
        <v>1198</v>
      </c>
      <c r="B148" s="23">
        <f>COUNTIF('OBO_Cleaned Data'!ACM:ACM,"Oui")</f>
        <v>2</v>
      </c>
      <c r="C148" s="23">
        <f>COUNTIF('OBO_Cleaned Data'!ACM:ACM,"non")</f>
        <v>2</v>
      </c>
      <c r="D148" s="23">
        <f>COUNTIF('OBO_Cleaned Data'!ACM:ACM,"difficilement")</f>
        <v>2</v>
      </c>
      <c r="E148" s="103">
        <f>SUM(B148:D148)</f>
        <v>6</v>
      </c>
    </row>
    <row r="149" spans="1:8" s="35" customFormat="1" ht="39" customHeight="1" x14ac:dyDescent="0.3">
      <c r="A149" s="52" t="s">
        <v>2017</v>
      </c>
      <c r="B149" s="54">
        <f>B148/$E$23</f>
        <v>0.33333333333333331</v>
      </c>
      <c r="C149" s="54">
        <f>C148/$E$23</f>
        <v>0.33333333333333331</v>
      </c>
      <c r="D149" s="54">
        <f>D148/$E$23</f>
        <v>0.33333333333333331</v>
      </c>
      <c r="E149" s="6">
        <f>SUM(B149:D149)</f>
        <v>1</v>
      </c>
    </row>
    <row r="150" spans="1:8" ht="15.5" x14ac:dyDescent="0.35">
      <c r="A150" s="8"/>
    </row>
    <row r="151" spans="1:8" x14ac:dyDescent="0.3">
      <c r="A151" s="17" t="s">
        <v>1314</v>
      </c>
    </row>
    <row r="152" spans="1:8" x14ac:dyDescent="0.3">
      <c r="A152" s="3"/>
      <c r="B152" s="7" t="s">
        <v>1201</v>
      </c>
      <c r="C152" s="7" t="s">
        <v>1200</v>
      </c>
      <c r="D152" s="106" t="s">
        <v>1197</v>
      </c>
    </row>
    <row r="153" spans="1:8" x14ac:dyDescent="0.3">
      <c r="A153" s="3" t="s">
        <v>1198</v>
      </c>
      <c r="B153" s="23">
        <f>COUNTIF('OBO_Cleaned Data'!AGJ:AGJ,"Oui")</f>
        <v>5</v>
      </c>
      <c r="C153" s="23">
        <f>COUNTIF('OBO_Cleaned Data'!AGJ:AGJ,"non")</f>
        <v>1</v>
      </c>
      <c r="D153" s="103">
        <f>SUM(B153:C153)</f>
        <v>6</v>
      </c>
    </row>
    <row r="154" spans="1:8" s="35" customFormat="1" ht="37.5" x14ac:dyDescent="0.3">
      <c r="A154" s="52" t="s">
        <v>2017</v>
      </c>
      <c r="B154" s="54">
        <f>B153/$E$23</f>
        <v>0.83333333333333337</v>
      </c>
      <c r="C154" s="54">
        <f>C153/$E$23</f>
        <v>0.16666666666666666</v>
      </c>
      <c r="D154" s="6">
        <f>SUM(B154:C154)</f>
        <v>1</v>
      </c>
    </row>
    <row r="155" spans="1:8" x14ac:dyDescent="0.3">
      <c r="A155" s="13"/>
      <c r="B155" s="14"/>
      <c r="C155" s="14"/>
    </row>
    <row r="156" spans="1:8" x14ac:dyDescent="0.3">
      <c r="A156" s="33" t="s">
        <v>1972</v>
      </c>
      <c r="B156" s="14"/>
      <c r="C156" s="14"/>
      <c r="E156" s="17" t="s">
        <v>1777</v>
      </c>
    </row>
    <row r="157" spans="1:8" x14ac:dyDescent="0.3">
      <c r="A157" s="31">
        <f>AVERAGEIF('OBO_Cleaned Data'!ZT:ZT,"public",'OBO_Cleaned Data'!AGK:AGK)</f>
        <v>5000</v>
      </c>
      <c r="B157" s="32" t="s">
        <v>1315</v>
      </c>
      <c r="C157" s="14"/>
      <c r="E157" s="3"/>
      <c r="F157" s="10" t="s">
        <v>1201</v>
      </c>
      <c r="G157" s="10" t="s">
        <v>1200</v>
      </c>
      <c r="H157" s="106" t="s">
        <v>1197</v>
      </c>
    </row>
    <row r="158" spans="1:8" x14ac:dyDescent="0.3">
      <c r="A158" s="31"/>
      <c r="B158" s="32"/>
      <c r="C158" s="14"/>
      <c r="E158" s="3" t="s">
        <v>1198</v>
      </c>
      <c r="F158" s="23">
        <f>COUNTIF('OBO_Cleaned Data'!AGT:AGT,"Oui")</f>
        <v>0</v>
      </c>
      <c r="G158" s="23">
        <f>COUNTIF('OBO_Cleaned Data'!AGT:AGT,"non")</f>
        <v>5</v>
      </c>
      <c r="H158" s="103">
        <f>SUM(F158:G158)</f>
        <v>5</v>
      </c>
    </row>
    <row r="159" spans="1:8" ht="26" x14ac:dyDescent="0.3">
      <c r="A159" s="33" t="s">
        <v>1973</v>
      </c>
      <c r="B159" s="32"/>
      <c r="C159" s="14"/>
      <c r="E159" s="52" t="s">
        <v>2018</v>
      </c>
      <c r="F159" s="6">
        <f>F158/$B$153</f>
        <v>0</v>
      </c>
      <c r="G159" s="6">
        <f>G158/$B$153</f>
        <v>1</v>
      </c>
      <c r="H159" s="6">
        <f>SUM(F159:G159)</f>
        <v>1</v>
      </c>
    </row>
    <row r="160" spans="1:8" x14ac:dyDescent="0.3">
      <c r="A160" s="31" t="e">
        <f>AVERAGEIF('OBO_Cleaned Data'!ZT:ZT,"prive",'OBO_Cleaned Data'!AGK:AGK)</f>
        <v>#DIV/0!</v>
      </c>
      <c r="B160" s="32" t="s">
        <v>1315</v>
      </c>
      <c r="C160" s="84" t="s">
        <v>2766</v>
      </c>
    </row>
    <row r="161" spans="1:13" x14ac:dyDescent="0.3">
      <c r="A161" s="31"/>
      <c r="B161" s="32"/>
      <c r="C161" s="14"/>
    </row>
    <row r="162" spans="1:13" x14ac:dyDescent="0.3">
      <c r="A162" s="16" t="s">
        <v>1316</v>
      </c>
      <c r="B162" s="32"/>
      <c r="C162" s="95" t="s">
        <v>1994</v>
      </c>
    </row>
    <row r="163" spans="1:13" s="35" customFormat="1" ht="59.5" customHeight="1" x14ac:dyDescent="0.35">
      <c r="A163" s="7" t="s">
        <v>1317</v>
      </c>
      <c r="B163" s="7" t="s">
        <v>1318</v>
      </c>
      <c r="C163" s="7" t="s">
        <v>1319</v>
      </c>
      <c r="D163" s="7" t="s">
        <v>1320</v>
      </c>
      <c r="E163" s="7" t="s">
        <v>1706</v>
      </c>
      <c r="F163" s="7" t="s">
        <v>1196</v>
      </c>
    </row>
    <row r="164" spans="1:13" x14ac:dyDescent="0.3">
      <c r="A164" s="3">
        <f>COUNTIF('OBO_Cleaned Data'!AGM:AGM,"1")</f>
        <v>5</v>
      </c>
      <c r="B164" s="3">
        <f>COUNTIF('OBO_Cleaned Data'!AGN:AGN,"1")</f>
        <v>1</v>
      </c>
      <c r="C164" s="3">
        <f>COUNTIF('OBO_Cleaned Data'!AGO:AGO,"1")</f>
        <v>0</v>
      </c>
      <c r="D164" s="3">
        <f>COUNTIF('OBO_Cleaned Data'!AGP:AGP,"1")</f>
        <v>0</v>
      </c>
      <c r="E164" s="3">
        <f>COUNTIF('OBO_Cleaned Data'!AGQ:AGQ,"1")</f>
        <v>0</v>
      </c>
      <c r="F164" s="3">
        <f>COUNTIF('OBO_Cleaned Data'!AGR:AGR,"1")</f>
        <v>0</v>
      </c>
    </row>
    <row r="165" spans="1:13" x14ac:dyDescent="0.3">
      <c r="A165" s="13"/>
      <c r="B165" s="13"/>
      <c r="C165" s="13"/>
      <c r="D165" s="13"/>
      <c r="E165" s="13"/>
      <c r="F165" s="13"/>
    </row>
    <row r="166" spans="1:13" x14ac:dyDescent="0.3">
      <c r="A166" s="17" t="s">
        <v>1321</v>
      </c>
      <c r="C166" s="95" t="s">
        <v>1994</v>
      </c>
    </row>
    <row r="167" spans="1:13" x14ac:dyDescent="0.3">
      <c r="A167" s="3"/>
      <c r="B167" s="7" t="s">
        <v>1240</v>
      </c>
      <c r="C167" s="7" t="s">
        <v>1241</v>
      </c>
      <c r="D167" s="34" t="s">
        <v>1706</v>
      </c>
      <c r="E167" s="7" t="s">
        <v>1196</v>
      </c>
      <c r="F167" s="7" t="s">
        <v>1242</v>
      </c>
    </row>
    <row r="168" spans="1:13" x14ac:dyDescent="0.3">
      <c r="A168" s="3" t="s">
        <v>1198</v>
      </c>
      <c r="B168" s="3">
        <f>COUNTIF('OBO_Cleaned Data'!AHR:AHR,"1")</f>
        <v>0</v>
      </c>
      <c r="C168" s="3">
        <f>COUNTIF('OBO_Cleaned Data'!AHS:AHS,"1")</f>
        <v>2</v>
      </c>
      <c r="D168" s="3">
        <f>COUNTIF('OBO_Cleaned Data'!AHT:AHT,"1")</f>
        <v>1</v>
      </c>
      <c r="E168" s="3">
        <f>COUNTIF('OBO_Cleaned Data'!AHU:AHU,"1")</f>
        <v>0</v>
      </c>
      <c r="F168" s="3">
        <f>COUNTIF('OBO_Cleaned Data'!AHV:AHV,"1")</f>
        <v>3</v>
      </c>
    </row>
    <row r="169" spans="1:13" s="35" customFormat="1" ht="37" x14ac:dyDescent="0.25">
      <c r="A169" s="52" t="s">
        <v>2017</v>
      </c>
      <c r="B169" s="54">
        <f>B168/$E$23</f>
        <v>0</v>
      </c>
      <c r="C169" s="54">
        <f t="shared" ref="C169:F169" si="14">C168/$E$23</f>
        <v>0.33333333333333331</v>
      </c>
      <c r="D169" s="54">
        <f t="shared" si="14"/>
        <v>0.16666666666666666</v>
      </c>
      <c r="E169" s="54">
        <f t="shared" si="14"/>
        <v>0</v>
      </c>
      <c r="F169" s="54">
        <f t="shared" si="14"/>
        <v>0.5</v>
      </c>
    </row>
    <row r="171" spans="1:13" ht="15.5" x14ac:dyDescent="0.35">
      <c r="A171" s="28" t="s">
        <v>1289</v>
      </c>
      <c r="C171" s="95" t="s">
        <v>1994</v>
      </c>
    </row>
    <row r="172" spans="1:13" ht="70" x14ac:dyDescent="0.3">
      <c r="A172" s="7" t="s">
        <v>1462</v>
      </c>
      <c r="B172" s="7" t="s">
        <v>1322</v>
      </c>
      <c r="C172" s="7" t="s">
        <v>1323</v>
      </c>
      <c r="D172" s="7" t="s">
        <v>1778</v>
      </c>
      <c r="E172" s="7" t="s">
        <v>1779</v>
      </c>
      <c r="F172" s="7" t="s">
        <v>1780</v>
      </c>
      <c r="G172" s="7" t="s">
        <v>1781</v>
      </c>
      <c r="H172" s="7" t="s">
        <v>1645</v>
      </c>
      <c r="I172" s="7" t="s">
        <v>1706</v>
      </c>
      <c r="J172" s="7" t="s">
        <v>1196</v>
      </c>
    </row>
    <row r="173" spans="1:13" x14ac:dyDescent="0.3">
      <c r="A173" s="3">
        <f>COUNTIF('OBO_Cleaned Data'!AHY:AHY,"1")</f>
        <v>4</v>
      </c>
      <c r="B173" s="3">
        <f>COUNTIF('OBO_Cleaned Data'!AHZ:AHZ,"1")</f>
        <v>3</v>
      </c>
      <c r="C173" s="3">
        <f>COUNTIF('OBO_Cleaned Data'!AIA:AIA,"1")</f>
        <v>2</v>
      </c>
      <c r="D173" s="3">
        <f>COUNTIF('OBO_Cleaned Data'!AIB:AIB,"1")</f>
        <v>2</v>
      </c>
      <c r="E173" s="3">
        <f>COUNTIF('OBO_Cleaned Data'!AIC:AIC,"1")</f>
        <v>1</v>
      </c>
      <c r="F173" s="3">
        <f>COUNTIF('OBO_Cleaned Data'!AID:AID,"1")</f>
        <v>0</v>
      </c>
      <c r="G173" s="3">
        <f>COUNTIF('OBO_Cleaned Data'!AIE:AIE,"1")</f>
        <v>0</v>
      </c>
      <c r="H173" s="3">
        <f>COUNTIF('OBO_Cleaned Data'!AIG:AIG,"1")</f>
        <v>1</v>
      </c>
      <c r="I173" s="3">
        <f>COUNTIF('OBO_Cleaned Data'!AIH:AIH,"1")</f>
        <v>0</v>
      </c>
      <c r="J173" s="3">
        <f>COUNTIF('OBO_Cleaned Data'!AII:AII,"1")</f>
        <v>2</v>
      </c>
    </row>
    <row r="174" spans="1:13" x14ac:dyDescent="0.3">
      <c r="J174" s="73" t="s">
        <v>2672</v>
      </c>
    </row>
    <row r="175" spans="1:13" ht="15.5" x14ac:dyDescent="0.35">
      <c r="A175" s="28" t="s">
        <v>1290</v>
      </c>
      <c r="D175" s="95" t="s">
        <v>1994</v>
      </c>
    </row>
    <row r="176" spans="1:13" ht="42" x14ac:dyDescent="0.3">
      <c r="A176" s="7" t="s">
        <v>1713</v>
      </c>
      <c r="B176" s="7" t="s">
        <v>1782</v>
      </c>
      <c r="C176" s="7" t="s">
        <v>1714</v>
      </c>
      <c r="D176" s="7" t="s">
        <v>1715</v>
      </c>
      <c r="E176" s="7" t="s">
        <v>1716</v>
      </c>
      <c r="F176" s="7" t="s">
        <v>1717</v>
      </c>
      <c r="G176" s="7" t="s">
        <v>1718</v>
      </c>
      <c r="H176" s="7" t="s">
        <v>1719</v>
      </c>
      <c r="I176" s="7" t="s">
        <v>1720</v>
      </c>
      <c r="J176" s="7" t="s">
        <v>1721</v>
      </c>
      <c r="K176" s="7" t="s">
        <v>1242</v>
      </c>
      <c r="L176" s="7" t="s">
        <v>1706</v>
      </c>
      <c r="M176" s="7" t="s">
        <v>1196</v>
      </c>
    </row>
    <row r="177" spans="1:16" x14ac:dyDescent="0.3">
      <c r="A177" s="23">
        <f>COUNTIF('OBO_Cleaned Data'!AIL:AIL,"1")</f>
        <v>0</v>
      </c>
      <c r="B177" s="23">
        <f>COUNTIF('OBO_Cleaned Data'!AIM:AIM,"1")</f>
        <v>0</v>
      </c>
      <c r="C177" s="23">
        <f>COUNTIF('OBO_Cleaned Data'!AIN:AIN,"1")</f>
        <v>0</v>
      </c>
      <c r="D177" s="23">
        <f>COUNTIF('OBO_Cleaned Data'!AIO:AIO,"1")</f>
        <v>0</v>
      </c>
      <c r="E177" s="23">
        <f>COUNTIF('OBO_Cleaned Data'!AIP:AIP,"1")</f>
        <v>3</v>
      </c>
      <c r="F177" s="23">
        <f>COUNTIF('OBO_Cleaned Data'!AIQ:AIQ,"1")</f>
        <v>1</v>
      </c>
      <c r="G177" s="23">
        <f>COUNTIF('OBO_Cleaned Data'!AIR:AIR,"1")</f>
        <v>0</v>
      </c>
      <c r="H177" s="23">
        <f>COUNTIF('OBO_Cleaned Data'!AIS:AIS,"1")</f>
        <v>0</v>
      </c>
      <c r="I177" s="23">
        <f>COUNTIF('OBO_Cleaned Data'!AIT:AIT,"1")</f>
        <v>0</v>
      </c>
      <c r="J177" s="23">
        <f>COUNTIF('OBO_Cleaned Data'!AIX:AIX,"1")</f>
        <v>1</v>
      </c>
      <c r="K177" s="23">
        <f>COUNTIF('OBO_Cleaned Data'!AIU:AIU,"1")</f>
        <v>1</v>
      </c>
      <c r="L177" s="23">
        <f>COUNTIF('OBO_Cleaned Data'!AIV:AIV,"1")</f>
        <v>0</v>
      </c>
      <c r="M177" s="23">
        <f>COUNTIF('OBO_Cleaned Data'!AIW:AIW,"1")</f>
        <v>0</v>
      </c>
    </row>
    <row r="179" spans="1:16" ht="15.5" x14ac:dyDescent="0.35">
      <c r="A179" s="28" t="s">
        <v>1324</v>
      </c>
    </row>
    <row r="180" spans="1:16" x14ac:dyDescent="0.3">
      <c r="A180" s="3"/>
      <c r="B180" s="7" t="s">
        <v>1201</v>
      </c>
      <c r="C180" s="7" t="s">
        <v>1200</v>
      </c>
      <c r="D180" s="106" t="s">
        <v>1197</v>
      </c>
    </row>
    <row r="181" spans="1:16" x14ac:dyDescent="0.3">
      <c r="A181" s="3" t="s">
        <v>1198</v>
      </c>
      <c r="B181" s="23">
        <f>COUNTIF('OBO_Cleaned Data'!AIZ:AIZ,"OUI")</f>
        <v>5</v>
      </c>
      <c r="C181" s="23">
        <f>COUNTIF('OBO_Cleaned Data'!AIZ:AIZ,"non")</f>
        <v>1</v>
      </c>
      <c r="D181" s="103">
        <f>SUM(B181:C181)</f>
        <v>6</v>
      </c>
    </row>
    <row r="182" spans="1:16" ht="26" x14ac:dyDescent="0.3">
      <c r="A182" s="52" t="s">
        <v>2007</v>
      </c>
      <c r="B182" s="6">
        <f>(B181/$B$3)</f>
        <v>0.83333333333333337</v>
      </c>
      <c r="C182" s="6">
        <f>(C181/$B$3)</f>
        <v>0.16666666666666666</v>
      </c>
      <c r="D182" s="6">
        <f>SUM(B182:C182)</f>
        <v>1</v>
      </c>
    </row>
    <row r="184" spans="1:16" x14ac:dyDescent="0.3">
      <c r="B184" s="17" t="s">
        <v>1252</v>
      </c>
      <c r="D184" s="95" t="s">
        <v>1994</v>
      </c>
    </row>
    <row r="185" spans="1:16" ht="14.5" x14ac:dyDescent="0.35">
      <c r="B185" s="3"/>
      <c r="C185" s="10" t="s">
        <v>1253</v>
      </c>
      <c r="D185" s="10" t="s">
        <v>1254</v>
      </c>
      <c r="E185" s="10" t="s">
        <v>1246</v>
      </c>
      <c r="F185" s="10" t="s">
        <v>1247</v>
      </c>
      <c r="G185" s="10" t="s">
        <v>1230</v>
      </c>
      <c r="H185" s="10" t="s">
        <v>1706</v>
      </c>
      <c r="I185" s="10" t="s">
        <v>1196</v>
      </c>
      <c r="J185" s="22"/>
      <c r="K185" s="22"/>
    </row>
    <row r="186" spans="1:16" x14ac:dyDescent="0.3">
      <c r="B186" s="3" t="s">
        <v>1198</v>
      </c>
      <c r="C186" s="23">
        <f>COUNTIF('OBO_Cleaned Data'!AJB:AJB,"1")</f>
        <v>0</v>
      </c>
      <c r="D186" s="23">
        <f>COUNTIF('OBO_Cleaned Data'!AJC:AJC,"1")</f>
        <v>0</v>
      </c>
      <c r="E186" s="23">
        <f>COUNTIF('OBO_Cleaned Data'!AJD:AJD,"1")</f>
        <v>0</v>
      </c>
      <c r="F186" s="23">
        <f>COUNTIF('OBO_Cleaned Data'!AJE:AJE,"1")</f>
        <v>0</v>
      </c>
      <c r="G186" s="23">
        <f>COUNTIF('OBO_Cleaned Data'!AJF:AJF,"1")</f>
        <v>5</v>
      </c>
      <c r="H186" s="23">
        <f>COUNTIF('OBO_Cleaned Data'!AJG:AJG,"1")</f>
        <v>0</v>
      </c>
      <c r="I186" s="23">
        <f>COUNTIF('OBO_Cleaned Data'!AJH:AJH,"1")</f>
        <v>0</v>
      </c>
    </row>
    <row r="187" spans="1:16" ht="37.5" x14ac:dyDescent="0.3">
      <c r="B187" s="52" t="s">
        <v>2019</v>
      </c>
      <c r="C187" s="6">
        <f>C186/$B$181</f>
        <v>0</v>
      </c>
      <c r="D187" s="6">
        <f t="shared" ref="D187:I187" si="15">D186/$B$181</f>
        <v>0</v>
      </c>
      <c r="E187" s="6">
        <f t="shared" si="15"/>
        <v>0</v>
      </c>
      <c r="F187" s="6">
        <f t="shared" si="15"/>
        <v>0</v>
      </c>
      <c r="G187" s="6">
        <f t="shared" si="15"/>
        <v>1</v>
      </c>
      <c r="H187" s="6">
        <f t="shared" si="15"/>
        <v>0</v>
      </c>
      <c r="I187" s="6">
        <f t="shared" si="15"/>
        <v>0</v>
      </c>
    </row>
    <row r="189" spans="1:16" x14ac:dyDescent="0.3">
      <c r="B189" s="17" t="s">
        <v>1255</v>
      </c>
      <c r="D189" s="95" t="s">
        <v>1994</v>
      </c>
    </row>
    <row r="190" spans="1:16" ht="70" x14ac:dyDescent="0.35">
      <c r="B190" s="3"/>
      <c r="C190" s="10" t="s">
        <v>1518</v>
      </c>
      <c r="D190" s="10" t="s">
        <v>1519</v>
      </c>
      <c r="E190" s="10" t="s">
        <v>1785</v>
      </c>
      <c r="F190" s="10" t="s">
        <v>1520</v>
      </c>
      <c r="G190" s="10" t="s">
        <v>1786</v>
      </c>
      <c r="H190" s="10" t="s">
        <v>1787</v>
      </c>
      <c r="I190" s="10" t="s">
        <v>1788</v>
      </c>
      <c r="J190" s="10" t="s">
        <v>1511</v>
      </c>
      <c r="K190" s="10" t="s">
        <v>1512</v>
      </c>
      <c r="L190" s="10" t="s">
        <v>1510</v>
      </c>
      <c r="M190" s="10" t="s">
        <v>1706</v>
      </c>
      <c r="N190" s="10" t="s">
        <v>1196</v>
      </c>
      <c r="P190" s="22"/>
    </row>
    <row r="191" spans="1:16" x14ac:dyDescent="0.3">
      <c r="B191" s="3" t="s">
        <v>1198</v>
      </c>
      <c r="C191" s="23">
        <f>COUNTIF('OBO_Cleaned Data'!AJK:AJK,"1")</f>
        <v>4</v>
      </c>
      <c r="D191" s="23">
        <f>COUNTIF('OBO_Cleaned Data'!AJL:AJL,"1")</f>
        <v>3</v>
      </c>
      <c r="E191" s="23">
        <f>COUNTIF('OBO_Cleaned Data'!AJM:AJM,"1")</f>
        <v>1</v>
      </c>
      <c r="F191" s="23">
        <f>COUNTIF('OBO_Cleaned Data'!AJN:AJN,"1")</f>
        <v>0</v>
      </c>
      <c r="G191" s="23">
        <f>COUNTIF('OBO_Cleaned Data'!AJO:AJO,"1")</f>
        <v>1</v>
      </c>
      <c r="H191" s="23">
        <f>COUNTIF('OBO_Cleaned Data'!AJP:AJP,"1")</f>
        <v>1</v>
      </c>
      <c r="I191" s="23">
        <f>COUNTIF('OBO_Cleaned Data'!AJQ:AJQ,"1")</f>
        <v>2</v>
      </c>
      <c r="J191" s="23">
        <f>COUNTIF('OBO_Cleaned Data'!AJR:AJR,"1")</f>
        <v>1</v>
      </c>
      <c r="K191" s="23">
        <f>COUNTIF('OBO_Cleaned Data'!AJS:AJS,"1")</f>
        <v>0</v>
      </c>
      <c r="L191" s="23">
        <f>COUNTIF('OBO_Cleaned Data'!AJT:AJT,"1")</f>
        <v>0</v>
      </c>
      <c r="M191" s="23">
        <f>COUNTIF('OBO_Cleaned Data'!AJU:AJU,"1")</f>
        <v>0</v>
      </c>
      <c r="N191" s="23">
        <f>COUNTIF('OBO_Cleaned Data'!AJV:AJV,"1")</f>
        <v>0</v>
      </c>
    </row>
    <row r="192" spans="1:16" ht="37.5" x14ac:dyDescent="0.3">
      <c r="B192" s="52" t="s">
        <v>2019</v>
      </c>
      <c r="C192" s="6">
        <f>C191/$B$181</f>
        <v>0.8</v>
      </c>
      <c r="D192" s="6">
        <f t="shared" ref="D192:N192" si="16">D191/$B$181</f>
        <v>0.6</v>
      </c>
      <c r="E192" s="6">
        <f t="shared" si="16"/>
        <v>0.2</v>
      </c>
      <c r="F192" s="6">
        <f t="shared" si="16"/>
        <v>0</v>
      </c>
      <c r="G192" s="6">
        <f t="shared" si="16"/>
        <v>0.2</v>
      </c>
      <c r="H192" s="6">
        <f t="shared" si="16"/>
        <v>0.2</v>
      </c>
      <c r="I192" s="6">
        <f t="shared" si="16"/>
        <v>0.4</v>
      </c>
      <c r="J192" s="6">
        <f t="shared" si="16"/>
        <v>0.2</v>
      </c>
      <c r="K192" s="6">
        <f t="shared" si="16"/>
        <v>0</v>
      </c>
      <c r="L192" s="6">
        <f t="shared" si="16"/>
        <v>0</v>
      </c>
      <c r="M192" s="6">
        <f t="shared" si="16"/>
        <v>0</v>
      </c>
      <c r="N192" s="6">
        <f t="shared" si="16"/>
        <v>0</v>
      </c>
    </row>
    <row r="193" spans="1:14" x14ac:dyDescent="0.3">
      <c r="B193" s="49"/>
      <c r="N193" s="73"/>
    </row>
    <row r="194" spans="1:14" x14ac:dyDescent="0.3">
      <c r="B194" s="17" t="s">
        <v>1394</v>
      </c>
    </row>
    <row r="195" spans="1:14" x14ac:dyDescent="0.3">
      <c r="B195" s="3"/>
      <c r="C195" s="10" t="s">
        <v>1201</v>
      </c>
      <c r="D195" s="10" t="s">
        <v>1200</v>
      </c>
      <c r="E195" s="106" t="s">
        <v>1197</v>
      </c>
    </row>
    <row r="196" spans="1:14" x14ac:dyDescent="0.3">
      <c r="B196" s="3" t="s">
        <v>1198</v>
      </c>
      <c r="C196" s="23">
        <f>COUNTIF('OBO_Cleaned Data'!AJX:AJX,"OUI")</f>
        <v>1</v>
      </c>
      <c r="D196" s="23">
        <f>COUNTIF('OBO_Cleaned Data'!AJX:AJX,"non")</f>
        <v>4</v>
      </c>
      <c r="E196" s="103">
        <f>SUM(C196:D196)</f>
        <v>5</v>
      </c>
    </row>
    <row r="197" spans="1:14" ht="37.5" x14ac:dyDescent="0.3">
      <c r="B197" s="52" t="s">
        <v>2019</v>
      </c>
      <c r="C197" s="6">
        <f>(C196/$B$181)</f>
        <v>0.2</v>
      </c>
      <c r="D197" s="6">
        <f>(D196/$B$181)</f>
        <v>0.8</v>
      </c>
      <c r="E197" s="6">
        <f>SUM(C197:D197)</f>
        <v>1</v>
      </c>
    </row>
    <row r="199" spans="1:14" x14ac:dyDescent="0.3">
      <c r="C199" s="17" t="s">
        <v>1260</v>
      </c>
      <c r="E199" s="95" t="s">
        <v>1994</v>
      </c>
    </row>
    <row r="200" spans="1:14" x14ac:dyDescent="0.3">
      <c r="C200" s="3"/>
      <c r="D200" s="10" t="s">
        <v>1261</v>
      </c>
      <c r="E200" s="10" t="s">
        <v>1262</v>
      </c>
      <c r="F200" s="10" t="s">
        <v>1263</v>
      </c>
      <c r="G200" s="10" t="s">
        <v>1264</v>
      </c>
      <c r="H200" s="10" t="s">
        <v>1196</v>
      </c>
    </row>
    <row r="201" spans="1:14" x14ac:dyDescent="0.3">
      <c r="C201" s="3" t="s">
        <v>1198</v>
      </c>
      <c r="D201" s="4">
        <f>COUNTIF('OBO_Cleaned Data'!AJZ:AJZ,"1")</f>
        <v>2</v>
      </c>
      <c r="E201" s="4">
        <f>COUNTIF('OBO_Cleaned Data'!AKA:AKA,"1")</f>
        <v>3</v>
      </c>
      <c r="F201" s="4">
        <f>COUNTIF('OBO_Cleaned Data'!AKB:AKB,"1")</f>
        <v>0</v>
      </c>
      <c r="G201" s="4">
        <f>COUNTIF('OBO_Cleaned Data'!AKC:AKC,"1")</f>
        <v>0</v>
      </c>
      <c r="H201" s="4">
        <f>COUNTIF('OBO_Cleaned Data'!AKD:AKD,"1")</f>
        <v>0</v>
      </c>
    </row>
    <row r="202" spans="1:14" ht="49" x14ac:dyDescent="0.3">
      <c r="C202" s="52" t="s">
        <v>2020</v>
      </c>
      <c r="D202" s="6">
        <f>D201/$D$196</f>
        <v>0.5</v>
      </c>
      <c r="E202" s="6">
        <f t="shared" ref="E202:H202" si="17">E201/$D$196</f>
        <v>0.75</v>
      </c>
      <c r="F202" s="6">
        <f t="shared" si="17"/>
        <v>0</v>
      </c>
      <c r="G202" s="6">
        <f t="shared" si="17"/>
        <v>0</v>
      </c>
      <c r="H202" s="6">
        <f t="shared" si="17"/>
        <v>0</v>
      </c>
    </row>
    <row r="204" spans="1:14" ht="15.5" x14ac:dyDescent="0.35">
      <c r="A204" s="8" t="s">
        <v>1291</v>
      </c>
      <c r="C204" s="95" t="s">
        <v>1994</v>
      </c>
    </row>
    <row r="206" spans="1:14" ht="70" x14ac:dyDescent="0.3">
      <c r="A206" s="7" t="s">
        <v>1518</v>
      </c>
      <c r="B206" s="7" t="s">
        <v>1519</v>
      </c>
      <c r="C206" s="7" t="s">
        <v>1785</v>
      </c>
      <c r="D206" s="7" t="s">
        <v>1520</v>
      </c>
      <c r="E206" s="7" t="s">
        <v>1786</v>
      </c>
      <c r="F206" s="7" t="s">
        <v>1787</v>
      </c>
      <c r="G206" s="7" t="s">
        <v>1788</v>
      </c>
      <c r="H206" s="7" t="s">
        <v>1511</v>
      </c>
      <c r="I206" s="7" t="s">
        <v>1512</v>
      </c>
      <c r="J206" s="7" t="s">
        <v>1510</v>
      </c>
      <c r="K206" s="7" t="s">
        <v>1706</v>
      </c>
      <c r="L206" s="7" t="s">
        <v>1196</v>
      </c>
    </row>
    <row r="207" spans="1:14" x14ac:dyDescent="0.3">
      <c r="A207" s="23">
        <f>COUNTIF('OBO_Cleaned Data'!AKG:AKG,"1")</f>
        <v>4</v>
      </c>
      <c r="B207" s="23">
        <f>COUNTIF('OBO_Cleaned Data'!AKH:AKH,"1")</f>
        <v>3</v>
      </c>
      <c r="C207" s="23">
        <f>COUNTIF('OBO_Cleaned Data'!AKI:AKI,"1")</f>
        <v>1</v>
      </c>
      <c r="D207" s="23">
        <f>COUNTIF('OBO_Cleaned Data'!AKJ:AKJ,"1")</f>
        <v>4</v>
      </c>
      <c r="E207" s="23">
        <f>COUNTIF('OBO_Cleaned Data'!AKK:AKK,"1")</f>
        <v>1</v>
      </c>
      <c r="F207" s="23">
        <f>COUNTIF('OBO_Cleaned Data'!AKL:AKL,"1")</f>
        <v>1</v>
      </c>
      <c r="G207" s="23">
        <f>COUNTIF('OBO_Cleaned Data'!AKM:AKM,"1")</f>
        <v>4</v>
      </c>
      <c r="H207" s="23">
        <f>COUNTIF('OBO_Cleaned Data'!AKN:AKN,"1")</f>
        <v>4</v>
      </c>
      <c r="I207" s="23">
        <f>COUNTIF('OBO_Cleaned Data'!AKO:AKO,"1")</f>
        <v>2</v>
      </c>
      <c r="J207" s="23">
        <f>COUNTIF('OBO_Cleaned Data'!AKP:AKP,"1")</f>
        <v>1</v>
      </c>
      <c r="K207" s="23">
        <f>COUNTIF('OBO_Cleaned Data'!AKQ:AKQ,"1")</f>
        <v>0</v>
      </c>
      <c r="L207" s="23">
        <f>COUNTIF('OBO_Cleaned Data'!AKR:AKR,"1")</f>
        <v>0</v>
      </c>
    </row>
    <row r="208" spans="1:14" x14ac:dyDescent="0.3">
      <c r="L208" s="73"/>
    </row>
  </sheetData>
  <conditionalFormatting sqref="B53:L53">
    <cfRule type="colorScale" priority="34">
      <colorScale>
        <cfvo type="min"/>
        <cfvo type="max"/>
        <color theme="6" tint="0.79998168889431442"/>
        <color theme="5" tint="0.39997558519241921"/>
      </colorScale>
    </cfRule>
  </conditionalFormatting>
  <conditionalFormatting sqref="C112:F112">
    <cfRule type="colorScale" priority="33">
      <colorScale>
        <cfvo type="min"/>
        <cfvo type="max"/>
        <color theme="6" tint="0.79998168889431442"/>
        <color theme="5" tint="0.39997558519241921"/>
      </colorScale>
    </cfRule>
  </conditionalFormatting>
  <conditionalFormatting sqref="C117:I117">
    <cfRule type="colorScale" priority="32">
      <colorScale>
        <cfvo type="min"/>
        <cfvo type="max"/>
        <color theme="6" tint="0.79998168889431442"/>
        <color theme="5" tint="0.39997558519241921"/>
      </colorScale>
    </cfRule>
  </conditionalFormatting>
  <conditionalFormatting sqref="C122:J122">
    <cfRule type="colorScale" priority="31">
      <colorScale>
        <cfvo type="min"/>
        <cfvo type="max"/>
        <color theme="6" tint="0.79998168889431442"/>
        <color theme="5" tint="0.39997558519241921"/>
      </colorScale>
    </cfRule>
  </conditionalFormatting>
  <conditionalFormatting sqref="A164:F165">
    <cfRule type="colorScale" priority="35">
      <colorScale>
        <cfvo type="min"/>
        <cfvo type="max"/>
        <color theme="6" tint="0.79998168889431442"/>
        <color theme="5" tint="0.39997558519241921"/>
      </colorScale>
    </cfRule>
  </conditionalFormatting>
  <conditionalFormatting sqref="B168:F168">
    <cfRule type="colorScale" priority="30">
      <colorScale>
        <cfvo type="min"/>
        <cfvo type="max"/>
        <color theme="6" tint="0.79998168889431442"/>
        <color theme="5" tint="0.39997558519241921"/>
      </colorScale>
    </cfRule>
  </conditionalFormatting>
  <conditionalFormatting sqref="A173:J173">
    <cfRule type="colorScale" priority="36">
      <colorScale>
        <cfvo type="min"/>
        <cfvo type="max"/>
        <color theme="6" tint="0.79998168889431442"/>
        <color theme="5" tint="0.39997558519241921"/>
      </colorScale>
    </cfRule>
  </conditionalFormatting>
  <conditionalFormatting sqref="A177:M177">
    <cfRule type="colorScale" priority="29">
      <colorScale>
        <cfvo type="min"/>
        <cfvo type="max"/>
        <color theme="6" tint="0.79998168889431442"/>
        <color theme="5" tint="0.39997558519241921"/>
      </colorScale>
    </cfRule>
  </conditionalFormatting>
  <conditionalFormatting sqref="D201:H201">
    <cfRule type="colorScale" priority="28">
      <colorScale>
        <cfvo type="min"/>
        <cfvo type="max"/>
        <color theme="6" tint="0.79998168889431442"/>
        <color theme="5" tint="0.39997558519241921"/>
      </colorScale>
    </cfRule>
  </conditionalFormatting>
  <conditionalFormatting sqref="A207:L207">
    <cfRule type="colorScale" priority="27">
      <colorScale>
        <cfvo type="min"/>
        <cfvo type="max"/>
        <color theme="6" tint="0.79998168889431442"/>
        <color theme="5" tint="0.39997558519241921"/>
      </colorScale>
    </cfRule>
  </conditionalFormatting>
  <conditionalFormatting sqref="C191:N191">
    <cfRule type="colorScale" priority="26">
      <colorScale>
        <cfvo type="min"/>
        <cfvo type="max"/>
        <color theme="6" tint="0.79998168889431442"/>
        <color theme="5" tint="0.39997558519241921"/>
      </colorScale>
    </cfRule>
  </conditionalFormatting>
  <conditionalFormatting sqref="B7:F7">
    <cfRule type="colorScale" priority="25">
      <colorScale>
        <cfvo type="min"/>
        <cfvo type="max"/>
        <color theme="6" tint="0.79998168889431442"/>
        <color theme="5" tint="0.39997558519241921"/>
      </colorScale>
    </cfRule>
  </conditionalFormatting>
  <conditionalFormatting sqref="B18:D18">
    <cfRule type="colorScale" priority="24">
      <colorScale>
        <cfvo type="min"/>
        <cfvo type="max"/>
        <color theme="6" tint="0.79998168889431442"/>
        <color theme="5" tint="0.39997558519241921"/>
      </colorScale>
    </cfRule>
  </conditionalFormatting>
  <conditionalFormatting sqref="B23:D23">
    <cfRule type="colorScale" priority="23">
      <colorScale>
        <cfvo type="min"/>
        <cfvo type="max"/>
        <color theme="6" tint="0.79998168889431442"/>
        <color theme="5" tint="0.39997558519241921"/>
      </colorScale>
    </cfRule>
  </conditionalFormatting>
  <conditionalFormatting sqref="C28:K28">
    <cfRule type="colorScale" priority="22">
      <colorScale>
        <cfvo type="min"/>
        <cfvo type="max"/>
        <color theme="6" tint="0.79998168889431442"/>
        <color theme="5" tint="0.39997558519241921"/>
      </colorScale>
    </cfRule>
  </conditionalFormatting>
  <conditionalFormatting sqref="C38:J38">
    <cfRule type="colorScale" priority="21">
      <colorScale>
        <cfvo type="min"/>
        <cfvo type="max"/>
        <color theme="6" tint="0.79998168889431442"/>
        <color theme="5" tint="0.39997558519241921"/>
      </colorScale>
    </cfRule>
  </conditionalFormatting>
  <conditionalFormatting sqref="C33:G33">
    <cfRule type="colorScale" priority="20">
      <colorScale>
        <cfvo type="min"/>
        <cfvo type="max"/>
        <color theme="6" tint="0.79998168889431442"/>
        <color theme="5" tint="0.39997558519241921"/>
      </colorScale>
    </cfRule>
  </conditionalFormatting>
  <conditionalFormatting sqref="C43:G43">
    <cfRule type="colorScale" priority="19">
      <colorScale>
        <cfvo type="min"/>
        <cfvo type="max"/>
        <color theme="6" tint="0.79998168889431442"/>
        <color theme="5" tint="0.39997558519241921"/>
      </colorScale>
    </cfRule>
  </conditionalFormatting>
  <conditionalFormatting sqref="B48:H48">
    <cfRule type="colorScale" priority="18">
      <colorScale>
        <cfvo type="min"/>
        <cfvo type="max"/>
        <color theme="6" tint="0.79998168889431442"/>
        <color theme="5" tint="0.39997558519241921"/>
      </colorScale>
    </cfRule>
  </conditionalFormatting>
  <conditionalFormatting sqref="B58:C58">
    <cfRule type="colorScale" priority="17">
      <colorScale>
        <cfvo type="min"/>
        <cfvo type="max"/>
        <color theme="6" tint="0.79998168889431442"/>
        <color theme="5" tint="0.39997558519241921"/>
      </colorScale>
    </cfRule>
  </conditionalFormatting>
  <conditionalFormatting sqref="C66:D66">
    <cfRule type="colorScale" priority="16">
      <colorScale>
        <cfvo type="min"/>
        <cfvo type="max"/>
        <color theme="6" tint="0.79998168889431442"/>
        <color theme="5" tint="0.39997558519241921"/>
      </colorScale>
    </cfRule>
  </conditionalFormatting>
  <conditionalFormatting sqref="C76:D76">
    <cfRule type="colorScale" priority="15">
      <colorScale>
        <cfvo type="min"/>
        <cfvo type="max"/>
        <color theme="6" tint="0.79998168889431442"/>
        <color theme="5" tint="0.39997558519241921"/>
      </colorScale>
    </cfRule>
  </conditionalFormatting>
  <conditionalFormatting sqref="B81:C81">
    <cfRule type="colorScale" priority="14">
      <colorScale>
        <cfvo type="min"/>
        <cfvo type="max"/>
        <color theme="6" tint="0.79998168889431442"/>
        <color theme="5" tint="0.39997558519241921"/>
      </colorScale>
    </cfRule>
  </conditionalFormatting>
  <conditionalFormatting sqref="B148:C148">
    <cfRule type="colorScale" priority="13">
      <colorScale>
        <cfvo type="min"/>
        <cfvo type="max"/>
        <color theme="6" tint="0.79998168889431442"/>
        <color theme="5" tint="0.39997558519241921"/>
      </colorScale>
    </cfRule>
  </conditionalFormatting>
  <conditionalFormatting sqref="B107:C107">
    <cfRule type="colorScale" priority="12">
      <colorScale>
        <cfvo type="min"/>
        <cfvo type="max"/>
        <color theme="6" tint="0.79998168889431442"/>
        <color theme="5" tint="0.39997558519241921"/>
      </colorScale>
    </cfRule>
  </conditionalFormatting>
  <conditionalFormatting sqref="B136:D136">
    <cfRule type="colorScale" priority="11">
      <colorScale>
        <cfvo type="min"/>
        <cfvo type="max"/>
        <color theme="6" tint="0.79998168889431442"/>
        <color theme="5" tint="0.39997558519241921"/>
      </colorScale>
    </cfRule>
  </conditionalFormatting>
  <conditionalFormatting sqref="B141:D141">
    <cfRule type="colorScale" priority="10">
      <colorScale>
        <cfvo type="min"/>
        <cfvo type="max"/>
        <color theme="6" tint="0.79998168889431442"/>
        <color theme="5" tint="0.39997558519241921"/>
      </colorScale>
    </cfRule>
  </conditionalFormatting>
  <conditionalFormatting sqref="B153:C153">
    <cfRule type="colorScale" priority="9">
      <colorScale>
        <cfvo type="min"/>
        <cfvo type="max"/>
        <color theme="6" tint="0.79998168889431442"/>
        <color theme="5" tint="0.39997558519241921"/>
      </colorScale>
    </cfRule>
  </conditionalFormatting>
  <conditionalFormatting sqref="F158:G158">
    <cfRule type="colorScale" priority="8">
      <colorScale>
        <cfvo type="min"/>
        <cfvo type="max"/>
        <color theme="6" tint="0.79998168889431442"/>
        <color theme="5" tint="0.39997558519241921"/>
      </colorScale>
    </cfRule>
  </conditionalFormatting>
  <conditionalFormatting sqref="B181:C181">
    <cfRule type="colorScale" priority="7">
      <colorScale>
        <cfvo type="min"/>
        <cfvo type="max"/>
        <color theme="6" tint="0.79998168889431442"/>
        <color theme="5" tint="0.39997558519241921"/>
      </colorScale>
    </cfRule>
  </conditionalFormatting>
  <conditionalFormatting sqref="C186:I186">
    <cfRule type="colorScale" priority="6">
      <colorScale>
        <cfvo type="min"/>
        <cfvo type="max"/>
        <color theme="6" tint="0.79998168889431442"/>
        <color theme="5" tint="0.39997558519241921"/>
      </colorScale>
    </cfRule>
  </conditionalFormatting>
  <conditionalFormatting sqref="C196:D196">
    <cfRule type="colorScale" priority="5">
      <colorScale>
        <cfvo type="min"/>
        <cfvo type="max"/>
        <color theme="6" tint="0.79998168889431442"/>
        <color theme="5" tint="0.39997558519241921"/>
      </colorScale>
    </cfRule>
  </conditionalFormatting>
  <conditionalFormatting sqref="B12:F12">
    <cfRule type="colorScale" priority="4">
      <colorScale>
        <cfvo type="min"/>
        <cfvo type="max"/>
        <color theme="6" tint="0.79998168889431442"/>
        <color theme="5" tint="0.39997558519241921"/>
      </colorScale>
    </cfRule>
  </conditionalFormatting>
  <conditionalFormatting sqref="D148">
    <cfRule type="colorScale" priority="3">
      <colorScale>
        <cfvo type="min"/>
        <cfvo type="max"/>
        <color theme="6" tint="0.79998168889431442"/>
        <color theme="5" tint="0.39997558519241921"/>
      </colorScale>
    </cfRule>
  </conditionalFormatting>
  <conditionalFormatting sqref="C86:K86">
    <cfRule type="colorScale" priority="2">
      <colorScale>
        <cfvo type="min"/>
        <cfvo type="max"/>
        <color theme="6" tint="0.79998168889431442"/>
        <color theme="5" tint="0.39997558519241921"/>
      </colorScale>
    </cfRule>
  </conditionalFormatting>
  <conditionalFormatting sqref="D107">
    <cfRule type="colorScale" priority="1">
      <colorScale>
        <cfvo type="min"/>
        <cfvo type="max"/>
        <color theme="6" tint="0.79998168889431442"/>
        <color theme="5" tint="0.39997558519241921"/>
      </colorScale>
    </cfRule>
  </conditionalFormatting>
  <pageMargins left="0.70866141732283472" right="0.70866141732283472" top="0.74803149606299213" bottom="0.74803149606299213" header="0.31496062992125984" footer="0.31496062992125984"/>
  <pageSetup paperSize="9" scale="64" fitToHeight="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2:P156"/>
  <sheetViews>
    <sheetView zoomScale="90" zoomScaleNormal="90" workbookViewId="0">
      <selection activeCell="G8" sqref="G8"/>
    </sheetView>
  </sheetViews>
  <sheetFormatPr defaultColWidth="8.81640625" defaultRowHeight="14" x14ac:dyDescent="0.3"/>
  <cols>
    <col min="1" max="1" width="21.1796875" style="9" customWidth="1"/>
    <col min="2" max="2" width="15.1796875" style="9" customWidth="1"/>
    <col min="3" max="3" width="13" style="9" customWidth="1"/>
    <col min="4" max="4" width="12.1796875" style="9" customWidth="1"/>
    <col min="5" max="5" width="13.36328125" style="9" customWidth="1"/>
    <col min="6" max="6" width="13.81640625" style="9" customWidth="1"/>
    <col min="7" max="7" width="11.453125" style="9" customWidth="1"/>
    <col min="8" max="8" width="12.6328125" style="9" customWidth="1"/>
    <col min="9" max="9" width="13.81640625" style="9" customWidth="1"/>
    <col min="10" max="10" width="13.90625" style="9" customWidth="1"/>
    <col min="11" max="11" width="9.7265625" style="9" customWidth="1"/>
    <col min="12" max="12" width="14.54296875" style="9" customWidth="1"/>
    <col min="13" max="13" width="14.1796875" style="9" customWidth="1"/>
    <col min="14" max="14" width="17.08984375" style="9" customWidth="1"/>
    <col min="15" max="16384" width="8.81640625" style="9"/>
  </cols>
  <sheetData>
    <row r="2" spans="1:10" ht="15.5" x14ac:dyDescent="0.35">
      <c r="A2" s="8" t="s">
        <v>1284</v>
      </c>
    </row>
    <row r="3" spans="1:10" ht="15.5" x14ac:dyDescent="0.3">
      <c r="A3" s="45" t="s">
        <v>2045</v>
      </c>
      <c r="B3" s="72">
        <f>COUNTIFS('OBO_Cleaned Data'!N:N,"marche",'OBO_Cleaned Data'!J:J,"obo")</f>
        <v>3</v>
      </c>
    </row>
    <row r="4" spans="1:10" ht="16" customHeight="1" x14ac:dyDescent="0.35">
      <c r="A4" s="8"/>
    </row>
    <row r="5" spans="1:10" ht="15.5" x14ac:dyDescent="0.35">
      <c r="A5" s="28" t="s">
        <v>1333</v>
      </c>
    </row>
    <row r="6" spans="1:10" ht="42" x14ac:dyDescent="0.3">
      <c r="A6" s="23"/>
      <c r="B6" s="7" t="s">
        <v>1201</v>
      </c>
      <c r="C6" s="7" t="s">
        <v>1200</v>
      </c>
      <c r="D6" s="7" t="s">
        <v>1517</v>
      </c>
      <c r="E6" s="70" t="s">
        <v>2043</v>
      </c>
    </row>
    <row r="7" spans="1:10" x14ac:dyDescent="0.3">
      <c r="A7" s="23" t="s">
        <v>1198</v>
      </c>
      <c r="B7" s="23">
        <f>COUNTIF('OBO_Cleaned Data'!AKU:AKU,"oui")</f>
        <v>3</v>
      </c>
      <c r="C7" s="23">
        <f>COUNTIF('OBO_Cleaned Data'!AKU:AKU,"non")</f>
        <v>0</v>
      </c>
      <c r="D7" s="23">
        <f>COUNTIF('OBO_Cleaned Data'!AKU:AKU,"partiel")</f>
        <v>0</v>
      </c>
      <c r="E7" s="61">
        <f>SUM(B7+D7)</f>
        <v>3</v>
      </c>
    </row>
    <row r="8" spans="1:10" ht="26" x14ac:dyDescent="0.3">
      <c r="A8" s="111" t="s">
        <v>2044</v>
      </c>
      <c r="B8" s="38">
        <f>(B7/$E$7)</f>
        <v>1</v>
      </c>
      <c r="C8" s="38">
        <f>(C7/$E$7)</f>
        <v>0</v>
      </c>
      <c r="D8" s="37">
        <f>COUNTIF('OBO_Cleaned Data'!AIM2:AIM38,"partiel")</f>
        <v>0</v>
      </c>
      <c r="E8" s="116">
        <f>SUM(B8+D8)</f>
        <v>1</v>
      </c>
    </row>
    <row r="9" spans="1:10" x14ac:dyDescent="0.3">
      <c r="A9" s="13"/>
      <c r="B9" s="14"/>
      <c r="C9" s="14"/>
      <c r="D9" s="15"/>
      <c r="E9" s="13"/>
    </row>
    <row r="10" spans="1:10" ht="15.5" x14ac:dyDescent="0.35">
      <c r="A10" s="44" t="s">
        <v>1334</v>
      </c>
    </row>
    <row r="11" spans="1:10" x14ac:dyDescent="0.3">
      <c r="A11" s="23"/>
      <c r="B11" s="7" t="s">
        <v>1201</v>
      </c>
      <c r="C11" s="7" t="s">
        <v>1200</v>
      </c>
      <c r="D11" s="117" t="s">
        <v>1197</v>
      </c>
    </row>
    <row r="12" spans="1:10" x14ac:dyDescent="0.3">
      <c r="A12" s="23" t="s">
        <v>1198</v>
      </c>
      <c r="B12" s="23">
        <f>COUNTIF('OBO_Cleaned Data'!ALF:ALF,"oui")</f>
        <v>3</v>
      </c>
      <c r="C12" s="23">
        <f>COUNTIF('OBO_Cleaned Data'!ALF:ALF,"non")</f>
        <v>0</v>
      </c>
      <c r="D12" s="24">
        <f>SUM(B12:C12)</f>
        <v>3</v>
      </c>
    </row>
    <row r="13" spans="1:10" ht="26" x14ac:dyDescent="0.3">
      <c r="A13" s="111" t="s">
        <v>2044</v>
      </c>
      <c r="B13" s="38">
        <f>(B12/$B$3)</f>
        <v>1</v>
      </c>
      <c r="C13" s="38">
        <f>(C12/$B$3)</f>
        <v>0</v>
      </c>
      <c r="D13" s="118">
        <f>SUM(B13:C13)</f>
        <v>1</v>
      </c>
    </row>
    <row r="14" spans="1:10" x14ac:dyDescent="0.3">
      <c r="A14" s="13"/>
      <c r="B14" s="14"/>
      <c r="C14" s="14"/>
      <c r="D14" s="13"/>
    </row>
    <row r="15" spans="1:10" x14ac:dyDescent="0.3">
      <c r="A15" s="13"/>
      <c r="B15" s="17" t="s">
        <v>1335</v>
      </c>
      <c r="G15" s="13"/>
      <c r="H15" s="14"/>
      <c r="I15" s="14"/>
      <c r="J15" s="13"/>
    </row>
    <row r="16" spans="1:10" x14ac:dyDescent="0.3">
      <c r="A16" s="13"/>
      <c r="B16" s="23"/>
      <c r="C16" s="10" t="s">
        <v>1201</v>
      </c>
      <c r="D16" s="10" t="s">
        <v>1200</v>
      </c>
      <c r="E16" s="117" t="s">
        <v>1197</v>
      </c>
      <c r="G16" s="13"/>
      <c r="H16" s="14"/>
      <c r="I16" s="14"/>
      <c r="J16" s="13"/>
    </row>
    <row r="17" spans="1:10" x14ac:dyDescent="0.3">
      <c r="A17" s="13"/>
      <c r="B17" s="23" t="s">
        <v>1198</v>
      </c>
      <c r="C17" s="23">
        <f>COUNTIF('OBO_Cleaned Data'!ALG:ALG,"oui")</f>
        <v>3</v>
      </c>
      <c r="D17" s="23">
        <f>COUNTIF('OBO_Cleaned Data'!ALG:ALG,"non")</f>
        <v>0</v>
      </c>
      <c r="E17" s="24">
        <f>SUM(C17:D17)</f>
        <v>3</v>
      </c>
      <c r="G17" s="13"/>
      <c r="H17" s="14"/>
      <c r="I17" s="14"/>
      <c r="J17" s="13"/>
    </row>
    <row r="18" spans="1:10" ht="37.5" x14ac:dyDescent="0.3">
      <c r="B18" s="111" t="s">
        <v>2047</v>
      </c>
      <c r="C18" s="38">
        <f>(C17/$E$7)</f>
        <v>1</v>
      </c>
      <c r="D18" s="38">
        <f>(D17/$E$7)</f>
        <v>0</v>
      </c>
      <c r="E18" s="118">
        <f>SUM(C18:D18)</f>
        <v>1</v>
      </c>
    </row>
    <row r="20" spans="1:10" ht="15.5" x14ac:dyDescent="0.35">
      <c r="A20" s="28" t="s">
        <v>1327</v>
      </c>
      <c r="B20" s="95" t="s">
        <v>1994</v>
      </c>
    </row>
    <row r="21" spans="1:10" ht="28" x14ac:dyDescent="0.3">
      <c r="A21" s="36"/>
      <c r="B21" s="7" t="s">
        <v>1325</v>
      </c>
      <c r="C21" s="7" t="s">
        <v>1326</v>
      </c>
      <c r="D21" s="7" t="s">
        <v>1328</v>
      </c>
      <c r="E21" s="7" t="s">
        <v>1329</v>
      </c>
      <c r="F21" s="7" t="s">
        <v>1330</v>
      </c>
      <c r="G21" s="7" t="s">
        <v>1331</v>
      </c>
      <c r="H21" s="7" t="s">
        <v>1332</v>
      </c>
      <c r="I21" s="7" t="s">
        <v>1196</v>
      </c>
    </row>
    <row r="22" spans="1:10" x14ac:dyDescent="0.3">
      <c r="A22" s="23" t="s">
        <v>1198</v>
      </c>
      <c r="B22" s="23">
        <f>COUNTIF('OBO_Cleaned Data'!ALO:ALO,"1")</f>
        <v>3</v>
      </c>
      <c r="C22" s="23">
        <f>COUNTIF('OBO_Cleaned Data'!ALP:ALP,"1")</f>
        <v>2</v>
      </c>
      <c r="D22" s="23">
        <f>COUNTIF('OBO_Cleaned Data'!ALQ:ALQ,"1")</f>
        <v>3</v>
      </c>
      <c r="E22" s="23">
        <f>COUNTIF('OBO_Cleaned Data'!ALR:ALR,"1")</f>
        <v>1</v>
      </c>
      <c r="F22" s="23">
        <f>COUNTIF('OBO_Cleaned Data'!ALS:ALS,"1")</f>
        <v>2</v>
      </c>
      <c r="G22" s="23">
        <f>COUNTIF('OBO_Cleaned Data'!ALT:ALT,"1")</f>
        <v>0</v>
      </c>
      <c r="H22" s="23">
        <f>COUNTIF('OBO_Cleaned Data'!ALU:ALU,"1")</f>
        <v>3</v>
      </c>
      <c r="I22" s="23">
        <f>COUNTIF('OBO_Cleaned Data'!ALV:ALV,"1")</f>
        <v>0</v>
      </c>
    </row>
    <row r="23" spans="1:10" ht="26" x14ac:dyDescent="0.3">
      <c r="A23" s="111" t="s">
        <v>2047</v>
      </c>
      <c r="B23" s="38">
        <f>B22/$E$7</f>
        <v>1</v>
      </c>
      <c r="C23" s="38">
        <f t="shared" ref="C23:I23" si="0">C22/$E$7</f>
        <v>0.66666666666666663</v>
      </c>
      <c r="D23" s="38">
        <f t="shared" si="0"/>
        <v>1</v>
      </c>
      <c r="E23" s="38">
        <f t="shared" si="0"/>
        <v>0.33333333333333331</v>
      </c>
      <c r="F23" s="38">
        <f t="shared" si="0"/>
        <v>0.66666666666666663</v>
      </c>
      <c r="G23" s="38">
        <f t="shared" si="0"/>
        <v>0</v>
      </c>
      <c r="H23" s="38">
        <f t="shared" si="0"/>
        <v>1</v>
      </c>
      <c r="I23" s="38">
        <f t="shared" si="0"/>
        <v>0</v>
      </c>
    </row>
    <row r="24" spans="1:10" x14ac:dyDescent="0.3">
      <c r="A24" s="13"/>
      <c r="B24" s="14"/>
      <c r="C24" s="14"/>
      <c r="D24" s="13"/>
      <c r="G24" s="13"/>
      <c r="H24" s="14"/>
      <c r="I24" s="14"/>
      <c r="J24" s="13"/>
    </row>
    <row r="25" spans="1:10" ht="15.5" x14ac:dyDescent="0.35">
      <c r="A25" s="28" t="s">
        <v>1336</v>
      </c>
    </row>
    <row r="26" spans="1:10" x14ac:dyDescent="0.3">
      <c r="A26" s="20">
        <f>IF('OBO_Cleaned Data'!AMW:AMW&lt;999,AVERAGE('OBO_Cleaned Data'!AMW:AMW))</f>
        <v>74.333333333333329</v>
      </c>
    </row>
    <row r="28" spans="1:10" ht="15.5" x14ac:dyDescent="0.35">
      <c r="A28" s="28" t="s">
        <v>1796</v>
      </c>
    </row>
    <row r="29" spans="1:10" x14ac:dyDescent="0.3">
      <c r="A29" s="23"/>
      <c r="B29" s="7" t="s">
        <v>1201</v>
      </c>
      <c r="C29" s="7" t="s">
        <v>1200</v>
      </c>
      <c r="D29" s="117" t="s">
        <v>1197</v>
      </c>
    </row>
    <row r="30" spans="1:10" x14ac:dyDescent="0.3">
      <c r="A30" s="23" t="s">
        <v>1198</v>
      </c>
      <c r="B30" s="23">
        <f>COUNTIF('OBO_Cleaned Data'!AMX:AMX,"oui")</f>
        <v>2</v>
      </c>
      <c r="C30" s="23">
        <f>COUNTIF('OBO_Cleaned Data'!AMX:AMX,"non")</f>
        <v>1</v>
      </c>
      <c r="D30" s="24">
        <f>SUM(B30:C30)</f>
        <v>3</v>
      </c>
    </row>
    <row r="31" spans="1:10" ht="26" x14ac:dyDescent="0.3">
      <c r="A31" s="111" t="s">
        <v>2047</v>
      </c>
      <c r="B31" s="38">
        <f>(B30/$E$7)</f>
        <v>0.66666666666666663</v>
      </c>
      <c r="C31" s="38">
        <f>(C30/$E$7)</f>
        <v>0.33333333333333331</v>
      </c>
      <c r="D31" s="118">
        <f>SUM(B31:C31)</f>
        <v>1</v>
      </c>
    </row>
    <row r="33" spans="1:13" x14ac:dyDescent="0.3">
      <c r="B33" s="17" t="s">
        <v>1789</v>
      </c>
    </row>
    <row r="34" spans="1:13" ht="28" x14ac:dyDescent="0.3">
      <c r="B34" s="23"/>
      <c r="C34" s="10" t="s">
        <v>1297</v>
      </c>
      <c r="D34" s="10" t="s">
        <v>1298</v>
      </c>
      <c r="E34" s="10" t="s">
        <v>1299</v>
      </c>
      <c r="F34" s="10" t="s">
        <v>1216</v>
      </c>
      <c r="G34" s="117" t="s">
        <v>1197</v>
      </c>
    </row>
    <row r="35" spans="1:13" x14ac:dyDescent="0.3">
      <c r="B35" s="23" t="s">
        <v>1198</v>
      </c>
      <c r="C35" s="23">
        <f>COUNTIF('OBO_Cleaned Data'!AMY:AMY,"peu_diminue")</f>
        <v>0</v>
      </c>
      <c r="D35" s="23">
        <f>COUNTIF('OBO_Cleaned Data'!AMY:AMY,"bcp_diminue")</f>
        <v>2</v>
      </c>
      <c r="E35" s="23">
        <f>COUNTIF('OBO_Cleaned Data'!AMY:AMY,"peu_augmente")</f>
        <v>0</v>
      </c>
      <c r="F35" s="23">
        <f>COUNTIF('OBO_Cleaned Data'!AMY:AMY,"bcp_augmente")</f>
        <v>0</v>
      </c>
      <c r="G35" s="24">
        <f>SUM(C35:F35)</f>
        <v>2</v>
      </c>
    </row>
    <row r="36" spans="1:13" ht="49" x14ac:dyDescent="0.3">
      <c r="B36" s="111" t="s">
        <v>2048</v>
      </c>
      <c r="C36" s="38">
        <f>C35/$B$30</f>
        <v>0</v>
      </c>
      <c r="D36" s="38">
        <f t="shared" ref="D36:F36" si="1">D35/$B$30</f>
        <v>1</v>
      </c>
      <c r="E36" s="38">
        <f t="shared" si="1"/>
        <v>0</v>
      </c>
      <c r="F36" s="38">
        <f t="shared" si="1"/>
        <v>0</v>
      </c>
      <c r="G36" s="118">
        <f>SUM(C36:F36)</f>
        <v>1</v>
      </c>
    </row>
    <row r="38" spans="1:13" x14ac:dyDescent="0.3">
      <c r="B38" s="17" t="s">
        <v>1300</v>
      </c>
      <c r="D38" s="95" t="s">
        <v>1994</v>
      </c>
    </row>
    <row r="39" spans="1:13" s="40" customFormat="1" ht="70" x14ac:dyDescent="0.3">
      <c r="B39" s="23"/>
      <c r="C39" s="11" t="s">
        <v>1790</v>
      </c>
      <c r="D39" s="11" t="s">
        <v>1791</v>
      </c>
      <c r="E39" s="11" t="s">
        <v>1792</v>
      </c>
      <c r="F39" s="11" t="s">
        <v>1337</v>
      </c>
      <c r="G39" s="11" t="s">
        <v>1338</v>
      </c>
      <c r="H39" s="11" t="s">
        <v>1793</v>
      </c>
      <c r="I39" s="11" t="s">
        <v>1794</v>
      </c>
      <c r="J39" s="11" t="s">
        <v>1795</v>
      </c>
      <c r="K39" s="11" t="s">
        <v>1339</v>
      </c>
      <c r="L39" s="11" t="s">
        <v>1706</v>
      </c>
      <c r="M39" s="11" t="s">
        <v>1196</v>
      </c>
    </row>
    <row r="40" spans="1:13" x14ac:dyDescent="0.3">
      <c r="B40" s="23" t="s">
        <v>1198</v>
      </c>
      <c r="C40" s="23">
        <f>COUNTIF('OBO_Cleaned Data'!ANL:ANL,"1")</f>
        <v>2</v>
      </c>
      <c r="D40" s="23">
        <f>COUNTIF('OBO_Cleaned Data'!ANM:ANM,"1")</f>
        <v>0</v>
      </c>
      <c r="E40" s="23">
        <f>COUNTIF('OBO_Cleaned Data'!ANN:ANN,"1")</f>
        <v>0</v>
      </c>
      <c r="F40" s="23">
        <f>COUNTIF('OBO_Cleaned Data'!ANO:ANO,"1")</f>
        <v>1</v>
      </c>
      <c r="G40" s="23">
        <f>COUNTIF('OBO_Cleaned Data'!ANP:ANP,"1")</f>
        <v>0</v>
      </c>
      <c r="H40" s="23">
        <f>COUNTIF('OBO_Cleaned Data'!ANV:ANV,"1")</f>
        <v>1</v>
      </c>
      <c r="I40" s="23">
        <f>COUNTIF('OBO_Cleaned Data'!ANQ:ANQ,"1")</f>
        <v>0</v>
      </c>
      <c r="J40" s="23">
        <f>COUNTIF('OBO_Cleaned Data'!ANR:ANR,"1")</f>
        <v>0</v>
      </c>
      <c r="K40" s="23">
        <f>COUNTIF('OBO_Cleaned Data'!ANS:ANS,"1")</f>
        <v>1</v>
      </c>
      <c r="L40" s="23">
        <f>COUNTIF('OBO_Cleaned Data'!ANT:ANT,"1")</f>
        <v>0</v>
      </c>
      <c r="M40" s="23">
        <f>COUNTIF('OBO_Cleaned Data'!ANU:ANU,"1")</f>
        <v>0</v>
      </c>
    </row>
    <row r="41" spans="1:13" ht="49" x14ac:dyDescent="0.3">
      <c r="B41" s="111" t="s">
        <v>2049</v>
      </c>
      <c r="C41" s="38">
        <f>C40/(C35+D35)</f>
        <v>1</v>
      </c>
      <c r="D41" s="38">
        <f>D40/(C35+D35)</f>
        <v>0</v>
      </c>
      <c r="E41" s="38">
        <f>E40/(C35+D35)</f>
        <v>0</v>
      </c>
      <c r="F41" s="38">
        <f>F40/(C35+D35)</f>
        <v>0.5</v>
      </c>
      <c r="G41" s="38">
        <f>G40/(C35+D35)</f>
        <v>0</v>
      </c>
      <c r="H41" s="38">
        <f>H40/(C35+D35)</f>
        <v>0.5</v>
      </c>
      <c r="I41" s="38">
        <f>I40/(C35+D35)</f>
        <v>0</v>
      </c>
      <c r="J41" s="38">
        <f>J40/(C35+D35)</f>
        <v>0</v>
      </c>
      <c r="K41" s="38">
        <f>K40/(C35+D35)</f>
        <v>0.5</v>
      </c>
      <c r="L41" s="38">
        <f>L40/(C35+D35)</f>
        <v>0</v>
      </c>
      <c r="M41" s="38">
        <f>M40/(C35+D35)</f>
        <v>0</v>
      </c>
    </row>
    <row r="43" spans="1:13" x14ac:dyDescent="0.3">
      <c r="B43" s="17" t="s">
        <v>1218</v>
      </c>
      <c r="D43" s="95" t="s">
        <v>1994</v>
      </c>
    </row>
    <row r="44" spans="1:13" s="40" customFormat="1" ht="84" x14ac:dyDescent="0.3">
      <c r="B44" s="23"/>
      <c r="C44" s="11" t="s">
        <v>1898</v>
      </c>
      <c r="D44" s="11" t="s">
        <v>1899</v>
      </c>
      <c r="E44" s="11" t="s">
        <v>1900</v>
      </c>
      <c r="F44" s="11" t="s">
        <v>1901</v>
      </c>
      <c r="G44" s="11" t="s">
        <v>1902</v>
      </c>
      <c r="H44" s="11" t="s">
        <v>1903</v>
      </c>
      <c r="I44" s="11" t="s">
        <v>1904</v>
      </c>
      <c r="J44" s="11" t="s">
        <v>1706</v>
      </c>
      <c r="K44" s="11" t="s">
        <v>1196</v>
      </c>
    </row>
    <row r="45" spans="1:13" x14ac:dyDescent="0.3">
      <c r="B45" s="23" t="s">
        <v>1198</v>
      </c>
      <c r="C45" s="23">
        <f>COUNTIF('OBO_Cleaned Data'!ANA:ANA,"1")</f>
        <v>0</v>
      </c>
      <c r="D45" s="23">
        <f>COUNTIF('OBO_Cleaned Data'!ANB:ANB,"1")</f>
        <v>0</v>
      </c>
      <c r="E45" s="23">
        <f>COUNTIF('OBO_Cleaned Data'!ANC:ANC,"1")</f>
        <v>0</v>
      </c>
      <c r="F45" s="23">
        <f>COUNTIF('OBO_Cleaned Data'!AND:AND,"1")</f>
        <v>0</v>
      </c>
      <c r="G45" s="23">
        <f>COUNTIF('OBO_Cleaned Data'!ANE:ANE,"1")</f>
        <v>0</v>
      </c>
      <c r="H45" s="23">
        <f>COUNTIF('OBO_Cleaned Data'!ANF:ANF,"1")</f>
        <v>0</v>
      </c>
      <c r="I45" s="23">
        <f>COUNTIF('OBO_Cleaned Data'!ANG:ANG,"1")</f>
        <v>0</v>
      </c>
      <c r="J45" s="23">
        <f>COUNTIF('OBO_Cleaned Data'!ANH:ANH,"1")</f>
        <v>0</v>
      </c>
      <c r="K45" s="23">
        <f>COUNTIF('OBO_Cleaned Data'!ANI:ANI,"1")</f>
        <v>0</v>
      </c>
      <c r="L45" s="40"/>
      <c r="M45" s="40"/>
    </row>
    <row r="46" spans="1:13" ht="49" x14ac:dyDescent="0.3">
      <c r="B46" s="111" t="s">
        <v>2050</v>
      </c>
      <c r="C46" s="38" t="e">
        <f>C45/(E35+F35)</f>
        <v>#DIV/0!</v>
      </c>
      <c r="D46" s="38" t="e">
        <f>D45/(E35+F35)</f>
        <v>#DIV/0!</v>
      </c>
      <c r="E46" s="38" t="e">
        <f>E45/(E35+F35)</f>
        <v>#DIV/0!</v>
      </c>
      <c r="F46" s="38" t="e">
        <f>F45/(E35+F35)</f>
        <v>#DIV/0!</v>
      </c>
      <c r="G46" s="38" t="e">
        <f>G45/(E35+F35)</f>
        <v>#DIV/0!</v>
      </c>
      <c r="H46" s="38" t="e">
        <f>H45/(E35+F35)</f>
        <v>#DIV/0!</v>
      </c>
      <c r="I46" s="38" t="e">
        <f>I45/(E35+F35)</f>
        <v>#DIV/0!</v>
      </c>
      <c r="J46" s="38" t="e">
        <f>J45/(E35+F35)</f>
        <v>#DIV/0!</v>
      </c>
      <c r="K46" s="38" t="e">
        <f>K45/(E35+F35)</f>
        <v>#DIV/0!</v>
      </c>
      <c r="L46" s="40"/>
      <c r="M46" s="40"/>
    </row>
    <row r="48" spans="1:13" ht="15.5" x14ac:dyDescent="0.35">
      <c r="A48" s="28" t="s">
        <v>1340</v>
      </c>
    </row>
    <row r="49" spans="1:12" x14ac:dyDescent="0.3">
      <c r="A49" s="23"/>
      <c r="B49" s="7" t="s">
        <v>1201</v>
      </c>
      <c r="C49" s="7" t="s">
        <v>1200</v>
      </c>
      <c r="D49" s="117" t="s">
        <v>1197</v>
      </c>
    </row>
    <row r="50" spans="1:12" x14ac:dyDescent="0.3">
      <c r="A50" s="23" t="s">
        <v>1198</v>
      </c>
      <c r="B50" s="23">
        <f>COUNTIF('OBO_Cleaned Data'!ANX:ANX,"oui")</f>
        <v>0</v>
      </c>
      <c r="C50" s="23">
        <f>COUNTIF('OBO_Cleaned Data'!ANX:ANX,"non")</f>
        <v>3</v>
      </c>
      <c r="D50" s="24">
        <f>SUM(B50:C50)</f>
        <v>3</v>
      </c>
    </row>
    <row r="51" spans="1:12" ht="26" x14ac:dyDescent="0.3">
      <c r="A51" s="111" t="s">
        <v>2047</v>
      </c>
      <c r="B51" s="38">
        <f>(B50/$E$7)</f>
        <v>0</v>
      </c>
      <c r="C51" s="38">
        <f>(C50/$E$7)</f>
        <v>1</v>
      </c>
      <c r="D51" s="118">
        <f>SUM(B51:C51)</f>
        <v>1</v>
      </c>
    </row>
    <row r="52" spans="1:12" x14ac:dyDescent="0.3">
      <c r="A52" s="13"/>
      <c r="B52" s="14"/>
      <c r="C52" s="14"/>
    </row>
    <row r="53" spans="1:12" ht="15.5" x14ac:dyDescent="0.35">
      <c r="A53" s="28" t="s">
        <v>1293</v>
      </c>
      <c r="B53" s="95" t="s">
        <v>1994</v>
      </c>
    </row>
    <row r="54" spans="1:12" ht="56" x14ac:dyDescent="0.3">
      <c r="A54" s="23"/>
      <c r="B54" s="7" t="s">
        <v>1782</v>
      </c>
      <c r="C54" s="7" t="s">
        <v>1691</v>
      </c>
      <c r="D54" s="7" t="s">
        <v>1692</v>
      </c>
      <c r="E54" s="7" t="s">
        <v>1693</v>
      </c>
      <c r="F54" s="7" t="s">
        <v>1694</v>
      </c>
      <c r="G54" s="7" t="s">
        <v>1695</v>
      </c>
      <c r="H54" s="7" t="s">
        <v>1229</v>
      </c>
      <c r="I54" s="7" t="s">
        <v>1696</v>
      </c>
      <c r="J54" s="7" t="s">
        <v>1697</v>
      </c>
      <c r="K54" s="7" t="s">
        <v>1706</v>
      </c>
      <c r="L54" s="7" t="s">
        <v>1196</v>
      </c>
    </row>
    <row r="55" spans="1:12" x14ac:dyDescent="0.3">
      <c r="A55" s="23" t="s">
        <v>1198</v>
      </c>
      <c r="B55" s="37">
        <f>COUNTIF('OBO_Cleaned Data'!ARH:ARH,"1")</f>
        <v>0</v>
      </c>
      <c r="C55" s="37">
        <f>COUNTIF('OBO_Cleaned Data'!ARI:ARI,"1")</f>
        <v>3</v>
      </c>
      <c r="D55" s="37">
        <f>COUNTIF('OBO_Cleaned Data'!ARJ:ARJ,"1")</f>
        <v>1</v>
      </c>
      <c r="E55" s="37">
        <f>COUNTIF('OBO_Cleaned Data'!ARQ:ARQ,"1")</f>
        <v>0</v>
      </c>
      <c r="F55" s="37">
        <f>COUNTIF('OBO_Cleaned Data'!ARR:ARR,"1")</f>
        <v>0</v>
      </c>
      <c r="G55" s="37">
        <f>COUNTIF('OBO_Cleaned Data'!ARK:ARK,"1")</f>
        <v>0</v>
      </c>
      <c r="H55" s="37">
        <f>COUNTIF('OBO_Cleaned Data'!ARL:ARL,"1")</f>
        <v>0</v>
      </c>
      <c r="I55" s="37">
        <f>COUNTIF('OBO_Cleaned Data'!ARM:ARM,"1")</f>
        <v>1</v>
      </c>
      <c r="J55" s="37">
        <f>COUNTIF('OBO_Cleaned Data'!ARS:ARS,"1")</f>
        <v>0</v>
      </c>
      <c r="K55" s="37">
        <f>COUNTIF('OBO_Cleaned Data'!ARO:ARO,"1")</f>
        <v>0</v>
      </c>
      <c r="L55" s="37">
        <f>COUNTIF('OBO_Cleaned Data'!ARP:ARP,"1")</f>
        <v>0</v>
      </c>
    </row>
    <row r="56" spans="1:12" ht="26" x14ac:dyDescent="0.3">
      <c r="A56" s="111" t="s">
        <v>2044</v>
      </c>
      <c r="B56" s="38">
        <f t="shared" ref="B56:L56" si="2">B55/$B$3</f>
        <v>0</v>
      </c>
      <c r="C56" s="38">
        <f t="shared" si="2"/>
        <v>1</v>
      </c>
      <c r="D56" s="38">
        <f t="shared" si="2"/>
        <v>0.33333333333333331</v>
      </c>
      <c r="E56" s="38">
        <f t="shared" si="2"/>
        <v>0</v>
      </c>
      <c r="F56" s="38">
        <f t="shared" si="2"/>
        <v>0</v>
      </c>
      <c r="G56" s="38">
        <f t="shared" si="2"/>
        <v>0</v>
      </c>
      <c r="H56" s="38">
        <f t="shared" si="2"/>
        <v>0</v>
      </c>
      <c r="I56" s="38">
        <f t="shared" si="2"/>
        <v>0.33333333333333331</v>
      </c>
      <c r="J56" s="38">
        <f t="shared" si="2"/>
        <v>0</v>
      </c>
      <c r="K56" s="38">
        <f t="shared" si="2"/>
        <v>0</v>
      </c>
      <c r="L56" s="38">
        <f t="shared" si="2"/>
        <v>0</v>
      </c>
    </row>
    <row r="58" spans="1:12" ht="15.5" x14ac:dyDescent="0.35">
      <c r="A58" s="8" t="s">
        <v>1341</v>
      </c>
    </row>
    <row r="59" spans="1:12" ht="15.5" x14ac:dyDescent="0.35">
      <c r="A59" s="28" t="s">
        <v>2051</v>
      </c>
      <c r="C59" s="95" t="s">
        <v>1994</v>
      </c>
    </row>
    <row r="60" spans="1:12" s="35" customFormat="1" ht="70" x14ac:dyDescent="0.3">
      <c r="A60" s="23"/>
      <c r="B60" s="34" t="s">
        <v>1345</v>
      </c>
      <c r="C60" s="34" t="s">
        <v>1346</v>
      </c>
      <c r="D60" s="34" t="s">
        <v>1342</v>
      </c>
      <c r="E60" s="34" t="s">
        <v>1343</v>
      </c>
      <c r="F60" s="34" t="s">
        <v>1344</v>
      </c>
      <c r="G60" s="34" t="s">
        <v>1347</v>
      </c>
      <c r="H60" s="34" t="s">
        <v>1706</v>
      </c>
      <c r="I60" s="34" t="s">
        <v>1211</v>
      </c>
    </row>
    <row r="61" spans="1:12" x14ac:dyDescent="0.3">
      <c r="A61" s="23" t="s">
        <v>1198</v>
      </c>
      <c r="B61" s="23">
        <f>COUNTIF('OBO_Cleaned Data'!AOA:AOA,"1")</f>
        <v>1</v>
      </c>
      <c r="C61" s="23">
        <f>COUNTIF('OBO_Cleaned Data'!AOB:AOB,"1")</f>
        <v>1</v>
      </c>
      <c r="D61" s="23">
        <f>COUNTIF('OBO_Cleaned Data'!AOC:AOC,"1")</f>
        <v>0</v>
      </c>
      <c r="E61" s="23">
        <f>COUNTIF('OBO_Cleaned Data'!AOD:AOD,"1")</f>
        <v>0</v>
      </c>
      <c r="F61" s="23">
        <f>COUNTIF('OBO_Cleaned Data'!AOE:AOE,"1")</f>
        <v>0</v>
      </c>
      <c r="G61" s="23">
        <f>COUNTIF('OBO_Cleaned Data'!AOF:AOF,"1")</f>
        <v>2</v>
      </c>
      <c r="H61" s="23">
        <f>COUNTIF('OBO_Cleaned Data'!AOG:AOG,"1")</f>
        <v>1</v>
      </c>
      <c r="I61" s="23">
        <f>COUNTIF('OBO_Cleaned Data'!AOH:AOH,"1")</f>
        <v>0</v>
      </c>
      <c r="J61" s="13"/>
    </row>
    <row r="62" spans="1:12" ht="26" x14ac:dyDescent="0.3">
      <c r="A62" s="111" t="s">
        <v>2047</v>
      </c>
      <c r="B62" s="38">
        <f>B61/$E$7</f>
        <v>0.33333333333333331</v>
      </c>
      <c r="C62" s="38">
        <f t="shared" ref="C62:I62" si="3">C61/$E$7</f>
        <v>0.33333333333333331</v>
      </c>
      <c r="D62" s="38">
        <f t="shared" si="3"/>
        <v>0</v>
      </c>
      <c r="E62" s="38">
        <f t="shared" si="3"/>
        <v>0</v>
      </c>
      <c r="F62" s="38">
        <f t="shared" si="3"/>
        <v>0</v>
      </c>
      <c r="G62" s="38">
        <f t="shared" si="3"/>
        <v>0.66666666666666663</v>
      </c>
      <c r="H62" s="38">
        <f t="shared" si="3"/>
        <v>0.33333333333333331</v>
      </c>
      <c r="I62" s="38">
        <f t="shared" si="3"/>
        <v>0</v>
      </c>
    </row>
    <row r="63" spans="1:12" x14ac:dyDescent="0.3">
      <c r="A63" s="120"/>
    </row>
    <row r="64" spans="1:12" x14ac:dyDescent="0.3">
      <c r="B64" s="17" t="s">
        <v>1348</v>
      </c>
    </row>
    <row r="65" spans="1:9" ht="42" x14ac:dyDescent="0.3">
      <c r="B65" s="23"/>
      <c r="C65" s="11" t="s">
        <v>1349</v>
      </c>
      <c r="D65" s="11" t="s">
        <v>1350</v>
      </c>
      <c r="E65" s="11" t="s">
        <v>1351</v>
      </c>
      <c r="F65" s="11" t="s">
        <v>1352</v>
      </c>
      <c r="G65" s="11" t="s">
        <v>1706</v>
      </c>
      <c r="H65" s="11" t="s">
        <v>1211</v>
      </c>
      <c r="I65" s="117" t="s">
        <v>1197</v>
      </c>
    </row>
    <row r="66" spans="1:9" x14ac:dyDescent="0.3">
      <c r="B66" s="23" t="s">
        <v>1198</v>
      </c>
      <c r="C66" s="23">
        <f>COUNTIF('OBO_Cleaned Data'!AOL:AOL,"local")</f>
        <v>0</v>
      </c>
      <c r="D66" s="23">
        <f>COUNTIF('OBO_Cleaned Data'!AO:AOL,"proche")</f>
        <v>1</v>
      </c>
      <c r="E66" s="23">
        <f>COUNTIF('OBO_Cleaned Data'!AOL:AOL,"bangui")</f>
        <v>0</v>
      </c>
      <c r="F66" s="23">
        <f>COUNTIF('OBO_Cleaned Data'!AOL:AOL,"exterieur")</f>
        <v>1</v>
      </c>
      <c r="G66" s="23">
        <f>COUNTIF('OBO_Cleaned Data'!AOL:AOL,"nsp")</f>
        <v>0</v>
      </c>
      <c r="H66" s="23">
        <f>COUNTIF('OBO_Cleaned Data'!AOL:AOL,"autre")</f>
        <v>1</v>
      </c>
      <c r="I66" s="24">
        <f>SUM(C66:H66)</f>
        <v>3</v>
      </c>
    </row>
    <row r="67" spans="1:9" ht="37.5" x14ac:dyDescent="0.3">
      <c r="B67" s="111" t="s">
        <v>2047</v>
      </c>
      <c r="C67" s="38">
        <f>C66/$E$7</f>
        <v>0</v>
      </c>
      <c r="D67" s="38">
        <f t="shared" ref="D67:H67" si="4">D66/$E$7</f>
        <v>0.33333333333333331</v>
      </c>
      <c r="E67" s="38">
        <f t="shared" si="4"/>
        <v>0</v>
      </c>
      <c r="F67" s="38">
        <f t="shared" si="4"/>
        <v>0.33333333333333331</v>
      </c>
      <c r="G67" s="38">
        <f t="shared" si="4"/>
        <v>0</v>
      </c>
      <c r="H67" s="38">
        <f t="shared" si="4"/>
        <v>0.33333333333333331</v>
      </c>
      <c r="I67" s="118">
        <f>SUM(C67:H67)</f>
        <v>1</v>
      </c>
    </row>
    <row r="68" spans="1:9" x14ac:dyDescent="0.3">
      <c r="B68" s="13"/>
      <c r="C68" s="13"/>
      <c r="D68" s="13"/>
      <c r="E68" s="13"/>
      <c r="F68" s="13"/>
      <c r="G68" s="13"/>
      <c r="H68" s="138" t="s">
        <v>2763</v>
      </c>
    </row>
    <row r="69" spans="1:9" x14ac:dyDescent="0.3">
      <c r="B69" s="17" t="s">
        <v>1797</v>
      </c>
    </row>
    <row r="70" spans="1:9" ht="28" x14ac:dyDescent="0.3">
      <c r="B70" s="23"/>
      <c r="C70" s="11" t="s">
        <v>1798</v>
      </c>
      <c r="D70" s="11" t="s">
        <v>1799</v>
      </c>
      <c r="E70" s="11" t="s">
        <v>1800</v>
      </c>
      <c r="F70" s="11" t="s">
        <v>1706</v>
      </c>
      <c r="G70" s="11" t="s">
        <v>1196</v>
      </c>
      <c r="H70" s="117" t="s">
        <v>1197</v>
      </c>
    </row>
    <row r="71" spans="1:9" x14ac:dyDescent="0.3">
      <c r="B71" s="23" t="s">
        <v>1198</v>
      </c>
      <c r="C71" s="23">
        <f>COUNTIF('OBO_Cleaned Data'!AOJ:AOJ,"hebdo")</f>
        <v>0</v>
      </c>
      <c r="D71" s="23">
        <f>COUNTIF('OBO_Cleaned Data'!AOJ:AOJ,"mensuel")</f>
        <v>0</v>
      </c>
      <c r="E71" s="23">
        <f>COUNTIF('OBO_Cleaned Data'!AOJ:AOJ,"trimestriel")</f>
        <v>1</v>
      </c>
      <c r="F71" s="23">
        <f>COUNTIF('OBO_Cleaned Data'!AOJ:AOJ,"nsp")</f>
        <v>1</v>
      </c>
      <c r="G71" s="23">
        <f>COUNTIF('OBO_Cleaned Data'!AOJ:AOJ,"autre")</f>
        <v>1</v>
      </c>
      <c r="H71" s="24">
        <f>SUM(C71:G71)</f>
        <v>3</v>
      </c>
    </row>
    <row r="72" spans="1:9" ht="37.5" x14ac:dyDescent="0.3">
      <c r="B72" s="111" t="s">
        <v>2047</v>
      </c>
      <c r="C72" s="38">
        <f>C71/$E$7</f>
        <v>0</v>
      </c>
      <c r="D72" s="38">
        <f t="shared" ref="D72:G72" si="5">D71/$E$7</f>
        <v>0</v>
      </c>
      <c r="E72" s="38">
        <f t="shared" si="5"/>
        <v>0.33333333333333331</v>
      </c>
      <c r="F72" s="38">
        <f t="shared" si="5"/>
        <v>0.33333333333333331</v>
      </c>
      <c r="G72" s="38">
        <f t="shared" si="5"/>
        <v>0.33333333333333331</v>
      </c>
      <c r="H72" s="118">
        <f>SUM(C72:G72)</f>
        <v>1</v>
      </c>
    </row>
    <row r="73" spans="1:9" x14ac:dyDescent="0.3">
      <c r="F73" s="73"/>
      <c r="G73" s="73" t="s">
        <v>2761</v>
      </c>
    </row>
    <row r="74" spans="1:9" ht="15.5" x14ac:dyDescent="0.35">
      <c r="A74" s="28" t="s">
        <v>2052</v>
      </c>
      <c r="C74" s="95" t="s">
        <v>1994</v>
      </c>
    </row>
    <row r="75" spans="1:9" ht="70" x14ac:dyDescent="0.3">
      <c r="A75" s="23"/>
      <c r="B75" s="34" t="s">
        <v>1345</v>
      </c>
      <c r="C75" s="34" t="s">
        <v>1346</v>
      </c>
      <c r="D75" s="34" t="s">
        <v>1342</v>
      </c>
      <c r="E75" s="34" t="s">
        <v>1343</v>
      </c>
      <c r="F75" s="34" t="s">
        <v>1344</v>
      </c>
      <c r="G75" s="34" t="s">
        <v>1347</v>
      </c>
      <c r="H75" s="34" t="s">
        <v>1706</v>
      </c>
      <c r="I75" s="34" t="s">
        <v>1211</v>
      </c>
    </row>
    <row r="76" spans="1:9" x14ac:dyDescent="0.3">
      <c r="A76" s="23" t="s">
        <v>1198</v>
      </c>
      <c r="B76" s="23">
        <f>COUNTIF('OBO_Cleaned Data'!AOP:AOP,"1")</f>
        <v>3</v>
      </c>
      <c r="C76" s="23">
        <f>COUNTIF('OBO_Cleaned Data'!AOQ:AOQ,"1")</f>
        <v>1</v>
      </c>
      <c r="D76" s="23">
        <f>COUNTIF('OBO_Cleaned Data'!AOR:AOR,"1")</f>
        <v>0</v>
      </c>
      <c r="E76" s="23">
        <f>COUNTIF('OBO_Cleaned Data'!AOS:AOS,"1")</f>
        <v>0</v>
      </c>
      <c r="F76" s="23">
        <f>COUNTIF('OBO_Cleaned Data'!AOT:AOT,"1")</f>
        <v>0</v>
      </c>
      <c r="G76" s="23">
        <f>COUNTIF('OBO_Cleaned Data'!AOU:AOU,"1")</f>
        <v>3</v>
      </c>
      <c r="H76" s="23">
        <f>COUNTIF('OBO_Cleaned Data'!AOV:AOV,"1")</f>
        <v>0</v>
      </c>
      <c r="I76" s="23">
        <f>COUNTIF('OBO_Cleaned Data'!AOW:AOW,"1")</f>
        <v>0</v>
      </c>
    </row>
    <row r="77" spans="1:9" ht="26" x14ac:dyDescent="0.3">
      <c r="A77" s="111" t="s">
        <v>2047</v>
      </c>
      <c r="B77" s="38">
        <f>B76/$E$7</f>
        <v>1</v>
      </c>
      <c r="C77" s="38">
        <f t="shared" ref="C77:I77" si="6">C76/$E$7</f>
        <v>0.33333333333333331</v>
      </c>
      <c r="D77" s="38">
        <f t="shared" si="6"/>
        <v>0</v>
      </c>
      <c r="E77" s="38">
        <f t="shared" si="6"/>
        <v>0</v>
      </c>
      <c r="F77" s="38">
        <f t="shared" si="6"/>
        <v>0</v>
      </c>
      <c r="G77" s="38">
        <f t="shared" si="6"/>
        <v>1</v>
      </c>
      <c r="H77" s="38">
        <f t="shared" si="6"/>
        <v>0</v>
      </c>
      <c r="I77" s="38">
        <f t="shared" si="6"/>
        <v>0</v>
      </c>
    </row>
    <row r="78" spans="1:9" x14ac:dyDescent="0.3">
      <c r="A78" s="120"/>
    </row>
    <row r="79" spans="1:9" x14ac:dyDescent="0.3">
      <c r="B79" s="17" t="s">
        <v>1348</v>
      </c>
    </row>
    <row r="80" spans="1:9" ht="42" x14ac:dyDescent="0.3">
      <c r="B80" s="23"/>
      <c r="C80" s="39" t="s">
        <v>1349</v>
      </c>
      <c r="D80" s="39" t="s">
        <v>1350</v>
      </c>
      <c r="E80" s="39" t="s">
        <v>1351</v>
      </c>
      <c r="F80" s="39" t="s">
        <v>1352</v>
      </c>
      <c r="G80" s="39" t="s">
        <v>1706</v>
      </c>
      <c r="H80" s="39" t="s">
        <v>1211</v>
      </c>
      <c r="I80" s="117" t="s">
        <v>1197</v>
      </c>
    </row>
    <row r="81" spans="1:9" x14ac:dyDescent="0.3">
      <c r="B81" s="23" t="s">
        <v>1198</v>
      </c>
      <c r="C81" s="23">
        <f>COUNTIF('OBO_Cleaned Data'!APA:APA,"local")</f>
        <v>0</v>
      </c>
      <c r="D81" s="23">
        <f>COUNTIF('OBO_Cleaned Data'!APA:APA,"proche")</f>
        <v>0</v>
      </c>
      <c r="E81" s="23">
        <f>COUNTIF('OBO_Cleaned Data'!APA:APA,"bangui")</f>
        <v>0</v>
      </c>
      <c r="F81" s="23">
        <f>COUNTIF('OBO_Cleaned Data'!APA:APA,"exterieur")</f>
        <v>1</v>
      </c>
      <c r="G81" s="23">
        <f>COUNTIF('OBO_Cleaned Data'!APA:APA,"nsp")</f>
        <v>1</v>
      </c>
      <c r="H81" s="23">
        <f>COUNTIF('OBO_Cleaned Data'!APA:APA,"autre")</f>
        <v>1</v>
      </c>
      <c r="I81" s="24">
        <f>SUM(C81:H81)</f>
        <v>3</v>
      </c>
    </row>
    <row r="82" spans="1:9" ht="37.5" x14ac:dyDescent="0.3">
      <c r="B82" s="111" t="s">
        <v>2047</v>
      </c>
      <c r="C82" s="38">
        <f>C81/$E$7</f>
        <v>0</v>
      </c>
      <c r="D82" s="38">
        <f t="shared" ref="D82:H82" si="7">D81/$E$7</f>
        <v>0</v>
      </c>
      <c r="E82" s="38">
        <f t="shared" si="7"/>
        <v>0</v>
      </c>
      <c r="F82" s="38">
        <f t="shared" si="7"/>
        <v>0.33333333333333331</v>
      </c>
      <c r="G82" s="38">
        <f t="shared" si="7"/>
        <v>0.33333333333333331</v>
      </c>
      <c r="H82" s="38">
        <f t="shared" si="7"/>
        <v>0.33333333333333331</v>
      </c>
      <c r="I82" s="118">
        <f>SUM(C82:H82)</f>
        <v>1</v>
      </c>
    </row>
    <row r="83" spans="1:9" x14ac:dyDescent="0.3">
      <c r="H83" s="138" t="s">
        <v>2763</v>
      </c>
    </row>
    <row r="84" spans="1:9" x14ac:dyDescent="0.3">
      <c r="B84" s="17" t="s">
        <v>1797</v>
      </c>
    </row>
    <row r="85" spans="1:9" ht="28" x14ac:dyDescent="0.3">
      <c r="B85" s="23"/>
      <c r="C85" s="39" t="s">
        <v>1798</v>
      </c>
      <c r="D85" s="39" t="s">
        <v>1799</v>
      </c>
      <c r="E85" s="39" t="s">
        <v>1800</v>
      </c>
      <c r="F85" s="39" t="s">
        <v>1706</v>
      </c>
      <c r="G85" s="39" t="s">
        <v>1211</v>
      </c>
      <c r="H85" s="117" t="s">
        <v>1197</v>
      </c>
    </row>
    <row r="86" spans="1:9" x14ac:dyDescent="0.3">
      <c r="B86" s="23" t="s">
        <v>1198</v>
      </c>
      <c r="C86" s="23">
        <f>COUNTIF('OBO_Cleaned Data'!AOY:AOY,"hebdo")</f>
        <v>0</v>
      </c>
      <c r="D86" s="23">
        <f>COUNTIF('OBO_Cleaned Data'!AOY:AOY,"mensuel")</f>
        <v>1</v>
      </c>
      <c r="E86" s="23">
        <f>COUNTIF('OBO_Cleaned Data'!AOY:AOY,"trimestriel")</f>
        <v>1</v>
      </c>
      <c r="F86" s="23">
        <f>COUNTIF('OBO_Cleaned Data'!AOY:AOY,"nsp")</f>
        <v>1</v>
      </c>
      <c r="G86" s="23">
        <f>COUNTIF('OBO_Cleaned Data'!AOY:AOY,"autre")</f>
        <v>0</v>
      </c>
      <c r="H86" s="24">
        <f>SUM(C86:G86)</f>
        <v>3</v>
      </c>
    </row>
    <row r="87" spans="1:9" ht="37.5" x14ac:dyDescent="0.3">
      <c r="B87" s="111" t="s">
        <v>2047</v>
      </c>
      <c r="C87" s="38">
        <f>C86/$E$7</f>
        <v>0</v>
      </c>
      <c r="D87" s="38">
        <f t="shared" ref="D87:G87" si="8">D86/$E$7</f>
        <v>0.33333333333333331</v>
      </c>
      <c r="E87" s="38">
        <f t="shared" si="8"/>
        <v>0.33333333333333331</v>
      </c>
      <c r="F87" s="38">
        <f t="shared" si="8"/>
        <v>0.33333333333333331</v>
      </c>
      <c r="G87" s="38">
        <f t="shared" si="8"/>
        <v>0</v>
      </c>
      <c r="H87" s="118">
        <f>SUM(C87:G87)</f>
        <v>1</v>
      </c>
    </row>
    <row r="88" spans="1:9" x14ac:dyDescent="0.3">
      <c r="F88" s="73"/>
    </row>
    <row r="89" spans="1:9" ht="15.5" x14ac:dyDescent="0.35">
      <c r="A89" s="8" t="s">
        <v>1353</v>
      </c>
    </row>
    <row r="90" spans="1:9" x14ac:dyDescent="0.3">
      <c r="A90" s="17" t="s">
        <v>1801</v>
      </c>
    </row>
    <row r="91" spans="1:9" x14ac:dyDescent="0.3">
      <c r="A91" s="23"/>
      <c r="B91" s="7" t="s">
        <v>1201</v>
      </c>
      <c r="C91" s="7" t="s">
        <v>1200</v>
      </c>
      <c r="D91" s="117" t="s">
        <v>1197</v>
      </c>
    </row>
    <row r="92" spans="1:9" x14ac:dyDescent="0.3">
      <c r="A92" s="23" t="s">
        <v>1198</v>
      </c>
      <c r="B92" s="23">
        <f>COUNTIF('OBO_Cleaned Data'!APF:APF,"oui")</f>
        <v>3</v>
      </c>
      <c r="C92" s="23">
        <f>COUNTIF('OBO_Cleaned Data'!APF:APF,"non")</f>
        <v>0</v>
      </c>
      <c r="D92" s="24">
        <f>SUM(B92:C92)</f>
        <v>3</v>
      </c>
    </row>
    <row r="93" spans="1:9" ht="26" x14ac:dyDescent="0.3">
      <c r="A93" s="111" t="s">
        <v>2047</v>
      </c>
      <c r="B93" s="38">
        <f>(B92/$E$7)</f>
        <v>1</v>
      </c>
      <c r="C93" s="38">
        <f>(C92/$E$7)</f>
        <v>0</v>
      </c>
      <c r="D93" s="118">
        <f>SUM(B93:C93)</f>
        <v>1</v>
      </c>
    </row>
    <row r="95" spans="1:9" x14ac:dyDescent="0.3">
      <c r="B95" s="17" t="s">
        <v>1802</v>
      </c>
    </row>
    <row r="96" spans="1:9" ht="28" x14ac:dyDescent="0.3">
      <c r="B96" s="23"/>
      <c r="C96" s="10" t="s">
        <v>1297</v>
      </c>
      <c r="D96" s="10" t="s">
        <v>1298</v>
      </c>
      <c r="E96" s="10" t="s">
        <v>1299</v>
      </c>
      <c r="F96" s="10" t="s">
        <v>1216</v>
      </c>
      <c r="G96" s="117" t="s">
        <v>1197</v>
      </c>
    </row>
    <row r="97" spans="1:9" x14ac:dyDescent="0.3">
      <c r="B97" s="23" t="s">
        <v>1198</v>
      </c>
      <c r="C97" s="23">
        <f>COUNTIF('OBO_Cleaned Data'!APG:APG,"peu_diminue")</f>
        <v>1</v>
      </c>
      <c r="D97" s="23">
        <f>COUNTIF('OBO_Cleaned Data'!APG:APG,"bcp_diminue")</f>
        <v>2</v>
      </c>
      <c r="E97" s="23">
        <f>COUNTIF('OBO_Cleaned Data'!APG:APG,"peu_augmente")</f>
        <v>0</v>
      </c>
      <c r="F97" s="23">
        <f>COUNTIF('OBO_Cleaned Data'!APG:APG,"bcp_augmente")</f>
        <v>0</v>
      </c>
      <c r="G97" s="24">
        <f>SUM(C97:F97)</f>
        <v>3</v>
      </c>
    </row>
    <row r="98" spans="1:9" ht="37.5" x14ac:dyDescent="0.3">
      <c r="B98" s="111" t="s">
        <v>2053</v>
      </c>
      <c r="C98" s="38">
        <f>C97/$B$92</f>
        <v>0.33333333333333331</v>
      </c>
      <c r="D98" s="38">
        <f t="shared" ref="D98:F98" si="9">D97/$B$92</f>
        <v>0.66666666666666663</v>
      </c>
      <c r="E98" s="38">
        <f t="shared" si="9"/>
        <v>0</v>
      </c>
      <c r="F98" s="38">
        <f t="shared" si="9"/>
        <v>0</v>
      </c>
      <c r="G98" s="118">
        <f>SUM(C98:F98)</f>
        <v>1</v>
      </c>
    </row>
    <row r="99" spans="1:9" x14ac:dyDescent="0.3">
      <c r="B99" s="13"/>
    </row>
    <row r="100" spans="1:9" x14ac:dyDescent="0.3">
      <c r="B100" s="17" t="s">
        <v>1300</v>
      </c>
      <c r="D100" s="95" t="s">
        <v>1994</v>
      </c>
    </row>
    <row r="101" spans="1:9" ht="70" x14ac:dyDescent="0.3">
      <c r="B101" s="23"/>
      <c r="C101" s="10" t="s">
        <v>1305</v>
      </c>
      <c r="D101" s="10" t="s">
        <v>1354</v>
      </c>
      <c r="E101" s="10" t="s">
        <v>1355</v>
      </c>
      <c r="F101" s="10" t="s">
        <v>1356</v>
      </c>
      <c r="G101" s="10" t="s">
        <v>1357</v>
      </c>
      <c r="H101" s="10" t="s">
        <v>1706</v>
      </c>
      <c r="I101" s="10" t="s">
        <v>1211</v>
      </c>
    </row>
    <row r="102" spans="1:9" x14ac:dyDescent="0.3">
      <c r="B102" s="23" t="s">
        <v>1198</v>
      </c>
      <c r="C102" s="23">
        <f>COUNTIF('OBO_Cleaned Data'!APR:APR,"1")</f>
        <v>0</v>
      </c>
      <c r="D102" s="23">
        <f>COUNTIF('OBO_Cleaned Data'!APS:APS,"1")</f>
        <v>2</v>
      </c>
      <c r="E102" s="23">
        <f>COUNTIF('OBO_Cleaned Data'!APT:APT,"1")</f>
        <v>0</v>
      </c>
      <c r="F102" s="23">
        <f>COUNTIF('OBO_Cleaned Data'!APU:APU,"1")</f>
        <v>2</v>
      </c>
      <c r="G102" s="23">
        <f>COUNTIF('OBO_Cleaned Data'!APV:APV,"1")</f>
        <v>0</v>
      </c>
      <c r="H102" s="23">
        <f>COUNTIF('OBO_Cleaned Data'!APW:APW,"1")</f>
        <v>0</v>
      </c>
      <c r="I102" s="23">
        <f>COUNTIF('OBO_Cleaned Data'!APX:APX,"1")</f>
        <v>0</v>
      </c>
    </row>
    <row r="103" spans="1:9" ht="42" customHeight="1" x14ac:dyDescent="0.3">
      <c r="B103" s="111" t="s">
        <v>2054</v>
      </c>
      <c r="C103" s="38">
        <f>D102/($C$97+$D$97)</f>
        <v>0.66666666666666663</v>
      </c>
      <c r="D103" s="38">
        <f t="shared" ref="D103:I103" si="10">E102/($C$97+$D$97)</f>
        <v>0</v>
      </c>
      <c r="E103" s="38">
        <f t="shared" si="10"/>
        <v>0.66666666666666663</v>
      </c>
      <c r="F103" s="38">
        <f t="shared" si="10"/>
        <v>0</v>
      </c>
      <c r="G103" s="38">
        <f t="shared" si="10"/>
        <v>0</v>
      </c>
      <c r="H103" s="38">
        <f t="shared" si="10"/>
        <v>0</v>
      </c>
      <c r="I103" s="38">
        <f t="shared" si="10"/>
        <v>0</v>
      </c>
    </row>
    <row r="105" spans="1:9" x14ac:dyDescent="0.3">
      <c r="B105" s="17" t="s">
        <v>1218</v>
      </c>
      <c r="D105" s="95" t="s">
        <v>1994</v>
      </c>
    </row>
    <row r="106" spans="1:9" ht="56" x14ac:dyDescent="0.3">
      <c r="B106" s="23"/>
      <c r="C106" s="10" t="s">
        <v>1301</v>
      </c>
      <c r="D106" s="10" t="s">
        <v>1302</v>
      </c>
      <c r="E106" s="10" t="s">
        <v>1905</v>
      </c>
      <c r="F106" s="10" t="s">
        <v>1906</v>
      </c>
      <c r="G106" s="10" t="s">
        <v>1907</v>
      </c>
      <c r="H106" s="10" t="s">
        <v>1706</v>
      </c>
      <c r="I106" s="10" t="s">
        <v>1196</v>
      </c>
    </row>
    <row r="107" spans="1:9" x14ac:dyDescent="0.3">
      <c r="B107" s="23" t="s">
        <v>1198</v>
      </c>
      <c r="C107" s="23">
        <f>COUNTIF('OBO_Cleaned Data'!API:API,"1")</f>
        <v>0</v>
      </c>
      <c r="D107" s="23">
        <f>COUNTIF('OBO_Cleaned Data'!APJ:APJ,"1")</f>
        <v>0</v>
      </c>
      <c r="E107" s="23">
        <f>COUNTIF('OBO_Cleaned Data'!APK:APK,"1")</f>
        <v>0</v>
      </c>
      <c r="F107" s="23">
        <f>COUNTIF('OBO_Cleaned Data'!APL:APL,"1")</f>
        <v>0</v>
      </c>
      <c r="G107" s="23">
        <f>COUNTIF('OBO_Cleaned Data'!APM:APM,"1")</f>
        <v>0</v>
      </c>
      <c r="H107" s="23">
        <f>COUNTIF('OBO_Cleaned Data'!APN:APN,"1")</f>
        <v>0</v>
      </c>
      <c r="I107" s="23">
        <f>COUNTIF('OBO_Cleaned Data'!APO:APO,"1")</f>
        <v>0</v>
      </c>
    </row>
    <row r="108" spans="1:9" ht="49" x14ac:dyDescent="0.3">
      <c r="B108" s="111" t="s">
        <v>2055</v>
      </c>
      <c r="C108" s="38" t="e">
        <f>C107/($E$97+$F$97)</f>
        <v>#DIV/0!</v>
      </c>
      <c r="D108" s="38" t="e">
        <f t="shared" ref="D108:I108" si="11">D107/($E$97+$F$97)</f>
        <v>#DIV/0!</v>
      </c>
      <c r="E108" s="38" t="e">
        <f t="shared" si="11"/>
        <v>#DIV/0!</v>
      </c>
      <c r="F108" s="38" t="e">
        <f t="shared" si="11"/>
        <v>#DIV/0!</v>
      </c>
      <c r="G108" s="38" t="e">
        <f t="shared" si="11"/>
        <v>#DIV/0!</v>
      </c>
      <c r="H108" s="38" t="e">
        <f t="shared" si="11"/>
        <v>#DIV/0!</v>
      </c>
      <c r="I108" s="38" t="e">
        <f t="shared" si="11"/>
        <v>#DIV/0!</v>
      </c>
    </row>
    <row r="109" spans="1:9" x14ac:dyDescent="0.3">
      <c r="B109" s="13"/>
      <c r="C109" s="14"/>
      <c r="D109" s="14"/>
      <c r="E109" s="14"/>
      <c r="F109" s="14"/>
      <c r="G109" s="14"/>
      <c r="H109" s="14"/>
      <c r="I109" s="14"/>
    </row>
    <row r="110" spans="1:9" ht="15.5" x14ac:dyDescent="0.35">
      <c r="A110" s="8" t="s">
        <v>1358</v>
      </c>
    </row>
    <row r="111" spans="1:9" x14ac:dyDescent="0.3">
      <c r="A111" s="17" t="s">
        <v>1803</v>
      </c>
      <c r="B111" s="95" t="s">
        <v>1994</v>
      </c>
    </row>
    <row r="112" spans="1:9" s="35" customFormat="1" ht="42" x14ac:dyDescent="0.35">
      <c r="A112" s="74"/>
      <c r="B112" s="34" t="s">
        <v>1804</v>
      </c>
      <c r="C112" s="34" t="s">
        <v>1805</v>
      </c>
      <c r="D112" s="34" t="s">
        <v>1806</v>
      </c>
      <c r="E112" s="34" t="s">
        <v>1807</v>
      </c>
      <c r="F112" s="34" t="s">
        <v>2006</v>
      </c>
      <c r="G112" s="34" t="s">
        <v>1196</v>
      </c>
    </row>
    <row r="113" spans="1:8" x14ac:dyDescent="0.3">
      <c r="A113" s="23" t="s">
        <v>1198</v>
      </c>
      <c r="B113" s="23">
        <f>COUNTIF('OBO_Cleaned Data'!AQA:AQA,"1")</f>
        <v>0</v>
      </c>
      <c r="C113" s="23">
        <f>COUNTIF('OBO_Cleaned Data'!AQB:AQB,"1")</f>
        <v>3</v>
      </c>
      <c r="D113" s="23">
        <f>COUNTIF('OBO_Cleaned Data'!AQC:AQC,"1")</f>
        <v>0</v>
      </c>
      <c r="E113" s="23">
        <f>COUNTIF('OBO_Cleaned Data'!AQD:AQD,"1")</f>
        <v>1</v>
      </c>
      <c r="F113" s="23">
        <f>COUNTIF('OBO_Cleaned Data'!AQE:AQE,"1")</f>
        <v>0</v>
      </c>
      <c r="G113" s="23">
        <f>COUNTIF('OBO_Cleaned Data'!AQF:AQF,"1")</f>
        <v>0</v>
      </c>
    </row>
    <row r="114" spans="1:8" ht="26" x14ac:dyDescent="0.3">
      <c r="A114" s="111" t="s">
        <v>2047</v>
      </c>
      <c r="B114" s="38">
        <f>(B113/$E$7)</f>
        <v>0</v>
      </c>
      <c r="C114" s="38">
        <f t="shared" ref="C114:G114" si="12">(C113/$E$7)</f>
        <v>1</v>
      </c>
      <c r="D114" s="38">
        <f t="shared" si="12"/>
        <v>0</v>
      </c>
      <c r="E114" s="38">
        <f t="shared" si="12"/>
        <v>0.33333333333333331</v>
      </c>
      <c r="F114" s="38">
        <f t="shared" si="12"/>
        <v>0</v>
      </c>
      <c r="G114" s="38">
        <f t="shared" si="12"/>
        <v>0</v>
      </c>
    </row>
    <row r="115" spans="1:8" x14ac:dyDescent="0.3">
      <c r="C115" s="73" t="s">
        <v>2673</v>
      </c>
    </row>
    <row r="116" spans="1:8" x14ac:dyDescent="0.3">
      <c r="B116" s="73"/>
    </row>
    <row r="117" spans="1:8" x14ac:dyDescent="0.3">
      <c r="B117" s="17" t="s">
        <v>1808</v>
      </c>
    </row>
    <row r="118" spans="1:8" x14ac:dyDescent="0.3">
      <c r="B118" s="20">
        <f>AVERAGE('OBO_Cleaned Data'!AQN:AQN)</f>
        <v>722</v>
      </c>
      <c r="C118" s="20" t="s">
        <v>2674</v>
      </c>
      <c r="D118" s="73"/>
    </row>
    <row r="120" spans="1:8" x14ac:dyDescent="0.3">
      <c r="B120" s="17" t="s">
        <v>1810</v>
      </c>
    </row>
    <row r="121" spans="1:8" x14ac:dyDescent="0.3">
      <c r="B121" s="18">
        <f>AVERAGE('OBO_Cleaned Data'!AQX:AQX)</f>
        <v>250</v>
      </c>
      <c r="C121" s="20" t="s">
        <v>2764</v>
      </c>
      <c r="D121" s="73" t="s">
        <v>2765</v>
      </c>
    </row>
    <row r="123" spans="1:8" x14ac:dyDescent="0.3">
      <c r="A123" s="13"/>
      <c r="B123" s="14"/>
      <c r="C123" s="14"/>
    </row>
    <row r="124" spans="1:8" ht="15.5" x14ac:dyDescent="0.35">
      <c r="A124" s="8" t="s">
        <v>1283</v>
      </c>
    </row>
    <row r="125" spans="1:8" x14ac:dyDescent="0.3">
      <c r="A125" s="17" t="s">
        <v>1360</v>
      </c>
      <c r="C125" s="95" t="s">
        <v>1994</v>
      </c>
    </row>
    <row r="126" spans="1:8" s="35" customFormat="1" ht="58.5" customHeight="1" x14ac:dyDescent="0.3">
      <c r="A126" s="23"/>
      <c r="B126" s="34" t="s">
        <v>1359</v>
      </c>
      <c r="C126" s="34" t="s">
        <v>1364</v>
      </c>
      <c r="D126" s="34" t="s">
        <v>1361</v>
      </c>
      <c r="E126" s="34" t="s">
        <v>1362</v>
      </c>
      <c r="F126" s="34" t="s">
        <v>1363</v>
      </c>
      <c r="G126" s="34" t="s">
        <v>2006</v>
      </c>
      <c r="H126" s="34" t="s">
        <v>1211</v>
      </c>
    </row>
    <row r="127" spans="1:8" x14ac:dyDescent="0.3">
      <c r="A127" s="23" t="s">
        <v>1198</v>
      </c>
      <c r="B127" s="23">
        <f>COUNTIF('OBO_Cleaned Data'!ARV:ARV,"1")</f>
        <v>3</v>
      </c>
      <c r="C127" s="23">
        <f>COUNTIF('OBO_Cleaned Data'!ARW:ARW,"1")</f>
        <v>0</v>
      </c>
      <c r="D127" s="23">
        <f>COUNTIF('OBO_Cleaned Data'!ARX:ARX,"1")</f>
        <v>0</v>
      </c>
      <c r="E127" s="23">
        <f>COUNTIF('OBO_Cleaned Data'!ARY:ARY,"1")</f>
        <v>0</v>
      </c>
      <c r="F127" s="23">
        <f>COUNTIF('OBO_Cleaned Data'!ARZ:ARZ,"1")</f>
        <v>1</v>
      </c>
      <c r="G127" s="23">
        <f>COUNTIF('OBO_Cleaned Data'!ASA:ASA,"1")</f>
        <v>0</v>
      </c>
      <c r="H127" s="23">
        <f>COUNTIF('OBO_Cleaned Data'!ASB:ASB,"1")</f>
        <v>0</v>
      </c>
    </row>
    <row r="128" spans="1:8" ht="26" x14ac:dyDescent="0.3">
      <c r="A128" s="111" t="s">
        <v>2044</v>
      </c>
      <c r="B128" s="38">
        <f>B127/$B$3</f>
        <v>1</v>
      </c>
      <c r="C128" s="38">
        <f t="shared" ref="C128:H128" si="13">C127/$B$3</f>
        <v>0</v>
      </c>
      <c r="D128" s="38">
        <f t="shared" si="13"/>
        <v>0</v>
      </c>
      <c r="E128" s="38">
        <f t="shared" si="13"/>
        <v>0</v>
      </c>
      <c r="F128" s="38">
        <f t="shared" si="13"/>
        <v>0.33333333333333331</v>
      </c>
      <c r="G128" s="38">
        <f t="shared" si="13"/>
        <v>0</v>
      </c>
      <c r="H128" s="38">
        <f t="shared" si="13"/>
        <v>0</v>
      </c>
    </row>
    <row r="129" spans="1:16" x14ac:dyDescent="0.3">
      <c r="A129" s="13"/>
      <c r="H129" s="73"/>
    </row>
    <row r="130" spans="1:16" x14ac:dyDescent="0.3">
      <c r="A130" s="17" t="s">
        <v>1365</v>
      </c>
    </row>
    <row r="131" spans="1:16" x14ac:dyDescent="0.3">
      <c r="A131" s="23"/>
      <c r="B131" s="7" t="s">
        <v>1201</v>
      </c>
      <c r="C131" s="7" t="s">
        <v>1200</v>
      </c>
      <c r="D131" s="117" t="s">
        <v>1197</v>
      </c>
    </row>
    <row r="132" spans="1:16" x14ac:dyDescent="0.3">
      <c r="A132" s="23" t="s">
        <v>1198</v>
      </c>
      <c r="B132" s="23">
        <f>COUNTIF('OBO_Cleaned Data'!ASD:ASD,"oui")</f>
        <v>1</v>
      </c>
      <c r="C132" s="23">
        <f>COUNTIF('OBO_Cleaned Data'!ASD:ASD,"non")</f>
        <v>1</v>
      </c>
      <c r="D132" s="24">
        <f>SUM(B132:C132)</f>
        <v>2</v>
      </c>
    </row>
    <row r="133" spans="1:16" ht="26" x14ac:dyDescent="0.3">
      <c r="A133" s="111" t="s">
        <v>2047</v>
      </c>
      <c r="B133" s="38">
        <f>(B132/$E$7)</f>
        <v>0.33333333333333331</v>
      </c>
      <c r="C133" s="38">
        <f>(C132/$E$7)</f>
        <v>0.33333333333333331</v>
      </c>
      <c r="D133" s="118">
        <f>SUM(B133:C133)</f>
        <v>0.66666666666666663</v>
      </c>
    </row>
    <row r="135" spans="1:16" x14ac:dyDescent="0.3">
      <c r="A135" s="17" t="s">
        <v>1321</v>
      </c>
      <c r="C135" s="95" t="s">
        <v>1994</v>
      </c>
    </row>
    <row r="136" spans="1:16" x14ac:dyDescent="0.3">
      <c r="A136" s="23"/>
      <c r="B136" s="7" t="s">
        <v>1240</v>
      </c>
      <c r="C136" s="7" t="s">
        <v>1241</v>
      </c>
      <c r="D136" s="7" t="s">
        <v>1706</v>
      </c>
      <c r="E136" s="7" t="s">
        <v>1196</v>
      </c>
      <c r="F136" s="7" t="s">
        <v>1242</v>
      </c>
    </row>
    <row r="137" spans="1:16" x14ac:dyDescent="0.3">
      <c r="A137" s="23" t="s">
        <v>1198</v>
      </c>
      <c r="B137" s="3">
        <f>COUNTIF('OBO_Cleaned Data'!ASO:ASO,"1")</f>
        <v>0</v>
      </c>
      <c r="C137" s="3">
        <f>COUNTIF('OBO_Cleaned Data'!ASP:ASP,"1")</f>
        <v>0</v>
      </c>
      <c r="D137" s="3">
        <f>COUNTIF('OBO_Cleaned Data'!ASQ:ASQ,"1")</f>
        <v>0</v>
      </c>
      <c r="E137" s="3">
        <f>COUNTIF('OBO_Cleaned Data'!ASR:ASR,"1")</f>
        <v>0</v>
      </c>
      <c r="F137" s="3">
        <f>COUNTIF('OBO_Cleaned Data'!ASS:ASS,"1")</f>
        <v>3</v>
      </c>
    </row>
    <row r="138" spans="1:16" ht="26" x14ac:dyDescent="0.3">
      <c r="A138" s="111" t="s">
        <v>2044</v>
      </c>
      <c r="B138" s="38">
        <f>B137/$B$3</f>
        <v>0</v>
      </c>
      <c r="C138" s="38">
        <f t="shared" ref="C138:F138" si="14">C137/$B$3</f>
        <v>0</v>
      </c>
      <c r="D138" s="38">
        <f t="shared" si="14"/>
        <v>0</v>
      </c>
      <c r="E138" s="38">
        <f t="shared" si="14"/>
        <v>0</v>
      </c>
      <c r="F138" s="38">
        <f t="shared" si="14"/>
        <v>1</v>
      </c>
    </row>
    <row r="139" spans="1:16" x14ac:dyDescent="0.3">
      <c r="A139" s="13"/>
    </row>
    <row r="140" spans="1:16" ht="15.5" x14ac:dyDescent="0.35">
      <c r="A140" s="28" t="s">
        <v>1289</v>
      </c>
      <c r="C140" s="95" t="s">
        <v>1994</v>
      </c>
    </row>
    <row r="141" spans="1:16" s="35" customFormat="1" ht="70" x14ac:dyDescent="0.35">
      <c r="A141" s="34" t="s">
        <v>1462</v>
      </c>
      <c r="B141" s="34" t="s">
        <v>1811</v>
      </c>
      <c r="C141" s="34" t="s">
        <v>1366</v>
      </c>
      <c r="D141" s="34" t="s">
        <v>1815</v>
      </c>
      <c r="E141" s="34" t="s">
        <v>1816</v>
      </c>
      <c r="F141" s="34" t="s">
        <v>1812</v>
      </c>
      <c r="G141" s="34" t="s">
        <v>1367</v>
      </c>
      <c r="H141" s="34" t="s">
        <v>1368</v>
      </c>
      <c r="I141" s="34" t="s">
        <v>1369</v>
      </c>
      <c r="J141" s="34" t="s">
        <v>1813</v>
      </c>
      <c r="K141" s="34" t="s">
        <v>1814</v>
      </c>
      <c r="L141" s="34" t="s">
        <v>1370</v>
      </c>
      <c r="M141" s="34" t="s">
        <v>1817</v>
      </c>
      <c r="N141" s="34" t="s">
        <v>1371</v>
      </c>
      <c r="O141" s="34" t="s">
        <v>1706</v>
      </c>
      <c r="P141" s="34" t="s">
        <v>1196</v>
      </c>
    </row>
    <row r="142" spans="1:16" x14ac:dyDescent="0.3">
      <c r="A142" s="3">
        <f>COUNTIF('OBO_Cleaned Data'!ATK:ATK,"1")</f>
        <v>2</v>
      </c>
      <c r="B142" s="3">
        <f>COUNTIF('OBO_Cleaned Data'!ATL:ATL,"1")</f>
        <v>3</v>
      </c>
      <c r="C142" s="3">
        <f>COUNTIF('OBO_Cleaned Data'!ATM:ATM,"1")</f>
        <v>1</v>
      </c>
      <c r="D142" s="3">
        <f>COUNTIF('OBO_Cleaned Data'!ATN:ATN,"1")</f>
        <v>1</v>
      </c>
      <c r="E142" s="3">
        <f>COUNTIF('OBO_Cleaned Data'!ATO:ATO,"1")</f>
        <v>1</v>
      </c>
      <c r="F142" s="3">
        <f>COUNTIF('OBO_Cleaned Data'!ATX:ATX,"1")</f>
        <v>0</v>
      </c>
      <c r="G142" s="3">
        <f>COUNTIF('OBO_Cleaned Data'!ATP:ATP,"1")</f>
        <v>0</v>
      </c>
      <c r="H142" s="3">
        <f>COUNTIF('OBO_Cleaned Data'!ATQ:ATQ,"1")</f>
        <v>0</v>
      </c>
      <c r="I142" s="3">
        <f>COUNTIF('OBO_Cleaned Data'!ATR:ATR,"1")</f>
        <v>0</v>
      </c>
      <c r="J142" s="3">
        <f>COUNTIF('OBO_Cleaned Data'!ATS:ATS,"1")</f>
        <v>1</v>
      </c>
      <c r="K142" s="3">
        <f>COUNTIF('OBO_Cleaned Data'!ATU:ATU,"1")</f>
        <v>0</v>
      </c>
      <c r="L142" s="3">
        <f>COUNTIF('OBO_Cleaned Data'!ATV:ATV,"1")</f>
        <v>3</v>
      </c>
      <c r="M142" s="3">
        <f>COUNTIF('OBO_Cleaned Data'!ATW:ATW,"1")</f>
        <v>0</v>
      </c>
      <c r="N142" s="3">
        <f>COUNTIF('OBO_Cleaned Data'!ATY:ATY,"1")</f>
        <v>0</v>
      </c>
      <c r="O142" s="3">
        <f>COUNTIF('OBO_Cleaned Data'!ATZ:ATZ,"1")</f>
        <v>0</v>
      </c>
      <c r="P142" s="3">
        <f>COUNTIF('OBO_Cleaned Data'!AUA:AUA,"1")</f>
        <v>0</v>
      </c>
    </row>
    <row r="143" spans="1:16" x14ac:dyDescent="0.3">
      <c r="A143" s="13"/>
      <c r="B143" s="13"/>
      <c r="C143" s="13"/>
      <c r="D143" s="13"/>
      <c r="E143" s="13"/>
      <c r="F143" s="13"/>
      <c r="G143" s="13"/>
      <c r="H143" s="13"/>
      <c r="I143" s="13"/>
      <c r="J143" s="13"/>
      <c r="K143" s="13"/>
      <c r="L143" s="13"/>
      <c r="M143" s="13"/>
      <c r="N143" s="13"/>
      <c r="O143" s="13"/>
      <c r="P143" s="75"/>
    </row>
    <row r="144" spans="1:16" ht="15.5" x14ac:dyDescent="0.35">
      <c r="A144" s="28" t="s">
        <v>1290</v>
      </c>
      <c r="C144" s="95" t="s">
        <v>1994</v>
      </c>
    </row>
    <row r="145" spans="1:13" ht="28" x14ac:dyDescent="0.3">
      <c r="A145" s="7" t="s">
        <v>1226</v>
      </c>
      <c r="B145" s="7" t="s">
        <v>1246</v>
      </c>
      <c r="C145" s="7" t="s">
        <v>1247</v>
      </c>
      <c r="D145" s="7" t="s">
        <v>1229</v>
      </c>
      <c r="E145" s="7" t="s">
        <v>1230</v>
      </c>
      <c r="F145" s="7" t="s">
        <v>1248</v>
      </c>
      <c r="G145" s="7" t="s">
        <v>1249</v>
      </c>
      <c r="H145" s="7" t="s">
        <v>1250</v>
      </c>
      <c r="I145" s="7" t="s">
        <v>1251</v>
      </c>
      <c r="J145" s="7" t="s">
        <v>1242</v>
      </c>
      <c r="K145" s="7" t="s">
        <v>2006</v>
      </c>
      <c r="L145" s="7" t="s">
        <v>1211</v>
      </c>
    </row>
    <row r="146" spans="1:13" x14ac:dyDescent="0.3">
      <c r="A146" s="23">
        <f>COUNTIF('OBO_Cleaned Data'!ASV:ASV,"1")</f>
        <v>3</v>
      </c>
      <c r="B146" s="23">
        <f>COUNTIF('OBO_Cleaned Data'!ASW:ASW,"1")</f>
        <v>0</v>
      </c>
      <c r="C146" s="23">
        <f>COUNTIF('OBO_Cleaned Data'!ASX:ASX,"1")</f>
        <v>0</v>
      </c>
      <c r="D146" s="23">
        <f>COUNTIF('OBO_Cleaned Data'!ASY:ASY,"1")</f>
        <v>0</v>
      </c>
      <c r="E146" s="23">
        <f>COUNTIF('OBO_Cleaned Data'!ASZ:ASZ,"1")</f>
        <v>0</v>
      </c>
      <c r="F146" s="23">
        <f>COUNTIF('OBO_Cleaned Data'!ATA:ATA,"1")</f>
        <v>0</v>
      </c>
      <c r="G146" s="23">
        <f>COUNTIF('OBO_Cleaned Data'!ATB:ATB,"1")</f>
        <v>0</v>
      </c>
      <c r="H146" s="23">
        <f>COUNTIF('OBO_Cleaned Data'!ATC:ATC,"1")</f>
        <v>0</v>
      </c>
      <c r="I146" s="23">
        <f>COUNTIF('OBO_Cleaned Data'!ATD:ATD,"1")</f>
        <v>0</v>
      </c>
      <c r="J146" s="23">
        <f>COUNTIF('OBO_Cleaned Data'!ATE:ATE,"1")</f>
        <v>0</v>
      </c>
      <c r="K146" s="23">
        <f>COUNTIF('OBO_Cleaned Data'!ATF:ATF,"1")</f>
        <v>0</v>
      </c>
      <c r="L146" s="23">
        <f>COUNTIF('OBO_Cleaned Data'!ATG:ATG,"1")</f>
        <v>0</v>
      </c>
    </row>
    <row r="148" spans="1:13" ht="15.5" x14ac:dyDescent="0.35">
      <c r="A148" s="28" t="s">
        <v>1324</v>
      </c>
    </row>
    <row r="149" spans="1:13" x14ac:dyDescent="0.3">
      <c r="A149" s="3"/>
      <c r="B149" s="7" t="s">
        <v>1201</v>
      </c>
      <c r="C149" s="7" t="s">
        <v>1200</v>
      </c>
      <c r="D149" s="117" t="s">
        <v>1197</v>
      </c>
    </row>
    <row r="150" spans="1:13" x14ac:dyDescent="0.3">
      <c r="A150" s="3" t="s">
        <v>1198</v>
      </c>
      <c r="B150" s="23">
        <f>COUNTIF('OBO_Cleaned Data'!AUC:AUC,"OUI")</f>
        <v>1</v>
      </c>
      <c r="C150" s="23">
        <f>COUNTIF('OBO_Cleaned Data'!AUC:AUC,"non")</f>
        <v>2</v>
      </c>
      <c r="D150" s="24">
        <f>SUM(B150:C150)</f>
        <v>3</v>
      </c>
    </row>
    <row r="151" spans="1:13" ht="26" x14ac:dyDescent="0.3">
      <c r="A151" s="111" t="s">
        <v>2044</v>
      </c>
      <c r="B151" s="6">
        <f>(B150/$B$3)</f>
        <v>0.33333333333333331</v>
      </c>
      <c r="C151" s="6">
        <f>(C150/$B$3)</f>
        <v>0.66666666666666663</v>
      </c>
      <c r="D151" s="118">
        <f>SUM(B151:C151)</f>
        <v>1</v>
      </c>
    </row>
    <row r="152" spans="1:13" x14ac:dyDescent="0.3">
      <c r="A152" s="120"/>
      <c r="B152" s="14"/>
      <c r="C152" s="14"/>
      <c r="D152" s="119"/>
    </row>
    <row r="153" spans="1:13" ht="15.5" x14ac:dyDescent="0.35">
      <c r="A153" s="8" t="s">
        <v>1291</v>
      </c>
      <c r="C153" s="95" t="s">
        <v>1994</v>
      </c>
    </row>
    <row r="154" spans="1:13" ht="56" x14ac:dyDescent="0.35">
      <c r="A154" s="7" t="s">
        <v>1819</v>
      </c>
      <c r="B154" s="7" t="s">
        <v>1818</v>
      </c>
      <c r="C154" s="7" t="s">
        <v>1820</v>
      </c>
      <c r="D154" s="7" t="s">
        <v>1372</v>
      </c>
      <c r="E154" s="7" t="s">
        <v>1373</v>
      </c>
      <c r="F154" s="7" t="s">
        <v>1374</v>
      </c>
      <c r="G154" s="7" t="s">
        <v>1375</v>
      </c>
      <c r="H154" s="7" t="s">
        <v>1706</v>
      </c>
      <c r="I154" s="7" t="s">
        <v>1196</v>
      </c>
      <c r="K154" s="22"/>
      <c r="L154" s="22"/>
      <c r="M154" s="22"/>
    </row>
    <row r="155" spans="1:13" ht="14.5" x14ac:dyDescent="0.35">
      <c r="A155" s="23">
        <f>COUNTIF('OBO_Cleaned Data'!AVH:AVH,"1")</f>
        <v>0</v>
      </c>
      <c r="B155" s="23">
        <f>COUNTIF('OBO_Cleaned Data'!AVI:AVI,"1")</f>
        <v>2</v>
      </c>
      <c r="C155" s="23">
        <f>COUNTIF('OBO_Cleaned Data'!AVJ:AVJ,"1")</f>
        <v>2</v>
      </c>
      <c r="D155" s="23">
        <f>COUNTIF('OBO_Cleaned Data'!AVK:AVK,"1")</f>
        <v>1</v>
      </c>
      <c r="E155" s="23">
        <f>COUNTIF('OBO_Cleaned Data'!AVL:AVL,"1")</f>
        <v>0</v>
      </c>
      <c r="F155" s="23">
        <f>COUNTIF('OBO_Cleaned Data'!AVM:AVM,"1")</f>
        <v>0</v>
      </c>
      <c r="G155" s="23">
        <f>COUNTIF('OBO_Cleaned Data'!AVN:AVN,"1")</f>
        <v>1</v>
      </c>
      <c r="H155" s="23">
        <f>COUNTIF('OBO_Cleaned Data'!AVO:AVO,"1")</f>
        <v>0</v>
      </c>
      <c r="I155" s="23">
        <f>COUNTIF('OBO_Cleaned Data'!AVP:AVP,"1")</f>
        <v>0</v>
      </c>
      <c r="J155"/>
      <c r="K155" s="22"/>
      <c r="L155" s="22"/>
      <c r="M155" s="22"/>
    </row>
    <row r="156" spans="1:13" x14ac:dyDescent="0.3">
      <c r="I156" s="73"/>
    </row>
  </sheetData>
  <conditionalFormatting sqref="C35:F35">
    <cfRule type="colorScale" priority="33">
      <colorScale>
        <cfvo type="min"/>
        <cfvo type="max"/>
        <color theme="6" tint="0.79998168889431442"/>
        <color theme="5" tint="0.39997558519241921"/>
      </colorScale>
    </cfRule>
  </conditionalFormatting>
  <conditionalFormatting sqref="C40:M40">
    <cfRule type="colorScale" priority="32">
      <colorScale>
        <cfvo type="min"/>
        <cfvo type="max"/>
        <color theme="6" tint="0.79998168889431442"/>
        <color theme="5" tint="0.39997558519241921"/>
      </colorScale>
    </cfRule>
  </conditionalFormatting>
  <conditionalFormatting sqref="B61:J61">
    <cfRule type="colorScale" priority="31">
      <colorScale>
        <cfvo type="min"/>
        <cfvo type="max"/>
        <color theme="6" tint="0.79998168889431442"/>
        <color theme="5" tint="0.39997558519241921"/>
      </colorScale>
    </cfRule>
  </conditionalFormatting>
  <conditionalFormatting sqref="B68:E68 C66:H66">
    <cfRule type="colorScale" priority="30">
      <colorScale>
        <cfvo type="min"/>
        <cfvo type="max"/>
        <color theme="6" tint="0.79998168889431442"/>
        <color theme="5" tint="0.39997558519241921"/>
      </colorScale>
    </cfRule>
  </conditionalFormatting>
  <conditionalFormatting sqref="B68:G68 C66:H66">
    <cfRule type="colorScale" priority="29">
      <colorScale>
        <cfvo type="min"/>
        <cfvo type="max"/>
        <color theme="6" tint="0.79998168889431442"/>
        <color theme="5" tint="0.39997558519241921"/>
      </colorScale>
    </cfRule>
  </conditionalFormatting>
  <conditionalFormatting sqref="B76:I76">
    <cfRule type="colorScale" priority="28">
      <colorScale>
        <cfvo type="min"/>
        <cfvo type="max"/>
        <color theme="6" tint="0.79998168889431442"/>
        <color theme="5" tint="0.39997558519241921"/>
      </colorScale>
    </cfRule>
  </conditionalFormatting>
  <conditionalFormatting sqref="C81:F81">
    <cfRule type="colorScale" priority="27">
      <colorScale>
        <cfvo type="min"/>
        <cfvo type="max"/>
        <color theme="6" tint="0.79998168889431442"/>
        <color theme="5" tint="0.39997558519241921"/>
      </colorScale>
    </cfRule>
  </conditionalFormatting>
  <conditionalFormatting sqref="C81:H81">
    <cfRule type="colorScale" priority="26">
      <colorScale>
        <cfvo type="min"/>
        <cfvo type="max"/>
        <color theme="6" tint="0.79998168889431442"/>
        <color theme="5" tint="0.39997558519241921"/>
      </colorScale>
    </cfRule>
  </conditionalFormatting>
  <conditionalFormatting sqref="C97:F97">
    <cfRule type="colorScale" priority="25">
      <colorScale>
        <cfvo type="min"/>
        <cfvo type="max"/>
        <color theme="6" tint="0.79998168889431442"/>
        <color theme="5" tint="0.39997558519241921"/>
      </colorScale>
    </cfRule>
  </conditionalFormatting>
  <conditionalFormatting sqref="C102:I102">
    <cfRule type="colorScale" priority="24">
      <colorScale>
        <cfvo type="min"/>
        <cfvo type="max"/>
        <color theme="6" tint="0.79998168889431442"/>
        <color theme="5" tint="0.39997558519241921"/>
      </colorScale>
    </cfRule>
  </conditionalFormatting>
  <conditionalFormatting sqref="B55:L55">
    <cfRule type="colorScale" priority="23">
      <colorScale>
        <cfvo type="min"/>
        <cfvo type="max"/>
        <color theme="6" tint="0.79998168889431442"/>
        <color theme="5" tint="0.39997558519241921"/>
      </colorScale>
    </cfRule>
  </conditionalFormatting>
  <conditionalFormatting sqref="B127:H127">
    <cfRule type="colorScale" priority="22">
      <colorScale>
        <cfvo type="min"/>
        <cfvo type="max"/>
        <color theme="6" tint="0.79998168889431442"/>
        <color theme="5" tint="0.39997558519241921"/>
      </colorScale>
    </cfRule>
  </conditionalFormatting>
  <conditionalFormatting sqref="B137:F137">
    <cfRule type="colorScale" priority="21">
      <colorScale>
        <cfvo type="min"/>
        <cfvo type="max"/>
        <color theme="6" tint="0.79998168889431442"/>
        <color theme="5" tint="0.39997558519241921"/>
      </colorScale>
    </cfRule>
  </conditionalFormatting>
  <conditionalFormatting sqref="A146:L146">
    <cfRule type="colorScale" priority="20">
      <colorScale>
        <cfvo type="min"/>
        <cfvo type="max"/>
        <color theme="6" tint="0.79998168889431442"/>
        <color theme="5" tint="0.39997558519241921"/>
      </colorScale>
    </cfRule>
  </conditionalFormatting>
  <conditionalFormatting sqref="A142:P143">
    <cfRule type="colorScale" priority="19">
      <colorScale>
        <cfvo type="min"/>
        <cfvo type="max"/>
        <color theme="6" tint="0.79998168889431442"/>
        <color theme="5" tint="0.39997558519241921"/>
      </colorScale>
    </cfRule>
  </conditionalFormatting>
  <conditionalFormatting sqref="A155:I155">
    <cfRule type="colorScale" priority="18">
      <colorScale>
        <cfvo type="min"/>
        <cfvo type="max"/>
        <color theme="6" tint="0.79998168889431442"/>
        <color theme="5" tint="0.39997558519241921"/>
      </colorScale>
    </cfRule>
  </conditionalFormatting>
  <conditionalFormatting sqref="B7:D7">
    <cfRule type="colorScale" priority="17">
      <colorScale>
        <cfvo type="min"/>
        <cfvo type="max"/>
        <color theme="6" tint="0.79998168889431442"/>
        <color theme="5" tint="0.39997558519241921"/>
      </colorScale>
    </cfRule>
  </conditionalFormatting>
  <conditionalFormatting sqref="B12:C12">
    <cfRule type="colorScale" priority="16">
      <colorScale>
        <cfvo type="min"/>
        <cfvo type="max"/>
        <color theme="6" tint="0.79998168889431442"/>
        <color theme="5" tint="0.39997558519241921"/>
      </colorScale>
    </cfRule>
  </conditionalFormatting>
  <conditionalFormatting sqref="C17:D17">
    <cfRule type="colorScale" priority="15">
      <colorScale>
        <cfvo type="min"/>
        <cfvo type="max"/>
        <color theme="6" tint="0.79998168889431442"/>
        <color theme="5" tint="0.39997558519241921"/>
      </colorScale>
    </cfRule>
  </conditionalFormatting>
  <conditionalFormatting sqref="B22:I22">
    <cfRule type="colorScale" priority="14">
      <colorScale>
        <cfvo type="min"/>
        <cfvo type="max"/>
        <color theme="6" tint="0.79998168889431442"/>
        <color theme="5" tint="0.39997558519241921"/>
      </colorScale>
    </cfRule>
  </conditionalFormatting>
  <conditionalFormatting sqref="B30:C30">
    <cfRule type="colorScale" priority="13">
      <colorScale>
        <cfvo type="min"/>
        <cfvo type="max"/>
        <color theme="6" tint="0.79998168889431442"/>
        <color theme="5" tint="0.39997558519241921"/>
      </colorScale>
    </cfRule>
  </conditionalFormatting>
  <conditionalFormatting sqref="B50:C50">
    <cfRule type="colorScale" priority="12">
      <colorScale>
        <cfvo type="min"/>
        <cfvo type="max"/>
        <color theme="6" tint="0.79998168889431442"/>
        <color theme="5" tint="0.39997558519241921"/>
      </colorScale>
    </cfRule>
  </conditionalFormatting>
  <conditionalFormatting sqref="C71:F71">
    <cfRule type="colorScale" priority="11">
      <colorScale>
        <cfvo type="min"/>
        <cfvo type="max"/>
        <color theme="6" tint="0.79998168889431442"/>
        <color theme="5" tint="0.39997558519241921"/>
      </colorScale>
    </cfRule>
  </conditionalFormatting>
  <conditionalFormatting sqref="C71:G71">
    <cfRule type="colorScale" priority="10">
      <colorScale>
        <cfvo type="min"/>
        <cfvo type="max"/>
        <color theme="6" tint="0.79998168889431442"/>
        <color theme="5" tint="0.39997558519241921"/>
      </colorScale>
    </cfRule>
  </conditionalFormatting>
  <conditionalFormatting sqref="C86:F86">
    <cfRule type="colorScale" priority="9">
      <colorScale>
        <cfvo type="min"/>
        <cfvo type="max"/>
        <color theme="6" tint="0.79998168889431442"/>
        <color theme="5" tint="0.39997558519241921"/>
      </colorScale>
    </cfRule>
  </conditionalFormatting>
  <conditionalFormatting sqref="C86:G86">
    <cfRule type="colorScale" priority="8">
      <colorScale>
        <cfvo type="min"/>
        <cfvo type="max"/>
        <color theme="6" tint="0.79998168889431442"/>
        <color theme="5" tint="0.39997558519241921"/>
      </colorScale>
    </cfRule>
  </conditionalFormatting>
  <conditionalFormatting sqref="B92:C92">
    <cfRule type="colorScale" priority="7">
      <colorScale>
        <cfvo type="min"/>
        <cfvo type="max"/>
        <color theme="6" tint="0.79998168889431442"/>
        <color theme="5" tint="0.39997558519241921"/>
      </colorScale>
    </cfRule>
  </conditionalFormatting>
  <conditionalFormatting sqref="B92:C92">
    <cfRule type="colorScale" priority="6">
      <colorScale>
        <cfvo type="min"/>
        <cfvo type="max"/>
        <color theme="6" tint="0.79998168889431442"/>
        <color theme="5" tint="0.39997558519241921"/>
      </colorScale>
    </cfRule>
  </conditionalFormatting>
  <conditionalFormatting sqref="B113:G113">
    <cfRule type="colorScale" priority="5">
      <colorScale>
        <cfvo type="min"/>
        <cfvo type="max"/>
        <color theme="6" tint="0.79998168889431442"/>
        <color theme="5" tint="0.39997558519241921"/>
      </colorScale>
    </cfRule>
  </conditionalFormatting>
  <conditionalFormatting sqref="B132:C132">
    <cfRule type="colorScale" priority="4">
      <colorScale>
        <cfvo type="min"/>
        <cfvo type="max"/>
        <color theme="6" tint="0.79998168889431442"/>
        <color theme="5" tint="0.39997558519241921"/>
      </colorScale>
    </cfRule>
  </conditionalFormatting>
  <conditionalFormatting sqref="B150:C150">
    <cfRule type="colorScale" priority="3">
      <colorScale>
        <cfvo type="min"/>
        <cfvo type="max"/>
        <color theme="6" tint="0.79998168889431442"/>
        <color theme="5" tint="0.39997558519241921"/>
      </colorScale>
    </cfRule>
  </conditionalFormatting>
  <conditionalFormatting sqref="C45:K45">
    <cfRule type="colorScale" priority="2">
      <colorScale>
        <cfvo type="min"/>
        <cfvo type="max"/>
        <color theme="6" tint="0.79998168889431442"/>
        <color theme="5" tint="0.39997558519241921"/>
      </colorScale>
    </cfRule>
  </conditionalFormatting>
  <conditionalFormatting sqref="C107:I107">
    <cfRule type="colorScale" priority="1">
      <colorScale>
        <cfvo type="min"/>
        <cfvo type="max"/>
        <color theme="6" tint="0.79998168889431442"/>
        <color theme="5" tint="0.39997558519241921"/>
      </colorScale>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8"/>
  <sheetViews>
    <sheetView topLeftCell="A43" workbookViewId="0">
      <selection activeCell="A72" sqref="A72:F72"/>
    </sheetView>
  </sheetViews>
  <sheetFormatPr defaultRowHeight="14" x14ac:dyDescent="0.3"/>
  <cols>
    <col min="1" max="1" width="32.54296875" style="55" customWidth="1"/>
    <col min="2" max="2" width="32.26953125" style="55" customWidth="1"/>
    <col min="3" max="3" width="22.90625" style="153" customWidth="1"/>
    <col min="4" max="4" width="18.54296875" style="153" customWidth="1"/>
    <col min="5" max="5" width="32.7265625" style="55" customWidth="1"/>
    <col min="6" max="6" width="18" style="55" customWidth="1"/>
    <col min="7" max="16384" width="8.7265625" style="1"/>
  </cols>
  <sheetData>
    <row r="1" spans="1:6" ht="42" x14ac:dyDescent="0.3">
      <c r="A1" s="139" t="s">
        <v>2768</v>
      </c>
      <c r="B1" s="140" t="s">
        <v>2769</v>
      </c>
      <c r="C1" s="140" t="s">
        <v>2770</v>
      </c>
      <c r="D1" s="140" t="s">
        <v>2771</v>
      </c>
      <c r="E1" s="140" t="s">
        <v>2772</v>
      </c>
      <c r="F1" s="140" t="s">
        <v>2773</v>
      </c>
    </row>
    <row r="2" spans="1:6" x14ac:dyDescent="0.3">
      <c r="A2" s="172" t="s">
        <v>2774</v>
      </c>
      <c r="B2" s="173"/>
      <c r="C2" s="173"/>
      <c r="D2" s="173"/>
      <c r="E2" s="173"/>
      <c r="F2" s="174"/>
    </row>
    <row r="3" spans="1:6" s="91" customFormat="1" x14ac:dyDescent="0.3">
      <c r="A3" s="3" t="s">
        <v>33</v>
      </c>
      <c r="B3" s="3" t="s">
        <v>2075</v>
      </c>
      <c r="C3" s="141">
        <v>2500</v>
      </c>
      <c r="D3" s="141" t="s">
        <v>2775</v>
      </c>
      <c r="E3" s="42" t="s">
        <v>2776</v>
      </c>
      <c r="F3" s="42" t="s">
        <v>1912</v>
      </c>
    </row>
    <row r="4" spans="1:6" s="91" customFormat="1" x14ac:dyDescent="0.3">
      <c r="A4" s="3" t="s">
        <v>33</v>
      </c>
      <c r="B4" s="3" t="s">
        <v>2142</v>
      </c>
      <c r="C4" s="141">
        <v>2000</v>
      </c>
      <c r="D4" s="141" t="s">
        <v>2775</v>
      </c>
      <c r="E4" s="42" t="s">
        <v>2776</v>
      </c>
      <c r="F4" s="42" t="s">
        <v>2777</v>
      </c>
    </row>
    <row r="5" spans="1:6" s="91" customFormat="1" x14ac:dyDescent="0.3">
      <c r="A5" s="3" t="s">
        <v>70</v>
      </c>
      <c r="B5" s="3" t="s">
        <v>2176</v>
      </c>
      <c r="C5" s="141" t="s">
        <v>1153</v>
      </c>
      <c r="D5" s="141" t="s">
        <v>1979</v>
      </c>
      <c r="E5" s="42" t="s">
        <v>2778</v>
      </c>
      <c r="F5" s="42" t="s">
        <v>2777</v>
      </c>
    </row>
    <row r="6" spans="1:6" s="91" customFormat="1" x14ac:dyDescent="0.3">
      <c r="A6" s="3" t="s">
        <v>70</v>
      </c>
      <c r="B6" s="3" t="s">
        <v>2188</v>
      </c>
      <c r="C6" s="141" t="s">
        <v>1153</v>
      </c>
      <c r="D6" s="141" t="s">
        <v>1979</v>
      </c>
      <c r="E6" s="42" t="s">
        <v>2778</v>
      </c>
      <c r="F6" s="42" t="s">
        <v>2777</v>
      </c>
    </row>
    <row r="7" spans="1:6" s="91" customFormat="1" x14ac:dyDescent="0.3">
      <c r="A7" s="3" t="s">
        <v>71</v>
      </c>
      <c r="B7" s="3" t="s">
        <v>2176</v>
      </c>
      <c r="C7" s="142" t="s">
        <v>2779</v>
      </c>
      <c r="D7" s="141" t="s">
        <v>2775</v>
      </c>
      <c r="E7" s="42" t="s">
        <v>2778</v>
      </c>
      <c r="F7" s="42" t="s">
        <v>2777</v>
      </c>
    </row>
    <row r="8" spans="1:6" s="91" customFormat="1" x14ac:dyDescent="0.3">
      <c r="A8" s="3" t="s">
        <v>71</v>
      </c>
      <c r="B8" s="3" t="s">
        <v>2188</v>
      </c>
      <c r="C8" s="142" t="s">
        <v>2780</v>
      </c>
      <c r="D8" s="141" t="s">
        <v>2775</v>
      </c>
      <c r="E8" s="42" t="s">
        <v>2778</v>
      </c>
      <c r="F8" s="42" t="s">
        <v>2777</v>
      </c>
    </row>
    <row r="9" spans="1:6" s="91" customFormat="1" x14ac:dyDescent="0.3">
      <c r="A9" s="3" t="s">
        <v>102</v>
      </c>
      <c r="B9" s="3" t="s">
        <v>2075</v>
      </c>
      <c r="C9" s="141" t="s">
        <v>1153</v>
      </c>
      <c r="D9" s="143" t="s">
        <v>2224</v>
      </c>
      <c r="E9" s="42" t="s">
        <v>2778</v>
      </c>
      <c r="F9" s="42" t="s">
        <v>2777</v>
      </c>
    </row>
    <row r="10" spans="1:6" s="91" customFormat="1" x14ac:dyDescent="0.3">
      <c r="A10" s="3" t="s">
        <v>102</v>
      </c>
      <c r="B10" s="3" t="s">
        <v>2092</v>
      </c>
      <c r="C10" s="141" t="s">
        <v>1153</v>
      </c>
      <c r="D10" s="143" t="s">
        <v>2224</v>
      </c>
      <c r="E10" s="42" t="s">
        <v>2778</v>
      </c>
      <c r="F10" s="42" t="s">
        <v>2777</v>
      </c>
    </row>
    <row r="11" spans="1:6" s="91" customFormat="1" x14ac:dyDescent="0.3">
      <c r="A11" s="3" t="s">
        <v>104</v>
      </c>
      <c r="B11" s="3" t="s">
        <v>2075</v>
      </c>
      <c r="C11" s="141">
        <v>0</v>
      </c>
      <c r="D11" s="141">
        <v>1</v>
      </c>
      <c r="E11" s="42" t="s">
        <v>2778</v>
      </c>
      <c r="F11" s="42" t="s">
        <v>2777</v>
      </c>
    </row>
    <row r="12" spans="1:6" s="91" customFormat="1" x14ac:dyDescent="0.3">
      <c r="A12" s="3" t="s">
        <v>104</v>
      </c>
      <c r="B12" s="3" t="s">
        <v>2092</v>
      </c>
      <c r="C12" s="141">
        <v>0</v>
      </c>
      <c r="D12" s="141">
        <v>1</v>
      </c>
      <c r="E12" s="42" t="s">
        <v>2778</v>
      </c>
      <c r="F12" s="42" t="s">
        <v>2777</v>
      </c>
    </row>
    <row r="13" spans="1:6" s="91" customFormat="1" x14ac:dyDescent="0.3">
      <c r="A13" s="3" t="s">
        <v>107</v>
      </c>
      <c r="B13" s="3" t="s">
        <v>2075</v>
      </c>
      <c r="C13" s="141">
        <v>1</v>
      </c>
      <c r="D13" s="141">
        <v>0</v>
      </c>
      <c r="E13" s="42" t="s">
        <v>2778</v>
      </c>
      <c r="F13" s="42" t="s">
        <v>2777</v>
      </c>
    </row>
    <row r="14" spans="1:6" s="91" customFormat="1" x14ac:dyDescent="0.3">
      <c r="A14" s="3" t="s">
        <v>107</v>
      </c>
      <c r="B14" s="3" t="s">
        <v>2092</v>
      </c>
      <c r="C14" s="141">
        <v>1</v>
      </c>
      <c r="D14" s="141">
        <v>0</v>
      </c>
      <c r="E14" s="42" t="s">
        <v>2778</v>
      </c>
      <c r="F14" s="42" t="s">
        <v>2777</v>
      </c>
    </row>
    <row r="15" spans="1:6" s="91" customFormat="1" x14ac:dyDescent="0.3">
      <c r="A15" s="3" t="s">
        <v>108</v>
      </c>
      <c r="B15" s="3" t="s">
        <v>2075</v>
      </c>
      <c r="C15" s="142" t="s">
        <v>2781</v>
      </c>
      <c r="D15" s="141" t="s">
        <v>2775</v>
      </c>
      <c r="E15" s="42" t="s">
        <v>2778</v>
      </c>
      <c r="F15" s="42" t="s">
        <v>2777</v>
      </c>
    </row>
    <row r="16" spans="1:6" s="91" customFormat="1" x14ac:dyDescent="0.3">
      <c r="A16" s="3" t="s">
        <v>108</v>
      </c>
      <c r="B16" s="3" t="s">
        <v>2092</v>
      </c>
      <c r="C16" s="142" t="s">
        <v>2782</v>
      </c>
      <c r="D16" s="141" t="s">
        <v>2775</v>
      </c>
      <c r="E16" s="42" t="s">
        <v>2778</v>
      </c>
      <c r="F16" s="42" t="s">
        <v>2777</v>
      </c>
    </row>
    <row r="17" spans="1:6" s="91" customFormat="1" x14ac:dyDescent="0.3">
      <c r="A17" s="3" t="s">
        <v>109</v>
      </c>
      <c r="B17" s="3" t="s">
        <v>2142</v>
      </c>
      <c r="C17" s="141" t="s">
        <v>1153</v>
      </c>
      <c r="D17" s="141" t="s">
        <v>1161</v>
      </c>
      <c r="E17" s="42" t="s">
        <v>2783</v>
      </c>
      <c r="F17" s="42" t="s">
        <v>2777</v>
      </c>
    </row>
    <row r="18" spans="1:6" s="91" customFormat="1" x14ac:dyDescent="0.3">
      <c r="A18" s="3" t="s">
        <v>113</v>
      </c>
      <c r="B18" s="3" t="s">
        <v>2142</v>
      </c>
      <c r="C18" s="141">
        <v>1</v>
      </c>
      <c r="D18" s="141">
        <v>0</v>
      </c>
      <c r="E18" s="42" t="s">
        <v>2783</v>
      </c>
      <c r="F18" s="42" t="s">
        <v>2777</v>
      </c>
    </row>
    <row r="19" spans="1:6" s="91" customFormat="1" x14ac:dyDescent="0.3">
      <c r="A19" s="3" t="s">
        <v>112</v>
      </c>
      <c r="B19" s="3" t="s">
        <v>2142</v>
      </c>
      <c r="C19" s="141">
        <v>0</v>
      </c>
      <c r="D19" s="141">
        <v>1</v>
      </c>
      <c r="E19" s="42" t="s">
        <v>2783</v>
      </c>
      <c r="F19" s="42" t="s">
        <v>2777</v>
      </c>
    </row>
    <row r="20" spans="1:6" s="91" customFormat="1" x14ac:dyDescent="0.3">
      <c r="A20" s="3" t="s">
        <v>115</v>
      </c>
      <c r="B20" s="3" t="s">
        <v>2142</v>
      </c>
      <c r="C20" s="142" t="s">
        <v>2784</v>
      </c>
      <c r="D20" s="141" t="s">
        <v>2775</v>
      </c>
      <c r="E20" s="42" t="s">
        <v>2783</v>
      </c>
      <c r="F20" s="42" t="s">
        <v>2777</v>
      </c>
    </row>
    <row r="21" spans="1:6" s="91" customFormat="1" x14ac:dyDescent="0.3">
      <c r="A21" s="3" t="s">
        <v>109</v>
      </c>
      <c r="B21" s="3" t="s">
        <v>2181</v>
      </c>
      <c r="C21" s="141" t="s">
        <v>1153</v>
      </c>
      <c r="D21" s="141" t="s">
        <v>1385</v>
      </c>
      <c r="E21" s="42" t="s">
        <v>2778</v>
      </c>
      <c r="F21" s="42" t="s">
        <v>2777</v>
      </c>
    </row>
    <row r="22" spans="1:6" s="91" customFormat="1" x14ac:dyDescent="0.3">
      <c r="A22" s="3" t="s">
        <v>110</v>
      </c>
      <c r="B22" s="3" t="s">
        <v>2181</v>
      </c>
      <c r="C22" s="141">
        <v>0</v>
      </c>
      <c r="D22" s="141">
        <v>1</v>
      </c>
      <c r="E22" s="42" t="s">
        <v>2778</v>
      </c>
      <c r="F22" s="42" t="s">
        <v>2777</v>
      </c>
    </row>
    <row r="23" spans="1:6" s="91" customFormat="1" x14ac:dyDescent="0.3">
      <c r="A23" s="3" t="s">
        <v>113</v>
      </c>
      <c r="B23" s="3" t="s">
        <v>2181</v>
      </c>
      <c r="C23" s="141">
        <v>1</v>
      </c>
      <c r="D23" s="141">
        <v>0</v>
      </c>
      <c r="E23" s="42" t="s">
        <v>2778</v>
      </c>
      <c r="F23" s="42" t="s">
        <v>2777</v>
      </c>
    </row>
    <row r="24" spans="1:6" s="91" customFormat="1" x14ac:dyDescent="0.3">
      <c r="A24" s="3" t="s">
        <v>115</v>
      </c>
      <c r="B24" s="3" t="s">
        <v>2181</v>
      </c>
      <c r="C24" s="142" t="s">
        <v>2185</v>
      </c>
      <c r="D24" s="141"/>
      <c r="E24" s="42" t="s">
        <v>2785</v>
      </c>
      <c r="F24" s="42" t="s">
        <v>1671</v>
      </c>
    </row>
    <row r="25" spans="1:6" s="91" customFormat="1" x14ac:dyDescent="0.3">
      <c r="A25" s="3" t="s">
        <v>109</v>
      </c>
      <c r="B25" s="3" t="s">
        <v>2116</v>
      </c>
      <c r="C25" s="141" t="s">
        <v>1153</v>
      </c>
      <c r="D25" s="141" t="s">
        <v>2786</v>
      </c>
      <c r="E25" s="42" t="s">
        <v>2778</v>
      </c>
      <c r="F25" s="42" t="s">
        <v>2777</v>
      </c>
    </row>
    <row r="26" spans="1:6" s="91" customFormat="1" x14ac:dyDescent="0.3">
      <c r="A26" s="3" t="s">
        <v>111</v>
      </c>
      <c r="B26" s="3" t="s">
        <v>2116</v>
      </c>
      <c r="C26" s="141">
        <v>0</v>
      </c>
      <c r="D26" s="141">
        <v>1</v>
      </c>
      <c r="E26" s="42" t="s">
        <v>2778</v>
      </c>
      <c r="F26" s="42" t="s">
        <v>2777</v>
      </c>
    </row>
    <row r="27" spans="1:6" s="91" customFormat="1" x14ac:dyDescent="0.3">
      <c r="A27" s="3" t="s">
        <v>113</v>
      </c>
      <c r="B27" s="3" t="s">
        <v>2116</v>
      </c>
      <c r="C27" s="141">
        <v>1</v>
      </c>
      <c r="D27" s="141">
        <v>0</v>
      </c>
      <c r="E27" s="42" t="s">
        <v>2778</v>
      </c>
      <c r="F27" s="42" t="s">
        <v>2777</v>
      </c>
    </row>
    <row r="28" spans="1:6" s="91" customFormat="1" x14ac:dyDescent="0.3">
      <c r="A28" s="3" t="s">
        <v>115</v>
      </c>
      <c r="B28" s="3" t="s">
        <v>2116</v>
      </c>
      <c r="C28" s="142" t="s">
        <v>2119</v>
      </c>
      <c r="D28" s="141"/>
      <c r="E28" s="42" t="s">
        <v>2785</v>
      </c>
      <c r="F28" s="42" t="s">
        <v>1671</v>
      </c>
    </row>
    <row r="29" spans="1:6" s="91" customFormat="1" x14ac:dyDescent="0.3">
      <c r="A29" s="3" t="s">
        <v>677</v>
      </c>
      <c r="B29" s="3" t="s">
        <v>2100</v>
      </c>
      <c r="C29" s="142" t="s">
        <v>2787</v>
      </c>
      <c r="D29" s="141" t="s">
        <v>2775</v>
      </c>
      <c r="E29" s="42" t="s">
        <v>2788</v>
      </c>
      <c r="F29" s="42" t="s">
        <v>2777</v>
      </c>
    </row>
    <row r="30" spans="1:6" s="91" customFormat="1" x14ac:dyDescent="0.3">
      <c r="A30" s="3" t="s">
        <v>677</v>
      </c>
      <c r="B30" s="3" t="s">
        <v>2192</v>
      </c>
      <c r="C30" s="142" t="s">
        <v>2789</v>
      </c>
      <c r="D30" s="141" t="s">
        <v>2775</v>
      </c>
      <c r="E30" s="42" t="s">
        <v>2788</v>
      </c>
      <c r="F30" s="42" t="s">
        <v>2777</v>
      </c>
    </row>
    <row r="31" spans="1:6" s="91" customFormat="1" x14ac:dyDescent="0.3">
      <c r="A31" s="3" t="s">
        <v>677</v>
      </c>
      <c r="B31" s="3" t="s">
        <v>2230</v>
      </c>
      <c r="C31" s="142" t="s">
        <v>2790</v>
      </c>
      <c r="D31" s="141" t="s">
        <v>2775</v>
      </c>
      <c r="E31" s="42" t="s">
        <v>2788</v>
      </c>
      <c r="F31" s="42" t="s">
        <v>2777</v>
      </c>
    </row>
    <row r="32" spans="1:6" s="91" customFormat="1" x14ac:dyDescent="0.3">
      <c r="A32" s="3" t="s">
        <v>678</v>
      </c>
      <c r="B32" s="3" t="s">
        <v>2230</v>
      </c>
      <c r="C32" s="141">
        <v>366</v>
      </c>
      <c r="D32" s="141" t="s">
        <v>1161</v>
      </c>
      <c r="E32" s="42" t="s">
        <v>2778</v>
      </c>
      <c r="F32" s="42" t="s">
        <v>1912</v>
      </c>
    </row>
    <row r="33" spans="1:7" s="91" customFormat="1" x14ac:dyDescent="0.3">
      <c r="A33" s="144" t="s">
        <v>790</v>
      </c>
      <c r="B33" s="144" t="s">
        <v>2100</v>
      </c>
      <c r="C33" s="145">
        <v>10000</v>
      </c>
      <c r="D33" s="146"/>
      <c r="E33" s="147" t="s">
        <v>2791</v>
      </c>
      <c r="F33" s="147" t="s">
        <v>1671</v>
      </c>
    </row>
    <row r="34" spans="1:7" s="91" customFormat="1" x14ac:dyDescent="0.3">
      <c r="A34" s="3" t="s">
        <v>822</v>
      </c>
      <c r="B34" s="3" t="s">
        <v>2192</v>
      </c>
      <c r="C34" s="141" t="s">
        <v>1153</v>
      </c>
      <c r="D34" s="141" t="s">
        <v>1161</v>
      </c>
      <c r="E34" s="42" t="s">
        <v>2783</v>
      </c>
      <c r="F34" s="42" t="s">
        <v>2777</v>
      </c>
    </row>
    <row r="35" spans="1:7" s="91" customFormat="1" x14ac:dyDescent="0.3">
      <c r="A35" s="3" t="s">
        <v>826</v>
      </c>
      <c r="B35" s="3" t="s">
        <v>2192</v>
      </c>
      <c r="C35" s="141">
        <v>1</v>
      </c>
      <c r="D35" s="141">
        <v>0</v>
      </c>
      <c r="E35" s="42" t="s">
        <v>2783</v>
      </c>
      <c r="F35" s="42" t="s">
        <v>2777</v>
      </c>
    </row>
    <row r="36" spans="1:7" s="91" customFormat="1" x14ac:dyDescent="0.3">
      <c r="A36" s="3" t="s">
        <v>825</v>
      </c>
      <c r="B36" s="3" t="s">
        <v>2192</v>
      </c>
      <c r="C36" s="141">
        <v>0</v>
      </c>
      <c r="D36" s="141">
        <v>1</v>
      </c>
      <c r="E36" s="42" t="s">
        <v>2783</v>
      </c>
      <c r="F36" s="42" t="s">
        <v>2777</v>
      </c>
    </row>
    <row r="37" spans="1:7" s="91" customFormat="1" x14ac:dyDescent="0.3">
      <c r="A37" s="3" t="s">
        <v>828</v>
      </c>
      <c r="B37" s="3" t="s">
        <v>2192</v>
      </c>
      <c r="C37" s="142" t="s">
        <v>2792</v>
      </c>
      <c r="D37" s="141" t="s">
        <v>2775</v>
      </c>
      <c r="E37" s="42" t="s">
        <v>2783</v>
      </c>
      <c r="F37" s="42" t="s">
        <v>2777</v>
      </c>
    </row>
    <row r="38" spans="1:7" s="91" customFormat="1" x14ac:dyDescent="0.3">
      <c r="A38" s="144" t="s">
        <v>404</v>
      </c>
      <c r="B38" s="144" t="s">
        <v>2284</v>
      </c>
      <c r="C38" s="146">
        <v>11</v>
      </c>
      <c r="D38" s="146" t="s">
        <v>2775</v>
      </c>
      <c r="E38" s="147" t="s">
        <v>2776</v>
      </c>
      <c r="F38" s="147" t="s">
        <v>2777</v>
      </c>
    </row>
    <row r="39" spans="1:7" s="91" customFormat="1" x14ac:dyDescent="0.3">
      <c r="A39" s="3" t="s">
        <v>463</v>
      </c>
      <c r="B39" s="3" t="s">
        <v>2258</v>
      </c>
      <c r="C39" s="141">
        <v>999</v>
      </c>
      <c r="D39" s="141" t="s">
        <v>1161</v>
      </c>
      <c r="E39" s="42" t="s">
        <v>2793</v>
      </c>
      <c r="F39" s="42" t="s">
        <v>2777</v>
      </c>
    </row>
    <row r="40" spans="1:7" s="91" customFormat="1" x14ac:dyDescent="0.3">
      <c r="A40" s="3" t="s">
        <v>464</v>
      </c>
      <c r="B40" s="3" t="s">
        <v>2258</v>
      </c>
      <c r="C40" s="141">
        <v>999</v>
      </c>
      <c r="D40" s="141" t="s">
        <v>1161</v>
      </c>
      <c r="E40" s="42" t="s">
        <v>2793</v>
      </c>
      <c r="F40" s="42" t="s">
        <v>2777</v>
      </c>
    </row>
    <row r="41" spans="1:7" s="91" customFormat="1" x14ac:dyDescent="0.3">
      <c r="A41" s="3" t="s">
        <v>465</v>
      </c>
      <c r="B41" s="3" t="s">
        <v>2258</v>
      </c>
      <c r="C41" s="141">
        <v>999</v>
      </c>
      <c r="D41" s="141" t="s">
        <v>1161</v>
      </c>
      <c r="E41" s="42" t="s">
        <v>2793</v>
      </c>
      <c r="F41" s="42" t="s">
        <v>2777</v>
      </c>
    </row>
    <row r="42" spans="1:7" s="91" customFormat="1" x14ac:dyDescent="0.3">
      <c r="A42" s="3" t="s">
        <v>467</v>
      </c>
      <c r="B42" s="3" t="s">
        <v>2258</v>
      </c>
      <c r="C42" s="141">
        <v>999</v>
      </c>
      <c r="D42" s="141" t="s">
        <v>1161</v>
      </c>
      <c r="E42" s="42" t="s">
        <v>2793</v>
      </c>
      <c r="F42" s="42" t="s">
        <v>2777</v>
      </c>
    </row>
    <row r="43" spans="1:7" s="91" customFormat="1" x14ac:dyDescent="0.3">
      <c r="A43" s="3" t="s">
        <v>469</v>
      </c>
      <c r="B43" s="3" t="s">
        <v>2258</v>
      </c>
      <c r="C43" s="141">
        <v>999</v>
      </c>
      <c r="D43" s="141" t="s">
        <v>1161</v>
      </c>
      <c r="E43" s="42" t="s">
        <v>2793</v>
      </c>
      <c r="F43" s="42" t="s">
        <v>2777</v>
      </c>
    </row>
    <row r="44" spans="1:7" s="91" customFormat="1" x14ac:dyDescent="0.3">
      <c r="A44" s="3" t="s">
        <v>511</v>
      </c>
      <c r="B44" s="3" t="s">
        <v>2284</v>
      </c>
      <c r="C44" s="142" t="s">
        <v>2794</v>
      </c>
      <c r="D44" s="142" t="s">
        <v>1385</v>
      </c>
      <c r="E44" s="42" t="s">
        <v>2783</v>
      </c>
      <c r="F44" s="42" t="s">
        <v>2777</v>
      </c>
    </row>
    <row r="45" spans="1:7" s="91" customFormat="1" x14ac:dyDescent="0.3">
      <c r="A45" s="3" t="s">
        <v>515</v>
      </c>
      <c r="B45" s="3" t="s">
        <v>2284</v>
      </c>
      <c r="C45" s="141">
        <v>1</v>
      </c>
      <c r="D45" s="141">
        <v>0</v>
      </c>
      <c r="E45" s="42" t="s">
        <v>2783</v>
      </c>
      <c r="F45" s="42" t="s">
        <v>2777</v>
      </c>
    </row>
    <row r="46" spans="1:7" s="91" customFormat="1" x14ac:dyDescent="0.3">
      <c r="A46" s="3" t="s">
        <v>517</v>
      </c>
      <c r="B46" s="3" t="s">
        <v>2284</v>
      </c>
      <c r="C46" s="142" t="s">
        <v>2795</v>
      </c>
      <c r="D46" s="141" t="s">
        <v>2775</v>
      </c>
      <c r="E46" s="42" t="s">
        <v>2783</v>
      </c>
      <c r="F46" s="42" t="s">
        <v>2777</v>
      </c>
    </row>
    <row r="47" spans="1:7" s="91" customFormat="1" x14ac:dyDescent="0.3">
      <c r="A47" s="144" t="s">
        <v>636</v>
      </c>
      <c r="B47" s="144" t="s">
        <v>2258</v>
      </c>
      <c r="C47" s="146">
        <v>2000</v>
      </c>
      <c r="D47" s="146"/>
      <c r="E47" s="147" t="s">
        <v>2776</v>
      </c>
      <c r="F47" s="147" t="s">
        <v>2777</v>
      </c>
      <c r="G47" s="148"/>
    </row>
    <row r="48" spans="1:7" s="91" customFormat="1" x14ac:dyDescent="0.3">
      <c r="A48" s="144" t="s">
        <v>1562</v>
      </c>
      <c r="B48" s="144" t="s">
        <v>2284</v>
      </c>
      <c r="C48" s="146">
        <v>212</v>
      </c>
      <c r="D48" s="146" t="s">
        <v>2775</v>
      </c>
      <c r="E48" s="147" t="s">
        <v>2778</v>
      </c>
      <c r="F48" s="147" t="s">
        <v>2777</v>
      </c>
      <c r="G48" s="148"/>
    </row>
    <row r="49" spans="1:7" s="149" customFormat="1" x14ac:dyDescent="0.3">
      <c r="A49" s="3" t="s">
        <v>1563</v>
      </c>
      <c r="B49" s="144" t="s">
        <v>2284</v>
      </c>
      <c r="C49" s="146" t="s">
        <v>1153</v>
      </c>
      <c r="D49" s="146" t="s">
        <v>2775</v>
      </c>
      <c r="E49" s="147" t="s">
        <v>2778</v>
      </c>
      <c r="F49" s="147" t="s">
        <v>2777</v>
      </c>
      <c r="G49" s="148"/>
    </row>
    <row r="50" spans="1:7" s="91" customFormat="1" x14ac:dyDescent="0.3">
      <c r="A50" s="3" t="s">
        <v>1564</v>
      </c>
      <c r="B50" s="144" t="s">
        <v>2284</v>
      </c>
      <c r="C50" s="142" t="s">
        <v>2796</v>
      </c>
      <c r="D50" s="141" t="s">
        <v>2775</v>
      </c>
      <c r="E50" s="147" t="s">
        <v>2778</v>
      </c>
      <c r="F50" s="147" t="s">
        <v>2777</v>
      </c>
    </row>
    <row r="51" spans="1:7" s="91" customFormat="1" x14ac:dyDescent="0.3">
      <c r="A51" s="3" t="s">
        <v>677</v>
      </c>
      <c r="B51" s="3" t="s">
        <v>2682</v>
      </c>
      <c r="C51" s="3" t="s">
        <v>2797</v>
      </c>
      <c r="D51" s="141" t="s">
        <v>2775</v>
      </c>
      <c r="E51" s="147" t="s">
        <v>2788</v>
      </c>
      <c r="F51" s="147" t="s">
        <v>1912</v>
      </c>
    </row>
    <row r="52" spans="1:7" s="91" customFormat="1" x14ac:dyDescent="0.3">
      <c r="A52" s="3" t="s">
        <v>677</v>
      </c>
      <c r="B52" s="3" t="s">
        <v>2692</v>
      </c>
      <c r="C52" s="3" t="s">
        <v>2797</v>
      </c>
      <c r="D52" s="141" t="s">
        <v>2775</v>
      </c>
      <c r="E52" s="147" t="s">
        <v>2788</v>
      </c>
      <c r="F52" s="147" t="s">
        <v>1912</v>
      </c>
    </row>
    <row r="53" spans="1:7" s="91" customFormat="1" x14ac:dyDescent="0.3">
      <c r="A53" s="3" t="s">
        <v>677</v>
      </c>
      <c r="B53" s="3" t="s">
        <v>2701</v>
      </c>
      <c r="C53" s="3" t="s">
        <v>2797</v>
      </c>
      <c r="D53" s="141" t="s">
        <v>2775</v>
      </c>
      <c r="E53" s="147" t="s">
        <v>2788</v>
      </c>
      <c r="F53" s="147" t="s">
        <v>1912</v>
      </c>
    </row>
    <row r="54" spans="1:7" s="91" customFormat="1" x14ac:dyDescent="0.3">
      <c r="A54" s="3" t="s">
        <v>677</v>
      </c>
      <c r="B54" s="3" t="s">
        <v>2710</v>
      </c>
      <c r="C54" s="3" t="s">
        <v>2797</v>
      </c>
      <c r="D54" s="141" t="s">
        <v>2775</v>
      </c>
      <c r="E54" s="147" t="s">
        <v>2788</v>
      </c>
      <c r="F54" s="147" t="s">
        <v>1912</v>
      </c>
    </row>
    <row r="55" spans="1:7" s="91" customFormat="1" x14ac:dyDescent="0.3">
      <c r="A55" s="3" t="s">
        <v>677</v>
      </c>
      <c r="B55" s="3" t="s">
        <v>2718</v>
      </c>
      <c r="C55" s="3" t="s">
        <v>2797</v>
      </c>
      <c r="D55" s="141" t="s">
        <v>2775</v>
      </c>
      <c r="E55" s="147" t="s">
        <v>2788</v>
      </c>
      <c r="F55" s="147" t="s">
        <v>1912</v>
      </c>
    </row>
    <row r="56" spans="1:7" s="91" customFormat="1" x14ac:dyDescent="0.3">
      <c r="A56" s="3" t="s">
        <v>677</v>
      </c>
      <c r="B56" s="3" t="s">
        <v>2719</v>
      </c>
      <c r="C56" s="3" t="s">
        <v>2797</v>
      </c>
      <c r="D56" s="141" t="s">
        <v>2775</v>
      </c>
      <c r="E56" s="147" t="s">
        <v>2788</v>
      </c>
      <c r="F56" s="147" t="s">
        <v>1912</v>
      </c>
    </row>
    <row r="57" spans="1:7" s="91" customFormat="1" x14ac:dyDescent="0.3">
      <c r="A57" s="3" t="s">
        <v>677</v>
      </c>
      <c r="B57" s="3" t="s">
        <v>2720</v>
      </c>
      <c r="C57" s="3" t="s">
        <v>2797</v>
      </c>
      <c r="D57" s="141" t="s">
        <v>2775</v>
      </c>
      <c r="E57" s="147" t="s">
        <v>2788</v>
      </c>
      <c r="F57" s="147" t="s">
        <v>1912</v>
      </c>
    </row>
    <row r="58" spans="1:7" s="91" customFormat="1" x14ac:dyDescent="0.3">
      <c r="A58" s="3" t="s">
        <v>710</v>
      </c>
      <c r="B58" s="3" t="s">
        <v>2682</v>
      </c>
      <c r="C58" s="142" t="s">
        <v>1153</v>
      </c>
      <c r="D58" s="3" t="s">
        <v>1948</v>
      </c>
      <c r="E58" s="147" t="s">
        <v>2778</v>
      </c>
      <c r="F58" s="147" t="s">
        <v>2777</v>
      </c>
    </row>
    <row r="59" spans="1:7" s="91" customFormat="1" x14ac:dyDescent="0.3">
      <c r="A59" s="3" t="s">
        <v>711</v>
      </c>
      <c r="B59" s="3" t="s">
        <v>2682</v>
      </c>
      <c r="C59" s="142">
        <v>0</v>
      </c>
      <c r="D59" s="141">
        <v>1</v>
      </c>
      <c r="E59" s="147" t="s">
        <v>2778</v>
      </c>
      <c r="F59" s="147" t="s">
        <v>2777</v>
      </c>
    </row>
    <row r="60" spans="1:7" s="91" customFormat="1" x14ac:dyDescent="0.3">
      <c r="A60" s="3" t="s">
        <v>717</v>
      </c>
      <c r="B60" s="3" t="s">
        <v>2682</v>
      </c>
      <c r="C60" s="142">
        <v>1</v>
      </c>
      <c r="D60" s="141">
        <v>0</v>
      </c>
      <c r="E60" s="147" t="s">
        <v>2778</v>
      </c>
      <c r="F60" s="147" t="s">
        <v>2777</v>
      </c>
    </row>
    <row r="61" spans="1:7" s="91" customFormat="1" x14ac:dyDescent="0.3">
      <c r="A61" s="3" t="s">
        <v>822</v>
      </c>
      <c r="B61" s="3" t="s">
        <v>2718</v>
      </c>
      <c r="C61" s="142" t="s">
        <v>1153</v>
      </c>
      <c r="D61" s="141" t="s">
        <v>1161</v>
      </c>
      <c r="E61" s="42" t="s">
        <v>2783</v>
      </c>
      <c r="F61" s="147" t="s">
        <v>2777</v>
      </c>
    </row>
    <row r="62" spans="1:7" s="91" customFormat="1" x14ac:dyDescent="0.3">
      <c r="A62" s="3" t="s">
        <v>826</v>
      </c>
      <c r="B62" s="3" t="s">
        <v>2718</v>
      </c>
      <c r="C62" s="142">
        <v>1</v>
      </c>
      <c r="D62" s="141">
        <v>0</v>
      </c>
      <c r="E62" s="42" t="s">
        <v>2783</v>
      </c>
      <c r="F62" s="147" t="s">
        <v>2777</v>
      </c>
    </row>
    <row r="63" spans="1:7" s="91" customFormat="1" x14ac:dyDescent="0.3">
      <c r="A63" s="3" t="s">
        <v>825</v>
      </c>
      <c r="B63" s="3" t="s">
        <v>2718</v>
      </c>
      <c r="C63" s="142">
        <v>0</v>
      </c>
      <c r="D63" s="141">
        <v>1</v>
      </c>
      <c r="E63" s="42" t="s">
        <v>2783</v>
      </c>
      <c r="F63" s="147" t="s">
        <v>2777</v>
      </c>
    </row>
    <row r="64" spans="1:7" s="91" customFormat="1" x14ac:dyDescent="0.3">
      <c r="A64" s="3" t="s">
        <v>828</v>
      </c>
      <c r="B64" s="3" t="s">
        <v>2718</v>
      </c>
      <c r="C64" s="3" t="s">
        <v>2798</v>
      </c>
      <c r="D64" s="141" t="s">
        <v>2775</v>
      </c>
      <c r="E64" s="42" t="s">
        <v>2783</v>
      </c>
      <c r="F64" s="147" t="s">
        <v>2777</v>
      </c>
    </row>
    <row r="65" spans="1:6" s="91" customFormat="1" x14ac:dyDescent="0.3">
      <c r="A65" s="3" t="s">
        <v>865</v>
      </c>
      <c r="B65" s="3" t="s">
        <v>2718</v>
      </c>
      <c r="C65" s="142" t="s">
        <v>1153</v>
      </c>
      <c r="D65" s="3" t="s">
        <v>2689</v>
      </c>
      <c r="E65" s="147" t="s">
        <v>2778</v>
      </c>
      <c r="F65" s="147" t="s">
        <v>2777</v>
      </c>
    </row>
    <row r="66" spans="1:6" s="91" customFormat="1" x14ac:dyDescent="0.3">
      <c r="A66" s="3" t="s">
        <v>868</v>
      </c>
      <c r="B66" s="3" t="s">
        <v>2718</v>
      </c>
      <c r="C66" s="142">
        <v>0</v>
      </c>
      <c r="D66" s="141">
        <v>1</v>
      </c>
      <c r="E66" s="147" t="s">
        <v>2778</v>
      </c>
      <c r="F66" s="147" t="s">
        <v>2777</v>
      </c>
    </row>
    <row r="67" spans="1:6" s="91" customFormat="1" x14ac:dyDescent="0.3">
      <c r="A67" s="3" t="s">
        <v>877</v>
      </c>
      <c r="B67" s="3" t="s">
        <v>2718</v>
      </c>
      <c r="C67" s="142">
        <v>1</v>
      </c>
      <c r="D67" s="141">
        <v>0</v>
      </c>
      <c r="E67" s="147" t="s">
        <v>2778</v>
      </c>
      <c r="F67" s="150" t="s">
        <v>2777</v>
      </c>
    </row>
    <row r="68" spans="1:6" s="91" customFormat="1" x14ac:dyDescent="0.3">
      <c r="A68" s="3" t="s">
        <v>710</v>
      </c>
      <c r="B68" s="3" t="s">
        <v>2192</v>
      </c>
      <c r="C68" s="3" t="s">
        <v>2799</v>
      </c>
      <c r="D68" s="3" t="s">
        <v>1948</v>
      </c>
      <c r="E68" s="147" t="s">
        <v>2800</v>
      </c>
      <c r="F68" s="151" t="s">
        <v>2777</v>
      </c>
    </row>
    <row r="69" spans="1:6" s="91" customFormat="1" x14ac:dyDescent="0.3">
      <c r="A69" s="3" t="s">
        <v>717</v>
      </c>
      <c r="B69" s="3" t="s">
        <v>2192</v>
      </c>
      <c r="C69" s="142">
        <v>1</v>
      </c>
      <c r="D69" s="141">
        <v>0</v>
      </c>
      <c r="E69" s="147" t="s">
        <v>2800</v>
      </c>
      <c r="F69" s="151" t="s">
        <v>2777</v>
      </c>
    </row>
    <row r="70" spans="1:6" s="91" customFormat="1" x14ac:dyDescent="0.3">
      <c r="A70" s="3"/>
      <c r="B70" s="144" t="s">
        <v>2718</v>
      </c>
      <c r="C70" s="3"/>
      <c r="D70" s="3" t="s">
        <v>2829</v>
      </c>
      <c r="E70" s="3" t="s">
        <v>2830</v>
      </c>
      <c r="F70" s="3" t="s">
        <v>2777</v>
      </c>
    </row>
    <row r="71" spans="1:6" s="91" customFormat="1" x14ac:dyDescent="0.3">
      <c r="A71" s="3"/>
      <c r="B71" s="144" t="s">
        <v>2719</v>
      </c>
      <c r="C71" s="3"/>
      <c r="D71" s="3" t="s">
        <v>2829</v>
      </c>
      <c r="E71" s="3" t="s">
        <v>2830</v>
      </c>
      <c r="F71" s="3" t="s">
        <v>2777</v>
      </c>
    </row>
    <row r="72" spans="1:6" s="91" customFormat="1" x14ac:dyDescent="0.35">
      <c r="A72" s="172" t="s">
        <v>2801</v>
      </c>
      <c r="B72" s="173"/>
      <c r="C72" s="173"/>
      <c r="D72" s="173"/>
      <c r="E72" s="173"/>
      <c r="F72" s="174"/>
    </row>
    <row r="73" spans="1:6" s="91" customFormat="1" x14ac:dyDescent="0.3">
      <c r="A73" s="3" t="s">
        <v>33</v>
      </c>
      <c r="B73" s="3" t="s">
        <v>2575</v>
      </c>
      <c r="C73" s="152">
        <v>2500</v>
      </c>
      <c r="D73" s="141" t="s">
        <v>2775</v>
      </c>
      <c r="E73" s="147" t="s">
        <v>2776</v>
      </c>
      <c r="F73" s="147" t="s">
        <v>2777</v>
      </c>
    </row>
    <row r="74" spans="1:6" s="91" customFormat="1" x14ac:dyDescent="0.3">
      <c r="A74" s="3" t="s">
        <v>33</v>
      </c>
      <c r="B74" s="3" t="s">
        <v>2582</v>
      </c>
      <c r="C74" s="152">
        <v>3000</v>
      </c>
      <c r="D74" s="141" t="s">
        <v>2775</v>
      </c>
      <c r="E74" s="147" t="s">
        <v>2776</v>
      </c>
      <c r="F74" s="147" t="s">
        <v>2777</v>
      </c>
    </row>
    <row r="75" spans="1:6" s="91" customFormat="1" x14ac:dyDescent="0.3">
      <c r="A75" s="3" t="s">
        <v>58</v>
      </c>
      <c r="B75" s="3" t="s">
        <v>2618</v>
      </c>
      <c r="C75" s="142" t="s">
        <v>2802</v>
      </c>
      <c r="D75" s="142" t="s">
        <v>2803</v>
      </c>
      <c r="E75" s="42" t="s">
        <v>2804</v>
      </c>
      <c r="F75" s="42" t="s">
        <v>2777</v>
      </c>
    </row>
    <row r="76" spans="1:6" s="91" customFormat="1" x14ac:dyDescent="0.3">
      <c r="A76" s="3" t="s">
        <v>67</v>
      </c>
      <c r="B76" s="3" t="s">
        <v>2618</v>
      </c>
      <c r="C76" s="141">
        <v>1</v>
      </c>
      <c r="D76" s="141">
        <v>0</v>
      </c>
      <c r="E76" s="42" t="s">
        <v>2804</v>
      </c>
      <c r="F76" s="42" t="s">
        <v>2777</v>
      </c>
    </row>
    <row r="77" spans="1:6" s="91" customFormat="1" x14ac:dyDescent="0.3">
      <c r="A77" s="3" t="s">
        <v>68</v>
      </c>
      <c r="B77" s="3" t="s">
        <v>2618</v>
      </c>
      <c r="C77" s="141" t="s">
        <v>2805</v>
      </c>
      <c r="D77" s="141" t="s">
        <v>2775</v>
      </c>
      <c r="E77" s="42" t="s">
        <v>2804</v>
      </c>
      <c r="F77" s="42" t="s">
        <v>2777</v>
      </c>
    </row>
    <row r="78" spans="1:6" s="91" customFormat="1" x14ac:dyDescent="0.3">
      <c r="A78" s="3" t="s">
        <v>58</v>
      </c>
      <c r="B78" s="3" t="s">
        <v>2623</v>
      </c>
      <c r="C78" s="141" t="s">
        <v>1153</v>
      </c>
      <c r="D78" s="141" t="s">
        <v>1161</v>
      </c>
      <c r="E78" s="42" t="s">
        <v>2783</v>
      </c>
      <c r="F78" s="42" t="s">
        <v>2777</v>
      </c>
    </row>
    <row r="79" spans="1:6" s="91" customFormat="1" x14ac:dyDescent="0.3">
      <c r="A79" s="3" t="s">
        <v>66</v>
      </c>
      <c r="B79" s="3" t="s">
        <v>2623</v>
      </c>
      <c r="C79" s="141">
        <v>0</v>
      </c>
      <c r="D79" s="141">
        <v>1</v>
      </c>
      <c r="E79" s="42" t="s">
        <v>2783</v>
      </c>
      <c r="F79" s="42" t="s">
        <v>2777</v>
      </c>
    </row>
    <row r="80" spans="1:6" s="91" customFormat="1" x14ac:dyDescent="0.3">
      <c r="A80" s="3" t="s">
        <v>67</v>
      </c>
      <c r="B80" s="3" t="s">
        <v>2623</v>
      </c>
      <c r="C80" s="141">
        <v>1</v>
      </c>
      <c r="D80" s="141">
        <v>0</v>
      </c>
      <c r="E80" s="42" t="s">
        <v>2783</v>
      </c>
      <c r="F80" s="42" t="s">
        <v>2777</v>
      </c>
    </row>
    <row r="81" spans="1:6" s="91" customFormat="1" x14ac:dyDescent="0.3">
      <c r="A81" s="3" t="s">
        <v>68</v>
      </c>
      <c r="B81" s="3" t="s">
        <v>2623</v>
      </c>
      <c r="C81" s="142" t="s">
        <v>2806</v>
      </c>
      <c r="D81" s="141" t="s">
        <v>2775</v>
      </c>
      <c r="E81" s="42" t="s">
        <v>2783</v>
      </c>
      <c r="F81" s="42" t="s">
        <v>2777</v>
      </c>
    </row>
    <row r="82" spans="1:6" s="91" customFormat="1" x14ac:dyDescent="0.3">
      <c r="A82" s="3" t="s">
        <v>91</v>
      </c>
      <c r="B82" s="3" t="s">
        <v>2373</v>
      </c>
      <c r="C82" s="141" t="s">
        <v>1153</v>
      </c>
      <c r="D82" s="141" t="s">
        <v>2666</v>
      </c>
      <c r="E82" s="42" t="s">
        <v>2778</v>
      </c>
      <c r="F82" s="42" t="s">
        <v>2777</v>
      </c>
    </row>
    <row r="83" spans="1:6" s="91" customFormat="1" x14ac:dyDescent="0.3">
      <c r="A83" s="3" t="s">
        <v>97</v>
      </c>
      <c r="B83" s="3" t="s">
        <v>2373</v>
      </c>
      <c r="C83" s="141">
        <v>0</v>
      </c>
      <c r="D83" s="141">
        <v>1</v>
      </c>
      <c r="E83" s="42" t="s">
        <v>2778</v>
      </c>
      <c r="F83" s="42" t="s">
        <v>2777</v>
      </c>
    </row>
    <row r="84" spans="1:6" s="91" customFormat="1" x14ac:dyDescent="0.3">
      <c r="A84" s="3" t="s">
        <v>99</v>
      </c>
      <c r="B84" s="3" t="s">
        <v>2373</v>
      </c>
      <c r="C84" s="141">
        <v>1</v>
      </c>
      <c r="D84" s="141">
        <v>0</v>
      </c>
      <c r="E84" s="42" t="s">
        <v>2778</v>
      </c>
      <c r="F84" s="42" t="s">
        <v>2777</v>
      </c>
    </row>
    <row r="85" spans="1:6" s="91" customFormat="1" x14ac:dyDescent="0.3">
      <c r="A85" s="3" t="s">
        <v>100</v>
      </c>
      <c r="B85" s="3" t="s">
        <v>2373</v>
      </c>
      <c r="C85" s="142" t="s">
        <v>2807</v>
      </c>
      <c r="D85" s="141" t="s">
        <v>2775</v>
      </c>
      <c r="E85" s="42" t="s">
        <v>2778</v>
      </c>
      <c r="F85" s="42" t="s">
        <v>2777</v>
      </c>
    </row>
    <row r="86" spans="1:6" s="91" customFormat="1" x14ac:dyDescent="0.3">
      <c r="A86" s="3" t="s">
        <v>109</v>
      </c>
      <c r="B86" s="3" t="s">
        <v>2421</v>
      </c>
      <c r="C86" s="141" t="s">
        <v>1153</v>
      </c>
      <c r="D86" s="141" t="s">
        <v>1161</v>
      </c>
      <c r="E86" s="42" t="s">
        <v>2783</v>
      </c>
      <c r="F86" s="42" t="s">
        <v>2777</v>
      </c>
    </row>
    <row r="87" spans="1:6" s="91" customFormat="1" x14ac:dyDescent="0.3">
      <c r="A87" s="3" t="s">
        <v>113</v>
      </c>
      <c r="B87" s="3" t="s">
        <v>2421</v>
      </c>
      <c r="C87" s="141">
        <v>1</v>
      </c>
      <c r="D87" s="141">
        <v>0</v>
      </c>
      <c r="E87" s="42" t="s">
        <v>2783</v>
      </c>
      <c r="F87" s="42" t="s">
        <v>2777</v>
      </c>
    </row>
    <row r="88" spans="1:6" s="91" customFormat="1" x14ac:dyDescent="0.3">
      <c r="A88" s="3" t="s">
        <v>112</v>
      </c>
      <c r="B88" s="3" t="s">
        <v>2421</v>
      </c>
      <c r="C88" s="141">
        <v>0</v>
      </c>
      <c r="D88" s="141">
        <v>1</v>
      </c>
      <c r="E88" s="42" t="s">
        <v>2783</v>
      </c>
      <c r="F88" s="42" t="s">
        <v>2777</v>
      </c>
    </row>
    <row r="89" spans="1:6" s="91" customFormat="1" x14ac:dyDescent="0.3">
      <c r="A89" s="3" t="s">
        <v>115</v>
      </c>
      <c r="B89" s="3" t="s">
        <v>2421</v>
      </c>
      <c r="C89" s="142" t="s">
        <v>2808</v>
      </c>
      <c r="D89" s="141" t="s">
        <v>2775</v>
      </c>
      <c r="E89" s="42" t="s">
        <v>2783</v>
      </c>
      <c r="F89" s="42" t="s">
        <v>2777</v>
      </c>
    </row>
    <row r="90" spans="1:6" s="91" customFormat="1" x14ac:dyDescent="0.3">
      <c r="A90" s="3" t="s">
        <v>109</v>
      </c>
      <c r="B90" s="3" t="s">
        <v>2556</v>
      </c>
      <c r="C90" s="141" t="s">
        <v>1153</v>
      </c>
      <c r="D90" s="141" t="s">
        <v>1385</v>
      </c>
      <c r="E90" s="42" t="s">
        <v>2778</v>
      </c>
      <c r="F90" s="42" t="s">
        <v>2777</v>
      </c>
    </row>
    <row r="91" spans="1:6" s="91" customFormat="1" x14ac:dyDescent="0.3">
      <c r="A91" s="3" t="s">
        <v>113</v>
      </c>
      <c r="B91" s="3" t="s">
        <v>2556</v>
      </c>
      <c r="C91" s="141">
        <v>1</v>
      </c>
      <c r="D91" s="141">
        <v>0</v>
      </c>
      <c r="E91" s="42" t="s">
        <v>2778</v>
      </c>
      <c r="F91" s="42" t="s">
        <v>2777</v>
      </c>
    </row>
    <row r="92" spans="1:6" s="91" customFormat="1" x14ac:dyDescent="0.3">
      <c r="A92" s="3" t="s">
        <v>110</v>
      </c>
      <c r="B92" s="3" t="s">
        <v>2556</v>
      </c>
      <c r="C92" s="141">
        <v>0</v>
      </c>
      <c r="D92" s="141">
        <v>1</v>
      </c>
      <c r="E92" s="42" t="s">
        <v>2778</v>
      </c>
      <c r="F92" s="42" t="s">
        <v>2777</v>
      </c>
    </row>
    <row r="93" spans="1:6" s="91" customFormat="1" x14ac:dyDescent="0.3">
      <c r="A93" s="3" t="s">
        <v>115</v>
      </c>
      <c r="B93" s="3" t="s">
        <v>2556</v>
      </c>
      <c r="C93" s="142" t="s">
        <v>2559</v>
      </c>
      <c r="D93" s="141"/>
      <c r="E93" s="42" t="s">
        <v>2785</v>
      </c>
      <c r="F93" s="42" t="s">
        <v>1671</v>
      </c>
    </row>
    <row r="94" spans="1:6" s="91" customFormat="1" x14ac:dyDescent="0.3">
      <c r="A94" s="3" t="s">
        <v>109</v>
      </c>
      <c r="B94" s="3" t="s">
        <v>2623</v>
      </c>
      <c r="C94" s="141" t="s">
        <v>1153</v>
      </c>
      <c r="D94" s="141" t="s">
        <v>1161</v>
      </c>
      <c r="E94" s="42" t="s">
        <v>2783</v>
      </c>
      <c r="F94" s="42" t="s">
        <v>2777</v>
      </c>
    </row>
    <row r="95" spans="1:6" s="91" customFormat="1" x14ac:dyDescent="0.3">
      <c r="A95" s="3" t="s">
        <v>113</v>
      </c>
      <c r="B95" s="3" t="s">
        <v>2623</v>
      </c>
      <c r="C95" s="141">
        <v>1</v>
      </c>
      <c r="D95" s="141">
        <v>0</v>
      </c>
      <c r="E95" s="42" t="s">
        <v>2783</v>
      </c>
      <c r="F95" s="42" t="s">
        <v>2777</v>
      </c>
    </row>
    <row r="96" spans="1:6" s="91" customFormat="1" x14ac:dyDescent="0.3">
      <c r="A96" s="3" t="s">
        <v>112</v>
      </c>
      <c r="B96" s="3" t="s">
        <v>2623</v>
      </c>
      <c r="C96" s="141">
        <v>0</v>
      </c>
      <c r="D96" s="141">
        <v>1</v>
      </c>
      <c r="E96" s="42" t="s">
        <v>2783</v>
      </c>
      <c r="F96" s="42" t="s">
        <v>2777</v>
      </c>
    </row>
    <row r="97" spans="1:6" s="91" customFormat="1" x14ac:dyDescent="0.3">
      <c r="A97" s="3" t="s">
        <v>115</v>
      </c>
      <c r="B97" s="3" t="s">
        <v>2623</v>
      </c>
      <c r="C97" s="142" t="s">
        <v>2809</v>
      </c>
      <c r="D97" s="141" t="s">
        <v>2775</v>
      </c>
      <c r="E97" s="42" t="s">
        <v>2783</v>
      </c>
      <c r="F97" s="42" t="s">
        <v>2777</v>
      </c>
    </row>
    <row r="98" spans="1:6" s="91" customFormat="1" x14ac:dyDescent="0.3">
      <c r="A98" s="3" t="s">
        <v>116</v>
      </c>
      <c r="B98" s="3" t="s">
        <v>2475</v>
      </c>
      <c r="C98" s="141" t="s">
        <v>1153</v>
      </c>
      <c r="D98" s="141" t="s">
        <v>2810</v>
      </c>
      <c r="E98" s="42" t="s">
        <v>2778</v>
      </c>
      <c r="F98" s="42" t="s">
        <v>1912</v>
      </c>
    </row>
    <row r="99" spans="1:6" s="91" customFormat="1" x14ac:dyDescent="0.3">
      <c r="A99" s="3" t="s">
        <v>122</v>
      </c>
      <c r="B99" s="3" t="s">
        <v>2475</v>
      </c>
      <c r="C99" s="141">
        <v>0</v>
      </c>
      <c r="D99" s="141">
        <v>1</v>
      </c>
      <c r="E99" s="42" t="s">
        <v>2778</v>
      </c>
      <c r="F99" s="42" t="s">
        <v>1912</v>
      </c>
    </row>
    <row r="100" spans="1:6" s="91" customFormat="1" x14ac:dyDescent="0.3">
      <c r="A100" s="3" t="s">
        <v>128</v>
      </c>
      <c r="B100" s="3" t="s">
        <v>2475</v>
      </c>
      <c r="C100" s="141">
        <v>1</v>
      </c>
      <c r="D100" s="141">
        <v>0</v>
      </c>
      <c r="E100" s="42" t="s">
        <v>2778</v>
      </c>
      <c r="F100" s="42" t="s">
        <v>1912</v>
      </c>
    </row>
    <row r="101" spans="1:6" s="91" customFormat="1" x14ac:dyDescent="0.3">
      <c r="A101" s="3" t="s">
        <v>129</v>
      </c>
      <c r="B101" s="3" t="s">
        <v>2475</v>
      </c>
      <c r="C101" s="142" t="s">
        <v>2811</v>
      </c>
      <c r="D101" s="141" t="s">
        <v>2775</v>
      </c>
      <c r="E101" s="42" t="s">
        <v>2778</v>
      </c>
      <c r="F101" s="42" t="s">
        <v>1912</v>
      </c>
    </row>
    <row r="102" spans="1:6" s="91" customFormat="1" x14ac:dyDescent="0.3">
      <c r="A102" s="3" t="s">
        <v>116</v>
      </c>
      <c r="B102" s="3" t="s">
        <v>2618</v>
      </c>
      <c r="C102" s="141" t="s">
        <v>1153</v>
      </c>
      <c r="D102" s="141" t="s">
        <v>2810</v>
      </c>
      <c r="E102" s="42" t="s">
        <v>2778</v>
      </c>
      <c r="F102" s="42" t="s">
        <v>1912</v>
      </c>
    </row>
    <row r="103" spans="1:6" s="91" customFormat="1" x14ac:dyDescent="0.3">
      <c r="A103" s="3" t="s">
        <v>122</v>
      </c>
      <c r="B103" s="3" t="s">
        <v>2618</v>
      </c>
      <c r="C103" s="141">
        <v>0</v>
      </c>
      <c r="D103" s="141">
        <v>1</v>
      </c>
      <c r="E103" s="42" t="s">
        <v>2778</v>
      </c>
      <c r="F103" s="42" t="s">
        <v>1912</v>
      </c>
    </row>
    <row r="104" spans="1:6" s="91" customFormat="1" x14ac:dyDescent="0.3">
      <c r="A104" s="3" t="s">
        <v>128</v>
      </c>
      <c r="B104" s="3" t="s">
        <v>2618</v>
      </c>
      <c r="C104" s="141">
        <v>1</v>
      </c>
      <c r="D104" s="141">
        <v>0</v>
      </c>
      <c r="E104" s="42" t="s">
        <v>2778</v>
      </c>
      <c r="F104" s="42" t="s">
        <v>1912</v>
      </c>
    </row>
    <row r="105" spans="1:6" s="91" customFormat="1" x14ac:dyDescent="0.3">
      <c r="A105" s="3" t="s">
        <v>129</v>
      </c>
      <c r="B105" s="3" t="s">
        <v>2618</v>
      </c>
      <c r="C105" s="142" t="s">
        <v>2812</v>
      </c>
      <c r="D105" s="141" t="s">
        <v>2775</v>
      </c>
      <c r="E105" s="42" t="s">
        <v>2778</v>
      </c>
      <c r="F105" s="42" t="s">
        <v>1912</v>
      </c>
    </row>
    <row r="106" spans="1:6" s="91" customFormat="1" x14ac:dyDescent="0.3">
      <c r="A106" s="3" t="s">
        <v>130</v>
      </c>
      <c r="B106" s="3" t="s">
        <v>2421</v>
      </c>
      <c r="C106" s="141" t="s">
        <v>1153</v>
      </c>
      <c r="D106" s="141" t="s">
        <v>1163</v>
      </c>
      <c r="E106" s="42" t="s">
        <v>2778</v>
      </c>
      <c r="F106" s="42" t="s">
        <v>1912</v>
      </c>
    </row>
    <row r="107" spans="1:6" s="91" customFormat="1" x14ac:dyDescent="0.3">
      <c r="A107" s="3" t="s">
        <v>142</v>
      </c>
      <c r="B107" s="3" t="s">
        <v>2421</v>
      </c>
      <c r="C107" s="141">
        <v>1</v>
      </c>
      <c r="D107" s="141">
        <v>0</v>
      </c>
      <c r="E107" s="42" t="s">
        <v>2778</v>
      </c>
      <c r="F107" s="42" t="s">
        <v>1912</v>
      </c>
    </row>
    <row r="108" spans="1:6" s="91" customFormat="1" x14ac:dyDescent="0.3">
      <c r="A108" s="3" t="s">
        <v>140</v>
      </c>
      <c r="B108" s="3" t="s">
        <v>2421</v>
      </c>
      <c r="C108" s="141">
        <v>0</v>
      </c>
      <c r="D108" s="141">
        <v>1</v>
      </c>
      <c r="E108" s="42" t="s">
        <v>2778</v>
      </c>
      <c r="F108" s="42" t="s">
        <v>1912</v>
      </c>
    </row>
    <row r="109" spans="1:6" s="91" customFormat="1" x14ac:dyDescent="0.3">
      <c r="A109" s="3" t="s">
        <v>143</v>
      </c>
      <c r="B109" s="3" t="s">
        <v>2421</v>
      </c>
      <c r="C109" s="142" t="s">
        <v>2813</v>
      </c>
      <c r="D109" s="141" t="s">
        <v>2775</v>
      </c>
      <c r="E109" s="42" t="s">
        <v>2778</v>
      </c>
      <c r="F109" s="42" t="s">
        <v>1912</v>
      </c>
    </row>
    <row r="110" spans="1:6" s="91" customFormat="1" x14ac:dyDescent="0.3">
      <c r="A110" s="3" t="s">
        <v>130</v>
      </c>
      <c r="B110" s="3" t="s">
        <v>2556</v>
      </c>
      <c r="C110" s="141" t="s">
        <v>1153</v>
      </c>
      <c r="D110" s="141" t="s">
        <v>1682</v>
      </c>
      <c r="E110" s="42" t="s">
        <v>2783</v>
      </c>
      <c r="F110" s="42" t="s">
        <v>2777</v>
      </c>
    </row>
    <row r="111" spans="1:6" s="91" customFormat="1" x14ac:dyDescent="0.3">
      <c r="A111" s="3" t="s">
        <v>141</v>
      </c>
      <c r="B111" s="3" t="s">
        <v>2556</v>
      </c>
      <c r="C111" s="141">
        <v>0</v>
      </c>
      <c r="D111" s="141">
        <v>1</v>
      </c>
      <c r="E111" s="42" t="s">
        <v>2783</v>
      </c>
      <c r="F111" s="42" t="s">
        <v>2777</v>
      </c>
    </row>
    <row r="112" spans="1:6" s="91" customFormat="1" x14ac:dyDescent="0.3">
      <c r="A112" s="3" t="s">
        <v>142</v>
      </c>
      <c r="B112" s="3" t="s">
        <v>2556</v>
      </c>
      <c r="C112" s="141">
        <v>1</v>
      </c>
      <c r="D112" s="141">
        <v>0</v>
      </c>
      <c r="E112" s="42" t="s">
        <v>2783</v>
      </c>
      <c r="F112" s="42" t="s">
        <v>2777</v>
      </c>
    </row>
    <row r="113" spans="1:6" s="91" customFormat="1" x14ac:dyDescent="0.3">
      <c r="A113" s="3" t="s">
        <v>143</v>
      </c>
      <c r="B113" s="3" t="s">
        <v>2556</v>
      </c>
      <c r="C113" s="142" t="s">
        <v>2814</v>
      </c>
      <c r="D113" s="141" t="s">
        <v>2775</v>
      </c>
      <c r="E113" s="42" t="s">
        <v>2783</v>
      </c>
      <c r="F113" s="42" t="s">
        <v>2777</v>
      </c>
    </row>
    <row r="114" spans="1:6" s="91" customFormat="1" x14ac:dyDescent="0.3">
      <c r="A114" s="3" t="s">
        <v>177</v>
      </c>
      <c r="B114" s="3" t="s">
        <v>2511</v>
      </c>
      <c r="C114" s="142" t="s">
        <v>2815</v>
      </c>
      <c r="D114" s="142" t="s">
        <v>2816</v>
      </c>
      <c r="E114" s="42" t="s">
        <v>2778</v>
      </c>
      <c r="F114" s="42" t="s">
        <v>2777</v>
      </c>
    </row>
    <row r="115" spans="1:6" s="91" customFormat="1" x14ac:dyDescent="0.3">
      <c r="A115" s="3" t="s">
        <v>187</v>
      </c>
      <c r="B115" s="3" t="s">
        <v>2511</v>
      </c>
      <c r="C115" s="141">
        <v>0</v>
      </c>
      <c r="D115" s="141">
        <v>1</v>
      </c>
      <c r="E115" s="42" t="s">
        <v>2778</v>
      </c>
      <c r="F115" s="42" t="s">
        <v>2777</v>
      </c>
    </row>
    <row r="116" spans="1:6" s="91" customFormat="1" x14ac:dyDescent="0.3">
      <c r="A116" s="3" t="s">
        <v>190</v>
      </c>
      <c r="B116" s="3" t="s">
        <v>2511</v>
      </c>
      <c r="C116" s="141">
        <v>1</v>
      </c>
      <c r="D116" s="141">
        <v>0</v>
      </c>
      <c r="E116" s="42" t="s">
        <v>2778</v>
      </c>
      <c r="F116" s="42" t="s">
        <v>2777</v>
      </c>
    </row>
    <row r="117" spans="1:6" s="91" customFormat="1" x14ac:dyDescent="0.3">
      <c r="A117" s="3" t="s">
        <v>191</v>
      </c>
      <c r="B117" s="3" t="s">
        <v>2511</v>
      </c>
      <c r="C117" s="142" t="s">
        <v>2515</v>
      </c>
      <c r="D117" s="141"/>
      <c r="E117" s="42" t="s">
        <v>2785</v>
      </c>
      <c r="F117" s="42" t="s">
        <v>1671</v>
      </c>
    </row>
    <row r="118" spans="1:6" s="91" customFormat="1" x14ac:dyDescent="0.3">
      <c r="A118" s="3" t="s">
        <v>58</v>
      </c>
      <c r="B118" s="3" t="s">
        <v>2612</v>
      </c>
      <c r="C118" s="141" t="s">
        <v>1153</v>
      </c>
      <c r="D118" s="142" t="s">
        <v>1157</v>
      </c>
      <c r="E118" s="42" t="s">
        <v>2778</v>
      </c>
      <c r="F118" s="42" t="s">
        <v>2777</v>
      </c>
    </row>
    <row r="119" spans="1:6" s="91" customFormat="1" x14ac:dyDescent="0.3">
      <c r="A119" s="3" t="s">
        <v>64</v>
      </c>
      <c r="B119" s="3" t="s">
        <v>2612</v>
      </c>
      <c r="C119" s="141">
        <v>0</v>
      </c>
      <c r="D119" s="141">
        <v>1</v>
      </c>
      <c r="E119" s="42" t="s">
        <v>2778</v>
      </c>
      <c r="F119" s="42" t="s">
        <v>2777</v>
      </c>
    </row>
    <row r="120" spans="1:6" s="91" customFormat="1" x14ac:dyDescent="0.3">
      <c r="A120" s="3" t="s">
        <v>67</v>
      </c>
      <c r="B120" s="3" t="s">
        <v>2612</v>
      </c>
      <c r="C120" s="141">
        <v>1</v>
      </c>
      <c r="D120" s="141">
        <v>0</v>
      </c>
      <c r="E120" s="42" t="s">
        <v>2778</v>
      </c>
      <c r="F120" s="42" t="s">
        <v>2777</v>
      </c>
    </row>
    <row r="121" spans="1:6" s="91" customFormat="1" x14ac:dyDescent="0.3">
      <c r="A121" s="3" t="s">
        <v>68</v>
      </c>
      <c r="B121" s="3" t="s">
        <v>2612</v>
      </c>
      <c r="C121" s="141" t="s">
        <v>2817</v>
      </c>
      <c r="D121" s="141" t="s">
        <v>2775</v>
      </c>
      <c r="E121" s="42" t="s">
        <v>2778</v>
      </c>
      <c r="F121" s="42" t="s">
        <v>2777</v>
      </c>
    </row>
    <row r="122" spans="1:6" s="91" customFormat="1" x14ac:dyDescent="0.3">
      <c r="A122" s="3" t="s">
        <v>58</v>
      </c>
      <c r="B122" s="3" t="s">
        <v>2388</v>
      </c>
      <c r="C122" s="141" t="s">
        <v>1153</v>
      </c>
      <c r="D122" s="141" t="s">
        <v>1682</v>
      </c>
      <c r="E122" s="42" t="s">
        <v>2778</v>
      </c>
      <c r="F122" s="42" t="s">
        <v>2777</v>
      </c>
    </row>
    <row r="123" spans="1:6" s="91" customFormat="1" x14ac:dyDescent="0.3">
      <c r="A123" s="3" t="s">
        <v>67</v>
      </c>
      <c r="B123" s="3" t="s">
        <v>2388</v>
      </c>
      <c r="C123" s="141">
        <v>1</v>
      </c>
      <c r="D123" s="141">
        <v>0</v>
      </c>
      <c r="E123" s="42" t="s">
        <v>2778</v>
      </c>
      <c r="F123" s="42" t="s">
        <v>2777</v>
      </c>
    </row>
    <row r="124" spans="1:6" s="91" customFormat="1" x14ac:dyDescent="0.3">
      <c r="A124" s="3" t="s">
        <v>66</v>
      </c>
      <c r="B124" s="3" t="s">
        <v>2388</v>
      </c>
      <c r="C124" s="141">
        <v>0</v>
      </c>
      <c r="D124" s="141">
        <v>1</v>
      </c>
      <c r="E124" s="42" t="s">
        <v>2778</v>
      </c>
      <c r="F124" s="42" t="s">
        <v>2777</v>
      </c>
    </row>
    <row r="125" spans="1:6" s="91" customFormat="1" x14ac:dyDescent="0.3">
      <c r="A125" s="3" t="s">
        <v>68</v>
      </c>
      <c r="B125" s="3" t="s">
        <v>2388</v>
      </c>
      <c r="C125" s="142" t="s">
        <v>2818</v>
      </c>
      <c r="D125" s="141" t="s">
        <v>2775</v>
      </c>
      <c r="E125" s="42" t="s">
        <v>2778</v>
      </c>
      <c r="F125" s="42" t="s">
        <v>2777</v>
      </c>
    </row>
    <row r="126" spans="1:6" s="91" customFormat="1" x14ac:dyDescent="0.3">
      <c r="A126" s="3" t="s">
        <v>677</v>
      </c>
      <c r="B126" s="3" t="s">
        <v>2357</v>
      </c>
      <c r="C126" s="142" t="s">
        <v>2819</v>
      </c>
      <c r="D126" s="141" t="s">
        <v>2775</v>
      </c>
      <c r="E126" s="42" t="s">
        <v>2788</v>
      </c>
      <c r="F126" s="42" t="s">
        <v>2777</v>
      </c>
    </row>
    <row r="127" spans="1:6" s="91" customFormat="1" x14ac:dyDescent="0.3">
      <c r="A127" s="3" t="s">
        <v>677</v>
      </c>
      <c r="B127" s="3" t="s">
        <v>2363</v>
      </c>
      <c r="C127" s="142" t="s">
        <v>2820</v>
      </c>
      <c r="D127" s="141" t="s">
        <v>2775</v>
      </c>
      <c r="E127" s="42" t="s">
        <v>2788</v>
      </c>
      <c r="F127" s="42" t="s">
        <v>2777</v>
      </c>
    </row>
    <row r="128" spans="1:6" s="91" customFormat="1" x14ac:dyDescent="0.3">
      <c r="A128" s="3" t="s">
        <v>677</v>
      </c>
      <c r="B128" s="3" t="s">
        <v>2398</v>
      </c>
      <c r="C128" s="152">
        <v>999</v>
      </c>
      <c r="D128" s="141" t="s">
        <v>2775</v>
      </c>
      <c r="E128" s="42" t="s">
        <v>2788</v>
      </c>
      <c r="F128" s="42" t="s">
        <v>2777</v>
      </c>
    </row>
    <row r="129" spans="1:6" s="91" customFormat="1" x14ac:dyDescent="0.3">
      <c r="A129" s="3" t="s">
        <v>677</v>
      </c>
      <c r="B129" s="3" t="s">
        <v>2450</v>
      </c>
      <c r="C129" s="152">
        <v>999</v>
      </c>
      <c r="D129" s="141" t="s">
        <v>2775</v>
      </c>
      <c r="E129" s="42" t="s">
        <v>2788</v>
      </c>
      <c r="F129" s="42" t="s">
        <v>2777</v>
      </c>
    </row>
    <row r="130" spans="1:6" s="91" customFormat="1" x14ac:dyDescent="0.3">
      <c r="A130" s="3" t="s">
        <v>677</v>
      </c>
      <c r="B130" s="3" t="s">
        <v>2479</v>
      </c>
      <c r="C130" s="142" t="s">
        <v>2821</v>
      </c>
      <c r="D130" s="141" t="s">
        <v>2775</v>
      </c>
      <c r="E130" s="42" t="s">
        <v>2788</v>
      </c>
      <c r="F130" s="42" t="s">
        <v>2777</v>
      </c>
    </row>
    <row r="131" spans="1:6" s="91" customFormat="1" x14ac:dyDescent="0.3">
      <c r="A131" s="3" t="s">
        <v>677</v>
      </c>
      <c r="B131" s="3" t="s">
        <v>2491</v>
      </c>
      <c r="C131" s="142" t="s">
        <v>2822</v>
      </c>
      <c r="D131" s="141" t="s">
        <v>2775</v>
      </c>
      <c r="E131" s="42" t="s">
        <v>2788</v>
      </c>
      <c r="F131" s="42" t="s">
        <v>2777</v>
      </c>
    </row>
    <row r="132" spans="1:6" s="91" customFormat="1" x14ac:dyDescent="0.3">
      <c r="A132" s="3" t="s">
        <v>680</v>
      </c>
      <c r="B132" s="3" t="s">
        <v>2450</v>
      </c>
      <c r="C132" s="141">
        <v>11</v>
      </c>
      <c r="D132" s="141">
        <v>10</v>
      </c>
      <c r="E132" s="42" t="s">
        <v>2823</v>
      </c>
      <c r="F132" s="42" t="s">
        <v>2777</v>
      </c>
    </row>
    <row r="133" spans="1:6" s="91" customFormat="1" x14ac:dyDescent="0.3">
      <c r="A133" s="3" t="s">
        <v>680</v>
      </c>
      <c r="B133" s="3" t="s">
        <v>2479</v>
      </c>
      <c r="C133" s="141">
        <v>16</v>
      </c>
      <c r="D133" s="141">
        <v>6</v>
      </c>
      <c r="E133" s="42" t="s">
        <v>2823</v>
      </c>
      <c r="F133" s="42" t="s">
        <v>2777</v>
      </c>
    </row>
    <row r="134" spans="1:6" s="91" customFormat="1" x14ac:dyDescent="0.3">
      <c r="A134" s="3" t="s">
        <v>680</v>
      </c>
      <c r="B134" s="3" t="s">
        <v>2491</v>
      </c>
      <c r="C134" s="141">
        <v>3</v>
      </c>
      <c r="D134" s="141">
        <v>2</v>
      </c>
      <c r="E134" s="42" t="s">
        <v>2823</v>
      </c>
      <c r="F134" s="42" t="s">
        <v>2777</v>
      </c>
    </row>
    <row r="135" spans="1:6" s="91" customFormat="1" x14ac:dyDescent="0.3">
      <c r="A135" s="3" t="s">
        <v>698</v>
      </c>
      <c r="B135" s="3" t="s">
        <v>2491</v>
      </c>
      <c r="C135" s="141">
        <v>999</v>
      </c>
      <c r="D135" s="141" t="s">
        <v>1161</v>
      </c>
      <c r="E135" s="42" t="s">
        <v>2793</v>
      </c>
      <c r="F135" s="42" t="s">
        <v>2777</v>
      </c>
    </row>
    <row r="136" spans="1:6" s="91" customFormat="1" x14ac:dyDescent="0.3">
      <c r="A136" s="3" t="s">
        <v>699</v>
      </c>
      <c r="B136" s="3" t="s">
        <v>2491</v>
      </c>
      <c r="C136" s="141">
        <v>999</v>
      </c>
      <c r="D136" s="141" t="s">
        <v>1161</v>
      </c>
      <c r="E136" s="42" t="s">
        <v>2793</v>
      </c>
      <c r="F136" s="42" t="s">
        <v>2777</v>
      </c>
    </row>
    <row r="137" spans="1:6" s="91" customFormat="1" x14ac:dyDescent="0.3">
      <c r="A137" s="3" t="s">
        <v>822</v>
      </c>
      <c r="B137" s="3" t="s">
        <v>2479</v>
      </c>
      <c r="C137" s="141" t="s">
        <v>1153</v>
      </c>
      <c r="D137" s="141" t="s">
        <v>1161</v>
      </c>
      <c r="E137" s="42" t="s">
        <v>2783</v>
      </c>
      <c r="F137" s="42" t="s">
        <v>2777</v>
      </c>
    </row>
    <row r="138" spans="1:6" s="91" customFormat="1" x14ac:dyDescent="0.3">
      <c r="A138" s="3" t="s">
        <v>825</v>
      </c>
      <c r="B138" s="3" t="s">
        <v>2479</v>
      </c>
      <c r="C138" s="141">
        <v>0</v>
      </c>
      <c r="D138" s="141">
        <v>1</v>
      </c>
      <c r="E138" s="42" t="s">
        <v>2783</v>
      </c>
      <c r="F138" s="42" t="s">
        <v>2777</v>
      </c>
    </row>
    <row r="139" spans="1:6" s="91" customFormat="1" x14ac:dyDescent="0.3">
      <c r="A139" s="3" t="s">
        <v>826</v>
      </c>
      <c r="B139" s="3" t="s">
        <v>2479</v>
      </c>
      <c r="C139" s="141">
        <v>1</v>
      </c>
      <c r="D139" s="141">
        <v>0</v>
      </c>
      <c r="E139" s="42" t="s">
        <v>2783</v>
      </c>
      <c r="F139" s="42" t="s">
        <v>2777</v>
      </c>
    </row>
    <row r="140" spans="1:6" s="91" customFormat="1" x14ac:dyDescent="0.3">
      <c r="A140" s="3" t="s">
        <v>828</v>
      </c>
      <c r="B140" s="3" t="s">
        <v>2479</v>
      </c>
      <c r="C140" s="3" t="s">
        <v>2824</v>
      </c>
      <c r="D140" s="141" t="s">
        <v>2775</v>
      </c>
      <c r="E140" s="42" t="s">
        <v>2783</v>
      </c>
      <c r="F140" s="42" t="s">
        <v>2777</v>
      </c>
    </row>
    <row r="141" spans="1:6" s="91" customFormat="1" x14ac:dyDescent="0.3">
      <c r="A141" s="3" t="s">
        <v>463</v>
      </c>
      <c r="B141" s="3" t="s">
        <v>2333</v>
      </c>
      <c r="C141" s="146">
        <v>999</v>
      </c>
      <c r="D141" s="146" t="s">
        <v>1161</v>
      </c>
      <c r="E141" s="147" t="s">
        <v>2793</v>
      </c>
      <c r="F141" s="42" t="s">
        <v>2777</v>
      </c>
    </row>
    <row r="142" spans="1:6" s="91" customFormat="1" x14ac:dyDescent="0.3">
      <c r="A142" s="3" t="s">
        <v>467</v>
      </c>
      <c r="B142" s="3" t="s">
        <v>2333</v>
      </c>
      <c r="C142" s="146">
        <v>999</v>
      </c>
      <c r="D142" s="146" t="s">
        <v>1161</v>
      </c>
      <c r="E142" s="147" t="s">
        <v>2793</v>
      </c>
      <c r="F142" s="42" t="s">
        <v>2777</v>
      </c>
    </row>
    <row r="143" spans="1:6" s="91" customFormat="1" x14ac:dyDescent="0.3">
      <c r="A143" s="3" t="s">
        <v>465</v>
      </c>
      <c r="B143" s="3" t="s">
        <v>2340</v>
      </c>
      <c r="C143" s="146">
        <v>999</v>
      </c>
      <c r="D143" s="146" t="s">
        <v>1161</v>
      </c>
      <c r="E143" s="147" t="s">
        <v>2793</v>
      </c>
      <c r="F143" s="42" t="s">
        <v>2777</v>
      </c>
    </row>
    <row r="144" spans="1:6" s="91" customFormat="1" x14ac:dyDescent="0.3">
      <c r="A144" s="3" t="s">
        <v>462</v>
      </c>
      <c r="B144" s="3" t="s">
        <v>2340</v>
      </c>
      <c r="C144" s="146">
        <v>16</v>
      </c>
      <c r="D144" s="146">
        <v>29</v>
      </c>
      <c r="E144" s="42" t="s">
        <v>2823</v>
      </c>
      <c r="F144" s="42" t="s">
        <v>2777</v>
      </c>
    </row>
    <row r="145" spans="1:6" s="91" customFormat="1" x14ac:dyDescent="0.3">
      <c r="A145" s="3" t="s">
        <v>636</v>
      </c>
      <c r="B145" s="3" t="s">
        <v>2333</v>
      </c>
      <c r="C145" s="141">
        <v>999</v>
      </c>
      <c r="D145" s="146" t="s">
        <v>1161</v>
      </c>
      <c r="E145" s="147" t="s">
        <v>2793</v>
      </c>
      <c r="F145" s="42" t="s">
        <v>2777</v>
      </c>
    </row>
    <row r="146" spans="1:6" s="91" customFormat="1" x14ac:dyDescent="0.3">
      <c r="A146" s="3" t="s">
        <v>644</v>
      </c>
      <c r="B146" s="3" t="s">
        <v>2333</v>
      </c>
      <c r="C146" s="141">
        <v>999</v>
      </c>
      <c r="D146" s="146" t="s">
        <v>1161</v>
      </c>
      <c r="E146" s="147" t="s">
        <v>2793</v>
      </c>
      <c r="F146" s="42" t="s">
        <v>2777</v>
      </c>
    </row>
    <row r="147" spans="1:6" s="91" customFormat="1" x14ac:dyDescent="0.3">
      <c r="A147" s="3" t="s">
        <v>1612</v>
      </c>
      <c r="B147" s="144" t="s">
        <v>2728</v>
      </c>
      <c r="C147" s="144" t="s">
        <v>2739</v>
      </c>
      <c r="D147" s="141" t="s">
        <v>1979</v>
      </c>
      <c r="E147" s="42" t="s">
        <v>2825</v>
      </c>
      <c r="F147" s="42" t="s">
        <v>2777</v>
      </c>
    </row>
    <row r="148" spans="1:6" s="91" customFormat="1" x14ac:dyDescent="0.3">
      <c r="A148" s="3" t="s">
        <v>1612</v>
      </c>
      <c r="B148" s="3" t="s">
        <v>2743</v>
      </c>
      <c r="C148" s="3" t="s">
        <v>1153</v>
      </c>
      <c r="D148" s="141" t="s">
        <v>1979</v>
      </c>
      <c r="E148" s="42" t="s">
        <v>2825</v>
      </c>
      <c r="F148" s="42" t="s">
        <v>2777</v>
      </c>
    </row>
    <row r="149" spans="1:6" s="91" customFormat="1" x14ac:dyDescent="0.3">
      <c r="A149" s="3" t="s">
        <v>1613</v>
      </c>
      <c r="B149" s="3" t="s">
        <v>2743</v>
      </c>
      <c r="C149" s="141" t="s">
        <v>2826</v>
      </c>
      <c r="D149" s="141" t="s">
        <v>2775</v>
      </c>
      <c r="E149" s="42" t="s">
        <v>2825</v>
      </c>
      <c r="F149" s="42" t="s">
        <v>2777</v>
      </c>
    </row>
    <row r="150" spans="1:6" s="91" customFormat="1" x14ac:dyDescent="0.3">
      <c r="A150" s="3" t="s">
        <v>1614</v>
      </c>
      <c r="B150" s="144" t="s">
        <v>2728</v>
      </c>
      <c r="C150" s="141">
        <v>250</v>
      </c>
      <c r="D150" s="141">
        <v>1000</v>
      </c>
      <c r="E150" s="42" t="s">
        <v>2825</v>
      </c>
      <c r="F150" s="42" t="s">
        <v>2777</v>
      </c>
    </row>
    <row r="151" spans="1:6" s="91" customFormat="1" x14ac:dyDescent="0.3">
      <c r="A151" s="3" t="s">
        <v>1614</v>
      </c>
      <c r="B151" s="3" t="s">
        <v>2743</v>
      </c>
      <c r="C151" s="141">
        <v>5000</v>
      </c>
      <c r="D151" s="141">
        <v>416</v>
      </c>
      <c r="E151" s="42" t="s">
        <v>2825</v>
      </c>
      <c r="F151" s="42" t="s">
        <v>2777</v>
      </c>
    </row>
    <row r="152" spans="1:6" s="91" customFormat="1" x14ac:dyDescent="0.35">
      <c r="A152" s="42"/>
      <c r="B152" s="42"/>
      <c r="C152" s="141"/>
      <c r="D152" s="141"/>
      <c r="E152" s="42"/>
      <c r="F152" s="42"/>
    </row>
    <row r="153" spans="1:6" s="91" customFormat="1" x14ac:dyDescent="0.35">
      <c r="A153" s="42"/>
      <c r="B153" s="42"/>
      <c r="C153" s="141"/>
      <c r="D153" s="141"/>
      <c r="E153" s="42"/>
      <c r="F153" s="42"/>
    </row>
    <row r="154" spans="1:6" s="91" customFormat="1" x14ac:dyDescent="0.35">
      <c r="A154" s="42"/>
      <c r="B154" s="42"/>
      <c r="C154" s="141"/>
      <c r="D154" s="141"/>
      <c r="E154" s="42"/>
      <c r="F154" s="42"/>
    </row>
    <row r="155" spans="1:6" s="91" customFormat="1" x14ac:dyDescent="0.35">
      <c r="A155" s="42"/>
      <c r="B155" s="42"/>
      <c r="C155" s="141"/>
      <c r="D155" s="141"/>
      <c r="E155" s="42"/>
      <c r="F155" s="42"/>
    </row>
    <row r="156" spans="1:6" s="91" customFormat="1" x14ac:dyDescent="0.35">
      <c r="A156" s="42"/>
      <c r="B156" s="42"/>
      <c r="C156" s="141"/>
      <c r="D156" s="141"/>
      <c r="E156" s="42"/>
      <c r="F156" s="42"/>
    </row>
    <row r="157" spans="1:6" s="91" customFormat="1" x14ac:dyDescent="0.35">
      <c r="A157" s="42"/>
      <c r="B157" s="42"/>
      <c r="C157" s="141"/>
      <c r="D157" s="141"/>
      <c r="E157" s="42"/>
      <c r="F157" s="42"/>
    </row>
    <row r="158" spans="1:6" s="91" customFormat="1" x14ac:dyDescent="0.35">
      <c r="A158" s="42"/>
      <c r="B158" s="42"/>
      <c r="C158" s="141"/>
      <c r="D158" s="141"/>
      <c r="E158" s="42"/>
      <c r="F158" s="42"/>
    </row>
    <row r="159" spans="1:6" s="91" customFormat="1" x14ac:dyDescent="0.35">
      <c r="A159" s="42"/>
      <c r="B159" s="42"/>
      <c r="C159" s="141"/>
      <c r="D159" s="141"/>
      <c r="E159" s="42"/>
      <c r="F159" s="42"/>
    </row>
    <row r="160" spans="1:6" s="91" customFormat="1" x14ac:dyDescent="0.35">
      <c r="A160" s="42"/>
      <c r="B160" s="42"/>
      <c r="C160" s="141"/>
      <c r="D160" s="141"/>
      <c r="E160" s="42"/>
      <c r="F160" s="42"/>
    </row>
    <row r="161" spans="1:6" s="91" customFormat="1" x14ac:dyDescent="0.35">
      <c r="A161" s="42"/>
      <c r="B161" s="42"/>
      <c r="C161" s="141"/>
      <c r="D161" s="141"/>
      <c r="E161" s="42"/>
      <c r="F161" s="42"/>
    </row>
    <row r="162" spans="1:6" s="91" customFormat="1" x14ac:dyDescent="0.35">
      <c r="A162" s="42"/>
      <c r="B162" s="42"/>
      <c r="C162" s="141"/>
      <c r="D162" s="141"/>
      <c r="E162" s="42"/>
      <c r="F162" s="42"/>
    </row>
    <row r="163" spans="1:6" s="91" customFormat="1" x14ac:dyDescent="0.35">
      <c r="A163" s="42"/>
      <c r="B163" s="42"/>
      <c r="C163" s="141"/>
      <c r="D163" s="141"/>
      <c r="E163" s="42"/>
      <c r="F163" s="42"/>
    </row>
    <row r="164" spans="1:6" s="91" customFormat="1" x14ac:dyDescent="0.35">
      <c r="A164" s="42"/>
      <c r="B164" s="42"/>
      <c r="C164" s="141"/>
      <c r="D164" s="141"/>
      <c r="E164" s="42"/>
      <c r="F164" s="42"/>
    </row>
    <row r="165" spans="1:6" s="91" customFormat="1" x14ac:dyDescent="0.35">
      <c r="A165" s="42"/>
      <c r="B165" s="42"/>
      <c r="C165" s="141"/>
      <c r="D165" s="141"/>
      <c r="E165" s="42"/>
      <c r="F165" s="42"/>
    </row>
    <row r="166" spans="1:6" s="91" customFormat="1" x14ac:dyDescent="0.35">
      <c r="A166" s="42"/>
      <c r="B166" s="42"/>
      <c r="C166" s="141"/>
      <c r="D166" s="141"/>
      <c r="E166" s="42"/>
      <c r="F166" s="42"/>
    </row>
    <row r="167" spans="1:6" s="91" customFormat="1" x14ac:dyDescent="0.35">
      <c r="A167" s="42"/>
      <c r="B167" s="42"/>
      <c r="C167" s="141"/>
      <c r="D167" s="141"/>
      <c r="E167" s="42"/>
      <c r="F167" s="42"/>
    </row>
    <row r="168" spans="1:6" s="91" customFormat="1" x14ac:dyDescent="0.35">
      <c r="A168" s="42"/>
      <c r="B168" s="42"/>
      <c r="C168" s="141"/>
      <c r="D168" s="141"/>
      <c r="E168" s="42"/>
      <c r="F168" s="42"/>
    </row>
    <row r="169" spans="1:6" s="91" customFormat="1" x14ac:dyDescent="0.35">
      <c r="A169" s="42"/>
      <c r="B169" s="42"/>
      <c r="C169" s="141"/>
      <c r="D169" s="141"/>
      <c r="E169" s="42"/>
      <c r="F169" s="42"/>
    </row>
    <row r="170" spans="1:6" s="91" customFormat="1" x14ac:dyDescent="0.35">
      <c r="A170" s="42"/>
      <c r="B170" s="42"/>
      <c r="C170" s="141"/>
      <c r="D170" s="141"/>
      <c r="E170" s="42"/>
      <c r="F170" s="42"/>
    </row>
    <row r="171" spans="1:6" s="91" customFormat="1" x14ac:dyDescent="0.35">
      <c r="A171" s="42"/>
      <c r="B171" s="42"/>
      <c r="C171" s="141"/>
      <c r="D171" s="141"/>
      <c r="E171" s="42"/>
      <c r="F171" s="42"/>
    </row>
    <row r="172" spans="1:6" s="91" customFormat="1" x14ac:dyDescent="0.35">
      <c r="A172" s="42"/>
      <c r="B172" s="42"/>
      <c r="C172" s="141"/>
      <c r="D172" s="141"/>
      <c r="E172" s="42"/>
      <c r="F172" s="42"/>
    </row>
    <row r="173" spans="1:6" s="91" customFormat="1" x14ac:dyDescent="0.35">
      <c r="A173" s="42"/>
      <c r="B173" s="42"/>
      <c r="C173" s="141"/>
      <c r="D173" s="141"/>
      <c r="E173" s="42"/>
      <c r="F173" s="42"/>
    </row>
    <row r="174" spans="1:6" s="91" customFormat="1" x14ac:dyDescent="0.35">
      <c r="A174" s="42"/>
      <c r="B174" s="42"/>
      <c r="C174" s="141"/>
      <c r="D174" s="141"/>
      <c r="E174" s="42"/>
      <c r="F174" s="42"/>
    </row>
    <row r="175" spans="1:6" s="91" customFormat="1" x14ac:dyDescent="0.35">
      <c r="A175" s="42"/>
      <c r="B175" s="42"/>
      <c r="C175" s="141"/>
      <c r="D175" s="141"/>
      <c r="E175" s="42"/>
      <c r="F175" s="42"/>
    </row>
    <row r="176" spans="1:6" s="91" customFormat="1" x14ac:dyDescent="0.35">
      <c r="A176" s="42"/>
      <c r="B176" s="42"/>
      <c r="C176" s="153"/>
      <c r="D176" s="141"/>
      <c r="E176" s="42"/>
      <c r="F176" s="42"/>
    </row>
    <row r="177" spans="1:6" s="91" customFormat="1" x14ac:dyDescent="0.35">
      <c r="A177" s="42"/>
      <c r="B177" s="42"/>
      <c r="C177" s="141"/>
      <c r="D177" s="141"/>
      <c r="E177" s="42"/>
      <c r="F177" s="42"/>
    </row>
    <row r="178" spans="1:6" s="91" customFormat="1" x14ac:dyDescent="0.35">
      <c r="A178" s="42"/>
      <c r="B178" s="42"/>
      <c r="C178" s="141"/>
      <c r="D178" s="141"/>
      <c r="E178" s="42"/>
      <c r="F178" s="42"/>
    </row>
    <row r="179" spans="1:6" s="91" customFormat="1" x14ac:dyDescent="0.35">
      <c r="A179" s="42"/>
      <c r="B179" s="42"/>
      <c r="C179" s="141"/>
      <c r="D179" s="141"/>
      <c r="E179" s="42"/>
      <c r="F179" s="42"/>
    </row>
    <row r="180" spans="1:6" s="91" customFormat="1" x14ac:dyDescent="0.35">
      <c r="A180" s="42"/>
      <c r="B180" s="42"/>
      <c r="C180" s="141"/>
      <c r="D180" s="141"/>
      <c r="E180" s="42"/>
      <c r="F180" s="42"/>
    </row>
    <row r="181" spans="1:6" s="91" customFormat="1" x14ac:dyDescent="0.35">
      <c r="A181" s="42"/>
      <c r="B181" s="42"/>
      <c r="C181" s="141"/>
      <c r="D181" s="141"/>
      <c r="E181" s="42"/>
      <c r="F181" s="42"/>
    </row>
    <row r="182" spans="1:6" s="149" customFormat="1" x14ac:dyDescent="0.35">
      <c r="A182" s="42"/>
      <c r="B182" s="42"/>
      <c r="C182" s="141"/>
      <c r="D182" s="141"/>
      <c r="E182" s="42"/>
      <c r="F182" s="42"/>
    </row>
    <row r="183" spans="1:6" s="91" customFormat="1" x14ac:dyDescent="0.35">
      <c r="A183" s="42"/>
      <c r="B183" s="42"/>
      <c r="C183" s="141"/>
      <c r="D183" s="141"/>
      <c r="E183" s="42"/>
      <c r="F183" s="42"/>
    </row>
    <row r="184" spans="1:6" s="91" customFormat="1" x14ac:dyDescent="0.35">
      <c r="A184" s="42"/>
      <c r="B184" s="42"/>
      <c r="C184" s="141"/>
      <c r="D184" s="141"/>
      <c r="E184" s="42"/>
      <c r="F184" s="42"/>
    </row>
    <row r="185" spans="1:6" s="91" customFormat="1" x14ac:dyDescent="0.35">
      <c r="A185" s="42"/>
      <c r="B185" s="42"/>
      <c r="C185" s="141"/>
      <c r="D185" s="141"/>
      <c r="E185" s="42"/>
      <c r="F185" s="42"/>
    </row>
    <row r="186" spans="1:6" s="91" customFormat="1" x14ac:dyDescent="0.35">
      <c r="A186" s="147"/>
      <c r="B186" s="147"/>
      <c r="C186" s="146"/>
      <c r="D186" s="146"/>
      <c r="E186" s="147"/>
      <c r="F186" s="147"/>
    </row>
    <row r="187" spans="1:6" s="91" customFormat="1" x14ac:dyDescent="0.35">
      <c r="A187" s="42"/>
      <c r="B187" s="42"/>
      <c r="C187" s="141"/>
      <c r="D187" s="141"/>
      <c r="E187" s="42"/>
      <c r="F187" s="42"/>
    </row>
    <row r="188" spans="1:6" s="91" customFormat="1" x14ac:dyDescent="0.35">
      <c r="A188" s="42"/>
      <c r="B188" s="42"/>
      <c r="C188" s="141"/>
      <c r="D188" s="141"/>
      <c r="E188" s="42"/>
      <c r="F188" s="42"/>
    </row>
    <row r="189" spans="1:6" s="91" customFormat="1" x14ac:dyDescent="0.35">
      <c r="A189" s="42"/>
      <c r="B189" s="42"/>
      <c r="C189" s="141"/>
      <c r="D189" s="141"/>
      <c r="E189" s="42"/>
      <c r="F189" s="42"/>
    </row>
    <row r="190" spans="1:6" s="91" customFormat="1" x14ac:dyDescent="0.35">
      <c r="A190" s="42"/>
      <c r="B190" s="42"/>
      <c r="C190" s="141"/>
      <c r="D190" s="141"/>
      <c r="E190" s="42"/>
      <c r="F190" s="42"/>
    </row>
    <row r="191" spans="1:6" s="91" customFormat="1" x14ac:dyDescent="0.35">
      <c r="A191" s="42"/>
      <c r="B191" s="42"/>
      <c r="C191" s="141"/>
      <c r="D191" s="141"/>
      <c r="E191" s="42"/>
      <c r="F191" s="42"/>
    </row>
    <row r="192" spans="1:6" s="91" customFormat="1" x14ac:dyDescent="0.35">
      <c r="A192" s="42"/>
      <c r="B192" s="42"/>
      <c r="C192" s="141"/>
      <c r="D192" s="141"/>
      <c r="E192" s="42"/>
      <c r="F192" s="42"/>
    </row>
    <row r="193" spans="1:6" s="91" customFormat="1" x14ac:dyDescent="0.35">
      <c r="A193" s="154"/>
      <c r="B193" s="42"/>
      <c r="C193" s="141"/>
      <c r="D193" s="141"/>
      <c r="E193" s="42"/>
      <c r="F193" s="42"/>
    </row>
    <row r="194" spans="1:6" s="91" customFormat="1" x14ac:dyDescent="0.35">
      <c r="A194" s="42"/>
      <c r="B194" s="42"/>
      <c r="C194" s="141"/>
      <c r="D194" s="141"/>
      <c r="E194" s="42"/>
      <c r="F194" s="42"/>
    </row>
    <row r="195" spans="1:6" s="91" customFormat="1" x14ac:dyDescent="0.35">
      <c r="A195" s="42"/>
      <c r="B195" s="42"/>
      <c r="C195" s="141"/>
      <c r="D195" s="141"/>
      <c r="E195" s="42"/>
      <c r="F195" s="42"/>
    </row>
    <row r="196" spans="1:6" s="91" customFormat="1" x14ac:dyDescent="0.35">
      <c r="A196" s="42"/>
      <c r="B196" s="42"/>
      <c r="C196" s="141"/>
      <c r="D196" s="141"/>
      <c r="E196" s="42"/>
      <c r="F196" s="42"/>
    </row>
    <row r="197" spans="1:6" s="91" customFormat="1" x14ac:dyDescent="0.35">
      <c r="A197" s="42"/>
      <c r="B197" s="42"/>
      <c r="C197" s="141"/>
      <c r="D197" s="141"/>
      <c r="E197" s="42"/>
      <c r="F197" s="42"/>
    </row>
    <row r="198" spans="1:6" s="91" customFormat="1" x14ac:dyDescent="0.35">
      <c r="A198" s="42"/>
      <c r="B198" s="42"/>
      <c r="C198" s="141"/>
      <c r="D198" s="141"/>
      <c r="E198" s="42"/>
      <c r="F198" s="42"/>
    </row>
    <row r="199" spans="1:6" s="55" customFormat="1" x14ac:dyDescent="0.35">
      <c r="A199" s="42"/>
      <c r="B199" s="42"/>
      <c r="C199" s="141"/>
      <c r="D199" s="141"/>
      <c r="E199" s="42"/>
      <c r="F199" s="42"/>
    </row>
    <row r="200" spans="1:6" s="155" customFormat="1" x14ac:dyDescent="0.35">
      <c r="A200" s="147"/>
      <c r="B200" s="147"/>
      <c r="C200" s="146"/>
      <c r="D200" s="146"/>
      <c r="E200" s="147"/>
      <c r="F200" s="147"/>
    </row>
    <row r="201" spans="1:6" s="91" customFormat="1" x14ac:dyDescent="0.35">
      <c r="A201" s="42"/>
      <c r="B201" s="42"/>
      <c r="C201" s="141"/>
      <c r="D201" s="141"/>
      <c r="E201" s="42"/>
      <c r="F201" s="42"/>
    </row>
    <row r="202" spans="1:6" s="91" customFormat="1" x14ac:dyDescent="0.35">
      <c r="A202" s="42"/>
      <c r="B202" s="42"/>
      <c r="C202" s="141"/>
      <c r="D202" s="141"/>
      <c r="E202" s="42"/>
      <c r="F202" s="42"/>
    </row>
    <row r="203" spans="1:6" s="149" customFormat="1" x14ac:dyDescent="0.35">
      <c r="A203" s="147"/>
      <c r="B203" s="147"/>
      <c r="C203" s="146"/>
      <c r="D203" s="156"/>
      <c r="E203" s="157"/>
      <c r="F203" s="147"/>
    </row>
    <row r="204" spans="1:6" s="149" customFormat="1" x14ac:dyDescent="0.35">
      <c r="A204" s="147"/>
      <c r="B204" s="147"/>
      <c r="C204" s="146"/>
      <c r="D204" s="156"/>
      <c r="E204" s="157"/>
      <c r="F204" s="147"/>
    </row>
    <row r="205" spans="1:6" s="149" customFormat="1" x14ac:dyDescent="0.35">
      <c r="A205" s="42"/>
      <c r="B205" s="42"/>
      <c r="C205" s="141"/>
      <c r="D205" s="141"/>
      <c r="E205" s="42"/>
      <c r="F205" s="42"/>
    </row>
    <row r="206" spans="1:6" s="149" customFormat="1" x14ac:dyDescent="0.35">
      <c r="A206" s="42"/>
      <c r="B206" s="42"/>
      <c r="C206" s="141"/>
      <c r="D206" s="141"/>
      <c r="E206" s="42"/>
      <c r="F206" s="42"/>
    </row>
    <row r="207" spans="1:6" s="149" customFormat="1" x14ac:dyDescent="0.35">
      <c r="A207" s="42"/>
      <c r="B207" s="42"/>
      <c r="C207" s="141"/>
      <c r="D207" s="141"/>
      <c r="E207" s="42"/>
      <c r="F207" s="42"/>
    </row>
    <row r="209" spans="1:6" s="91" customFormat="1" x14ac:dyDescent="0.35">
      <c r="A209" s="42"/>
      <c r="B209" s="42"/>
      <c r="C209" s="141"/>
      <c r="D209" s="141"/>
      <c r="E209" s="42"/>
      <c r="F209" s="42"/>
    </row>
    <row r="210" spans="1:6" s="91" customFormat="1" x14ac:dyDescent="0.35">
      <c r="A210" s="42"/>
      <c r="B210" s="42"/>
      <c r="C210" s="141"/>
      <c r="D210" s="141"/>
      <c r="E210" s="42"/>
      <c r="F210" s="42"/>
    </row>
    <row r="211" spans="1:6" s="91" customFormat="1" x14ac:dyDescent="0.35">
      <c r="A211" s="42"/>
      <c r="B211" s="42"/>
      <c r="C211" s="141"/>
      <c r="D211" s="141"/>
      <c r="E211" s="42"/>
      <c r="F211" s="42"/>
    </row>
    <row r="212" spans="1:6" s="91" customFormat="1" x14ac:dyDescent="0.35">
      <c r="A212" s="42"/>
      <c r="B212" s="42"/>
      <c r="C212" s="141"/>
      <c r="D212" s="141"/>
      <c r="E212" s="42"/>
      <c r="F212" s="42"/>
    </row>
    <row r="213" spans="1:6" s="91" customFormat="1" x14ac:dyDescent="0.35">
      <c r="A213" s="42"/>
      <c r="B213" s="42"/>
      <c r="C213" s="141"/>
      <c r="D213" s="141"/>
      <c r="E213" s="42"/>
      <c r="F213" s="42"/>
    </row>
    <row r="214" spans="1:6" s="91" customFormat="1" x14ac:dyDescent="0.35">
      <c r="A214" s="42"/>
      <c r="B214" s="42"/>
      <c r="C214" s="141"/>
      <c r="D214" s="141"/>
      <c r="E214" s="42"/>
      <c r="F214" s="42"/>
    </row>
    <row r="215" spans="1:6" s="91" customFormat="1" x14ac:dyDescent="0.35">
      <c r="A215" s="42"/>
      <c r="B215" s="42"/>
      <c r="C215" s="141"/>
      <c r="D215" s="141"/>
      <c r="E215" s="42"/>
      <c r="F215" s="42"/>
    </row>
    <row r="216" spans="1:6" s="91" customFormat="1" x14ac:dyDescent="0.35">
      <c r="A216" s="42"/>
      <c r="B216" s="42"/>
      <c r="C216" s="141"/>
      <c r="D216" s="141"/>
      <c r="E216" s="42"/>
      <c r="F216" s="42"/>
    </row>
    <row r="217" spans="1:6" s="91" customFormat="1" x14ac:dyDescent="0.35">
      <c r="A217" s="42"/>
      <c r="B217" s="42"/>
      <c r="C217" s="141"/>
      <c r="D217" s="141"/>
      <c r="E217" s="42"/>
      <c r="F217" s="42"/>
    </row>
    <row r="218" spans="1:6" s="91" customFormat="1" x14ac:dyDescent="0.35">
      <c r="A218" s="42"/>
      <c r="B218" s="42"/>
      <c r="C218" s="141"/>
      <c r="D218" s="141"/>
      <c r="E218" s="42"/>
      <c r="F218" s="42"/>
    </row>
    <row r="219" spans="1:6" s="91" customFormat="1" x14ac:dyDescent="0.35">
      <c r="A219" s="42"/>
      <c r="B219" s="42"/>
      <c r="C219" s="141"/>
      <c r="D219" s="141"/>
      <c r="E219" s="42"/>
      <c r="F219" s="42"/>
    </row>
    <row r="220" spans="1:6" s="91" customFormat="1" x14ac:dyDescent="0.35">
      <c r="A220" s="42"/>
      <c r="B220" s="42"/>
      <c r="C220" s="141"/>
      <c r="D220" s="141"/>
      <c r="E220" s="42"/>
      <c r="F220" s="42"/>
    </row>
    <row r="221" spans="1:6" s="91" customFormat="1" x14ac:dyDescent="0.35">
      <c r="A221" s="42"/>
      <c r="B221" s="42"/>
      <c r="C221" s="141"/>
      <c r="D221" s="141"/>
      <c r="E221" s="42"/>
      <c r="F221" s="42"/>
    </row>
    <row r="222" spans="1:6" s="55" customFormat="1" x14ac:dyDescent="0.35">
      <c r="A222" s="42"/>
      <c r="B222" s="42"/>
      <c r="C222" s="141"/>
      <c r="D222" s="141"/>
      <c r="E222" s="42"/>
      <c r="F222" s="42"/>
    </row>
    <row r="223" spans="1:6" s="91" customFormat="1" x14ac:dyDescent="0.35">
      <c r="A223" s="42"/>
      <c r="B223" s="42"/>
      <c r="C223" s="141"/>
      <c r="D223" s="141"/>
      <c r="E223" s="42"/>
      <c r="F223" s="42"/>
    </row>
    <row r="224" spans="1:6" s="149" customFormat="1" x14ac:dyDescent="0.35">
      <c r="A224" s="147"/>
      <c r="B224" s="147"/>
      <c r="C224" s="146"/>
      <c r="D224" s="146"/>
      <c r="E224" s="147"/>
      <c r="F224" s="147"/>
    </row>
    <row r="225" spans="1:6" s="149" customFormat="1" x14ac:dyDescent="0.35">
      <c r="A225" s="147"/>
      <c r="B225" s="147"/>
      <c r="C225" s="146"/>
      <c r="D225" s="156"/>
      <c r="E225" s="157"/>
      <c r="F225" s="147"/>
    </row>
    <row r="226" spans="1:6" s="149" customFormat="1" x14ac:dyDescent="0.35">
      <c r="A226" s="147"/>
      <c r="B226" s="147"/>
      <c r="C226" s="146"/>
      <c r="D226" s="156"/>
      <c r="E226" s="157"/>
      <c r="F226" s="147"/>
    </row>
    <row r="227" spans="1:6" s="91" customFormat="1" x14ac:dyDescent="0.35">
      <c r="A227" s="42"/>
      <c r="B227" s="42"/>
      <c r="C227" s="141"/>
      <c r="D227" s="158"/>
      <c r="E227" s="42"/>
      <c r="F227" s="42"/>
    </row>
    <row r="228" spans="1:6" s="91" customFormat="1" x14ac:dyDescent="0.35">
      <c r="A228" s="42"/>
      <c r="B228" s="42"/>
      <c r="C228" s="141"/>
      <c r="D228" s="158"/>
      <c r="E228" s="42"/>
      <c r="F228" s="42"/>
    </row>
    <row r="229" spans="1:6" s="91" customFormat="1" x14ac:dyDescent="0.35">
      <c r="A229" s="42"/>
      <c r="B229" s="55"/>
      <c r="C229" s="141"/>
      <c r="D229" s="141"/>
      <c r="E229" s="42"/>
      <c r="F229" s="42"/>
    </row>
    <row r="230" spans="1:6" s="91" customFormat="1" x14ac:dyDescent="0.35">
      <c r="A230" s="42"/>
      <c r="B230" s="42"/>
      <c r="C230" s="141"/>
      <c r="D230" s="141"/>
      <c r="E230" s="42"/>
      <c r="F230" s="42"/>
    </row>
    <row r="231" spans="1:6" s="91" customFormat="1" x14ac:dyDescent="0.35">
      <c r="A231" s="42"/>
      <c r="B231" s="42"/>
      <c r="C231" s="141"/>
      <c r="D231" s="141"/>
      <c r="E231" s="42"/>
      <c r="F231" s="42"/>
    </row>
    <row r="232" spans="1:6" s="91" customFormat="1" x14ac:dyDescent="0.35">
      <c r="A232" s="42"/>
      <c r="B232" s="42"/>
      <c r="C232" s="141"/>
      <c r="D232" s="141"/>
      <c r="E232" s="42"/>
      <c r="F232" s="42"/>
    </row>
    <row r="233" spans="1:6" s="91" customFormat="1" x14ac:dyDescent="0.35">
      <c r="A233" s="42"/>
      <c r="B233" s="42"/>
      <c r="C233" s="141"/>
      <c r="D233" s="141"/>
      <c r="E233" s="42"/>
      <c r="F233" s="42"/>
    </row>
    <row r="234" spans="1:6" s="91" customFormat="1" x14ac:dyDescent="0.35">
      <c r="A234" s="42"/>
      <c r="B234" s="42"/>
      <c r="C234" s="141"/>
      <c r="D234" s="141"/>
      <c r="E234" s="42"/>
      <c r="F234" s="42"/>
    </row>
    <row r="235" spans="1:6" s="91" customFormat="1" x14ac:dyDescent="0.35">
      <c r="A235" s="42"/>
      <c r="B235" s="42"/>
      <c r="C235" s="141"/>
      <c r="D235" s="141"/>
      <c r="E235" s="42"/>
      <c r="F235" s="42"/>
    </row>
    <row r="236" spans="1:6" s="91" customFormat="1" x14ac:dyDescent="0.35">
      <c r="A236" s="42"/>
      <c r="B236" s="42"/>
      <c r="C236" s="141"/>
      <c r="D236" s="141"/>
      <c r="E236" s="42"/>
      <c r="F236" s="42"/>
    </row>
    <row r="237" spans="1:6" x14ac:dyDescent="0.3">
      <c r="A237" s="42"/>
      <c r="B237" s="42"/>
      <c r="C237" s="141"/>
      <c r="D237" s="141"/>
      <c r="E237" s="42"/>
      <c r="F237" s="42"/>
    </row>
    <row r="238" spans="1:6" x14ac:dyDescent="0.3">
      <c r="A238" s="42"/>
      <c r="B238" s="42"/>
      <c r="C238" s="141"/>
      <c r="D238" s="141"/>
      <c r="E238" s="42"/>
      <c r="F238" s="42"/>
    </row>
    <row r="239" spans="1:6" x14ac:dyDescent="0.3">
      <c r="A239" s="42"/>
      <c r="B239" s="42"/>
      <c r="C239" s="141"/>
      <c r="D239" s="141"/>
      <c r="E239" s="42"/>
      <c r="F239" s="42"/>
    </row>
    <row r="240" spans="1:6" x14ac:dyDescent="0.3">
      <c r="A240" s="42"/>
      <c r="B240" s="42"/>
      <c r="C240" s="141"/>
      <c r="D240" s="141"/>
      <c r="E240" s="42"/>
      <c r="F240" s="42"/>
    </row>
    <row r="241" spans="1:6" x14ac:dyDescent="0.3">
      <c r="A241" s="42"/>
      <c r="B241" s="42"/>
      <c r="C241" s="141"/>
      <c r="D241" s="141"/>
      <c r="E241" s="42"/>
      <c r="F241" s="42"/>
    </row>
    <row r="242" spans="1:6" x14ac:dyDescent="0.3">
      <c r="A242" s="42"/>
      <c r="B242" s="42"/>
      <c r="C242" s="141"/>
      <c r="D242" s="141"/>
      <c r="E242" s="42"/>
      <c r="F242" s="42"/>
    </row>
    <row r="243" spans="1:6" x14ac:dyDescent="0.3">
      <c r="A243" s="42"/>
      <c r="B243" s="42"/>
      <c r="C243" s="141"/>
      <c r="D243" s="141"/>
      <c r="E243" s="42"/>
      <c r="F243" s="42"/>
    </row>
    <row r="244" spans="1:6" x14ac:dyDescent="0.3">
      <c r="A244" s="42"/>
      <c r="B244" s="42"/>
      <c r="C244" s="141"/>
      <c r="D244" s="141"/>
      <c r="E244" s="42"/>
      <c r="F244" s="42"/>
    </row>
    <row r="245" spans="1:6" x14ac:dyDescent="0.3">
      <c r="A245" s="42"/>
      <c r="B245" s="42"/>
      <c r="C245" s="141"/>
      <c r="D245" s="141"/>
      <c r="E245" s="42"/>
      <c r="F245" s="42"/>
    </row>
    <row r="246" spans="1:6" x14ac:dyDescent="0.3">
      <c r="A246" s="42"/>
      <c r="B246" s="42"/>
      <c r="C246" s="141"/>
      <c r="D246" s="141"/>
      <c r="E246" s="42"/>
      <c r="F246" s="42"/>
    </row>
    <row r="247" spans="1:6" x14ac:dyDescent="0.3">
      <c r="A247" s="42"/>
      <c r="B247" s="42"/>
      <c r="C247" s="141"/>
      <c r="D247" s="141"/>
      <c r="E247" s="42"/>
      <c r="F247" s="42"/>
    </row>
    <row r="248" spans="1:6" x14ac:dyDescent="0.3">
      <c r="A248" s="42"/>
      <c r="B248" s="42"/>
      <c r="C248" s="141"/>
      <c r="D248" s="141"/>
      <c r="E248" s="42"/>
      <c r="F248" s="42"/>
    </row>
    <row r="249" spans="1:6" x14ac:dyDescent="0.3">
      <c r="A249" s="42"/>
      <c r="B249" s="42"/>
      <c r="C249" s="141"/>
      <c r="D249" s="141"/>
      <c r="E249" s="42"/>
      <c r="F249" s="42"/>
    </row>
    <row r="250" spans="1:6" x14ac:dyDescent="0.3">
      <c r="A250" s="42"/>
      <c r="B250" s="42"/>
      <c r="C250" s="141"/>
      <c r="D250" s="141"/>
      <c r="E250" s="42"/>
      <c r="F250" s="42"/>
    </row>
    <row r="251" spans="1:6" x14ac:dyDescent="0.3">
      <c r="A251" s="42"/>
      <c r="B251" s="42"/>
      <c r="C251" s="141"/>
      <c r="D251" s="141"/>
      <c r="E251" s="42"/>
      <c r="F251" s="42"/>
    </row>
    <row r="252" spans="1:6" x14ac:dyDescent="0.3">
      <c r="A252" s="42"/>
      <c r="B252" s="42"/>
      <c r="C252" s="141"/>
      <c r="D252" s="141"/>
      <c r="E252" s="42"/>
      <c r="F252" s="42"/>
    </row>
    <row r="253" spans="1:6" x14ac:dyDescent="0.3">
      <c r="A253" s="42"/>
      <c r="B253" s="42"/>
      <c r="C253" s="141"/>
      <c r="D253" s="141"/>
      <c r="E253" s="42"/>
      <c r="F253" s="42"/>
    </row>
    <row r="254" spans="1:6" x14ac:dyDescent="0.3">
      <c r="A254" s="42"/>
      <c r="B254" s="42"/>
      <c r="C254" s="141"/>
      <c r="D254" s="141"/>
      <c r="E254" s="42"/>
      <c r="F254" s="42"/>
    </row>
    <row r="255" spans="1:6" x14ac:dyDescent="0.3">
      <c r="A255" s="42"/>
      <c r="B255" s="42"/>
      <c r="C255" s="141"/>
      <c r="D255" s="141"/>
      <c r="E255" s="42"/>
      <c r="F255" s="42"/>
    </row>
    <row r="256" spans="1:6" x14ac:dyDescent="0.3">
      <c r="A256" s="42"/>
      <c r="B256" s="42"/>
      <c r="C256" s="141"/>
      <c r="D256" s="141"/>
      <c r="E256" s="42"/>
      <c r="F256" s="42"/>
    </row>
    <row r="257" spans="1:6" x14ac:dyDescent="0.3">
      <c r="A257" s="42"/>
      <c r="B257" s="42"/>
      <c r="C257" s="141"/>
      <c r="D257" s="141"/>
      <c r="E257" s="42"/>
      <c r="F257" s="42"/>
    </row>
    <row r="258" spans="1:6" x14ac:dyDescent="0.3">
      <c r="A258" s="42"/>
      <c r="B258" s="42"/>
      <c r="C258" s="141"/>
      <c r="D258" s="141"/>
      <c r="E258" s="42"/>
      <c r="F258" s="42"/>
    </row>
    <row r="259" spans="1:6" x14ac:dyDescent="0.3">
      <c r="A259" s="42"/>
      <c r="B259" s="42"/>
      <c r="C259" s="141"/>
      <c r="D259" s="141"/>
      <c r="E259" s="42"/>
      <c r="F259" s="42"/>
    </row>
    <row r="260" spans="1:6" x14ac:dyDescent="0.3">
      <c r="A260" s="42"/>
      <c r="B260" s="42"/>
      <c r="C260" s="141"/>
      <c r="D260" s="141"/>
      <c r="E260" s="42"/>
      <c r="F260" s="42"/>
    </row>
    <row r="261" spans="1:6" x14ac:dyDescent="0.3">
      <c r="A261" s="42"/>
      <c r="B261" s="42"/>
      <c r="C261" s="141"/>
      <c r="D261" s="141"/>
      <c r="E261" s="42"/>
      <c r="F261" s="42"/>
    </row>
    <row r="262" spans="1:6" x14ac:dyDescent="0.3">
      <c r="A262" s="42"/>
      <c r="B262" s="42"/>
      <c r="C262" s="141"/>
      <c r="D262" s="141"/>
      <c r="E262" s="42"/>
      <c r="F262" s="42"/>
    </row>
    <row r="263" spans="1:6" x14ac:dyDescent="0.3">
      <c r="A263" s="42"/>
      <c r="B263" s="42"/>
      <c r="C263" s="141"/>
      <c r="D263" s="141"/>
      <c r="E263" s="42"/>
      <c r="F263" s="42"/>
    </row>
    <row r="264" spans="1:6" x14ac:dyDescent="0.3">
      <c r="A264" s="42"/>
      <c r="B264" s="42"/>
      <c r="C264" s="141"/>
      <c r="D264" s="141"/>
      <c r="E264" s="42"/>
      <c r="F264" s="42"/>
    </row>
    <row r="265" spans="1:6" x14ac:dyDescent="0.3">
      <c r="A265" s="42"/>
      <c r="B265" s="42"/>
      <c r="C265" s="141"/>
      <c r="D265" s="141"/>
      <c r="E265" s="42"/>
      <c r="F265" s="42"/>
    </row>
    <row r="266" spans="1:6" x14ac:dyDescent="0.3">
      <c r="A266" s="42"/>
      <c r="B266" s="42"/>
      <c r="C266" s="141"/>
      <c r="D266" s="141"/>
      <c r="E266" s="42"/>
      <c r="F266" s="42"/>
    </row>
    <row r="267" spans="1:6" x14ac:dyDescent="0.3">
      <c r="A267" s="42"/>
      <c r="B267" s="42"/>
      <c r="C267" s="141"/>
      <c r="D267" s="141"/>
      <c r="E267" s="42"/>
      <c r="F267" s="42"/>
    </row>
    <row r="268" spans="1:6" x14ac:dyDescent="0.3">
      <c r="A268" s="42"/>
      <c r="B268" s="42"/>
      <c r="C268" s="141"/>
      <c r="D268" s="141"/>
      <c r="E268" s="42"/>
      <c r="F268" s="42"/>
    </row>
    <row r="269" spans="1:6" x14ac:dyDescent="0.3">
      <c r="A269" s="42"/>
      <c r="B269" s="42"/>
      <c r="C269" s="141"/>
      <c r="D269" s="141"/>
      <c r="E269" s="42"/>
      <c r="F269" s="42"/>
    </row>
    <row r="270" spans="1:6" x14ac:dyDescent="0.3">
      <c r="A270" s="42"/>
      <c r="B270" s="42"/>
      <c r="C270" s="141"/>
      <c r="D270" s="141"/>
      <c r="E270" s="42"/>
      <c r="F270" s="42"/>
    </row>
    <row r="271" spans="1:6" x14ac:dyDescent="0.3">
      <c r="A271" s="42"/>
      <c r="B271" s="42"/>
      <c r="C271" s="141"/>
      <c r="D271" s="141"/>
      <c r="E271" s="42"/>
      <c r="F271" s="42"/>
    </row>
    <row r="272" spans="1:6" x14ac:dyDescent="0.3">
      <c r="A272" s="42"/>
      <c r="B272" s="42"/>
      <c r="C272" s="141"/>
      <c r="D272" s="141"/>
      <c r="E272" s="42"/>
      <c r="F272" s="42"/>
    </row>
    <row r="273" spans="1:6" x14ac:dyDescent="0.3">
      <c r="A273" s="42"/>
      <c r="B273" s="42"/>
      <c r="C273" s="141"/>
      <c r="D273" s="141"/>
      <c r="E273" s="42"/>
      <c r="F273" s="42"/>
    </row>
    <row r="274" spans="1:6" x14ac:dyDescent="0.3">
      <c r="A274" s="42"/>
      <c r="B274" s="42"/>
      <c r="C274" s="141"/>
      <c r="D274" s="141"/>
      <c r="E274" s="42"/>
      <c r="F274" s="42"/>
    </row>
    <row r="275" spans="1:6" x14ac:dyDescent="0.3">
      <c r="A275" s="42"/>
      <c r="B275" s="42"/>
      <c r="C275" s="141"/>
      <c r="D275" s="141"/>
      <c r="E275" s="42"/>
      <c r="F275" s="42"/>
    </row>
    <row r="276" spans="1:6" x14ac:dyDescent="0.3">
      <c r="A276" s="42"/>
      <c r="B276" s="42"/>
      <c r="C276" s="141"/>
      <c r="D276" s="141"/>
      <c r="E276" s="42"/>
      <c r="F276" s="42"/>
    </row>
    <row r="277" spans="1:6" x14ac:dyDescent="0.3">
      <c r="A277" s="42"/>
      <c r="B277" s="42"/>
      <c r="C277" s="141"/>
      <c r="D277" s="141"/>
      <c r="E277" s="42"/>
      <c r="F277" s="42"/>
    </row>
    <row r="278" spans="1:6" x14ac:dyDescent="0.3">
      <c r="A278" s="42"/>
      <c r="B278" s="42"/>
      <c r="C278" s="141"/>
      <c r="D278" s="141"/>
      <c r="E278" s="42"/>
      <c r="F278" s="42"/>
    </row>
    <row r="279" spans="1:6" x14ac:dyDescent="0.3">
      <c r="A279" s="42"/>
      <c r="B279" s="42"/>
      <c r="C279" s="141"/>
      <c r="D279" s="141"/>
      <c r="E279" s="42"/>
      <c r="F279" s="42"/>
    </row>
    <row r="280" spans="1:6" x14ac:dyDescent="0.3">
      <c r="A280" s="42"/>
      <c r="B280" s="42"/>
      <c r="C280" s="141"/>
      <c r="D280" s="141"/>
      <c r="E280" s="42"/>
      <c r="F280" s="42"/>
    </row>
    <row r="281" spans="1:6" x14ac:dyDescent="0.3">
      <c r="A281" s="42"/>
      <c r="B281" s="42"/>
      <c r="C281" s="141"/>
      <c r="D281" s="141"/>
      <c r="E281" s="42"/>
      <c r="F281" s="42"/>
    </row>
    <row r="282" spans="1:6" x14ac:dyDescent="0.3">
      <c r="A282" s="42"/>
      <c r="B282" s="42"/>
      <c r="C282" s="141"/>
      <c r="D282" s="141"/>
      <c r="E282" s="42"/>
      <c r="F282" s="42"/>
    </row>
    <row r="283" spans="1:6" x14ac:dyDescent="0.3">
      <c r="A283" s="42"/>
      <c r="B283" s="42"/>
      <c r="C283" s="141"/>
      <c r="D283" s="141"/>
      <c r="E283" s="42"/>
      <c r="F283" s="42"/>
    </row>
    <row r="284" spans="1:6" x14ac:dyDescent="0.3">
      <c r="A284" s="42"/>
      <c r="B284" s="42"/>
      <c r="C284" s="141"/>
      <c r="D284" s="141"/>
      <c r="E284" s="42"/>
      <c r="F284" s="42"/>
    </row>
    <row r="285" spans="1:6" x14ac:dyDescent="0.3">
      <c r="A285" s="42"/>
      <c r="B285" s="42"/>
      <c r="C285" s="141"/>
      <c r="D285" s="141"/>
      <c r="E285" s="42"/>
      <c r="F285" s="42"/>
    </row>
    <row r="286" spans="1:6" x14ac:dyDescent="0.3">
      <c r="A286" s="42"/>
      <c r="B286" s="42"/>
      <c r="C286" s="141"/>
      <c r="D286" s="141"/>
      <c r="E286" s="42"/>
      <c r="F286" s="42"/>
    </row>
    <row r="287" spans="1:6" x14ac:dyDescent="0.3">
      <c r="A287" s="42"/>
      <c r="B287" s="42"/>
      <c r="C287" s="141"/>
      <c r="D287" s="141"/>
      <c r="E287" s="42"/>
      <c r="F287" s="42"/>
    </row>
    <row r="288" spans="1:6" x14ac:dyDescent="0.3">
      <c r="A288" s="42"/>
      <c r="B288" s="42"/>
      <c r="C288" s="141"/>
      <c r="D288" s="141"/>
      <c r="E288" s="42"/>
      <c r="F288" s="42"/>
    </row>
    <row r="289" spans="1:6" x14ac:dyDescent="0.3">
      <c r="A289" s="42"/>
      <c r="B289" s="42"/>
      <c r="C289" s="141"/>
      <c r="D289" s="141"/>
      <c r="E289" s="42"/>
      <c r="F289" s="42"/>
    </row>
    <row r="290" spans="1:6" x14ac:dyDescent="0.3">
      <c r="C290" s="141"/>
      <c r="D290" s="141"/>
      <c r="E290" s="42"/>
      <c r="F290" s="42"/>
    </row>
    <row r="291" spans="1:6" x14ac:dyDescent="0.3">
      <c r="A291" s="42"/>
      <c r="B291" s="42"/>
      <c r="C291" s="141"/>
      <c r="D291" s="141"/>
      <c r="E291" s="42"/>
      <c r="F291" s="42"/>
    </row>
    <row r="292" spans="1:6" x14ac:dyDescent="0.3">
      <c r="A292" s="42"/>
      <c r="B292" s="42"/>
      <c r="C292" s="141"/>
      <c r="D292" s="141"/>
      <c r="E292" s="42"/>
      <c r="F292" s="42"/>
    </row>
    <row r="293" spans="1:6" x14ac:dyDescent="0.3">
      <c r="A293" s="42"/>
      <c r="B293" s="42"/>
      <c r="C293" s="141"/>
      <c r="D293" s="141"/>
      <c r="E293" s="42"/>
      <c r="F293" s="42"/>
    </row>
    <row r="294" spans="1:6" x14ac:dyDescent="0.3">
      <c r="A294" s="42"/>
      <c r="B294" s="42"/>
      <c r="C294" s="141"/>
      <c r="D294" s="141"/>
      <c r="E294" s="42"/>
      <c r="F294" s="42"/>
    </row>
    <row r="295" spans="1:6" x14ac:dyDescent="0.3">
      <c r="A295" s="42"/>
      <c r="B295" s="42"/>
      <c r="C295" s="141"/>
      <c r="D295" s="141"/>
      <c r="E295" s="42"/>
      <c r="F295" s="42"/>
    </row>
    <row r="296" spans="1:6" x14ac:dyDescent="0.3">
      <c r="A296" s="42"/>
      <c r="B296" s="42"/>
      <c r="C296" s="141"/>
      <c r="D296" s="141"/>
      <c r="E296" s="42"/>
      <c r="F296" s="42"/>
    </row>
    <row r="297" spans="1:6" s="55" customFormat="1" x14ac:dyDescent="0.35">
      <c r="A297" s="42"/>
      <c r="B297" s="42"/>
      <c r="C297" s="141"/>
      <c r="D297" s="141"/>
      <c r="E297" s="42"/>
      <c r="F297" s="42"/>
    </row>
    <row r="298" spans="1:6" x14ac:dyDescent="0.3">
      <c r="A298" s="42"/>
      <c r="B298" s="42"/>
      <c r="C298" s="141"/>
      <c r="D298" s="141"/>
      <c r="E298" s="42"/>
      <c r="F298" s="42"/>
    </row>
    <row r="299" spans="1:6" x14ac:dyDescent="0.3">
      <c r="A299" s="42"/>
      <c r="B299" s="42"/>
      <c r="C299" s="141"/>
      <c r="D299" s="141"/>
      <c r="E299" s="42"/>
      <c r="F299" s="42"/>
    </row>
    <row r="300" spans="1:6" x14ac:dyDescent="0.3">
      <c r="A300" s="42"/>
      <c r="B300" s="42"/>
      <c r="C300" s="141"/>
      <c r="D300" s="141"/>
      <c r="E300" s="42"/>
      <c r="F300" s="42"/>
    </row>
    <row r="301" spans="1:6" s="56" customFormat="1" x14ac:dyDescent="0.3">
      <c r="A301" s="147"/>
      <c r="B301" s="147"/>
      <c r="C301" s="146"/>
      <c r="D301" s="156"/>
      <c r="E301" s="157"/>
      <c r="F301" s="147"/>
    </row>
    <row r="302" spans="1:6" x14ac:dyDescent="0.3">
      <c r="A302" s="42"/>
      <c r="B302" s="42"/>
      <c r="C302" s="141"/>
      <c r="D302" s="141"/>
      <c r="E302" s="42"/>
      <c r="F302" s="42"/>
    </row>
    <row r="303" spans="1:6" x14ac:dyDescent="0.3">
      <c r="A303" s="42"/>
      <c r="B303" s="42"/>
      <c r="C303" s="141"/>
      <c r="D303" s="141"/>
      <c r="E303" s="42"/>
      <c r="F303" s="42"/>
    </row>
    <row r="304" spans="1:6" x14ac:dyDescent="0.3">
      <c r="A304" s="42"/>
      <c r="B304" s="42"/>
      <c r="C304" s="141"/>
      <c r="D304" s="141"/>
      <c r="E304" s="42"/>
      <c r="F304" s="42"/>
    </row>
    <row r="305" spans="1:6" x14ac:dyDescent="0.3">
      <c r="A305" s="42"/>
      <c r="B305" s="42"/>
      <c r="C305" s="141"/>
      <c r="D305" s="141"/>
      <c r="E305" s="42"/>
      <c r="F305" s="42"/>
    </row>
    <row r="306" spans="1:6" s="149" customFormat="1" x14ac:dyDescent="0.35">
      <c r="A306" s="147"/>
      <c r="B306" s="147"/>
      <c r="C306" s="146"/>
      <c r="D306" s="156"/>
      <c r="E306" s="157"/>
      <c r="F306" s="147"/>
    </row>
    <row r="307" spans="1:6" x14ac:dyDescent="0.3">
      <c r="A307" s="42"/>
      <c r="B307" s="42"/>
      <c r="C307" s="141"/>
      <c r="D307" s="141"/>
      <c r="E307" s="42"/>
      <c r="F307" s="42"/>
    </row>
    <row r="308" spans="1:6" x14ac:dyDescent="0.3">
      <c r="A308" s="42"/>
      <c r="B308" s="42"/>
      <c r="C308" s="141"/>
      <c r="D308" s="141"/>
      <c r="E308" s="42"/>
      <c r="F308" s="42"/>
    </row>
    <row r="309" spans="1:6" x14ac:dyDescent="0.3">
      <c r="A309" s="42"/>
      <c r="B309" s="42"/>
      <c r="C309" s="141"/>
      <c r="D309" s="141"/>
      <c r="E309" s="42"/>
      <c r="F309" s="42"/>
    </row>
    <row r="310" spans="1:6" x14ac:dyDescent="0.3">
      <c r="A310" s="42"/>
      <c r="B310" s="42"/>
      <c r="C310" s="141"/>
      <c r="D310" s="141"/>
      <c r="E310" s="42"/>
      <c r="F310" s="42"/>
    </row>
    <row r="311" spans="1:6" x14ac:dyDescent="0.3">
      <c r="A311" s="42"/>
      <c r="B311" s="42"/>
      <c r="C311" s="141"/>
      <c r="D311" s="141"/>
      <c r="E311" s="42"/>
      <c r="F311" s="42"/>
    </row>
    <row r="312" spans="1:6" x14ac:dyDescent="0.3">
      <c r="A312" s="42"/>
      <c r="B312" s="42"/>
      <c r="C312" s="141"/>
      <c r="D312" s="141"/>
      <c r="E312" s="42"/>
      <c r="F312" s="42"/>
    </row>
    <row r="313" spans="1:6" x14ac:dyDescent="0.3">
      <c r="A313" s="42"/>
      <c r="B313" s="42"/>
      <c r="C313" s="141"/>
      <c r="D313" s="141"/>
      <c r="E313" s="42"/>
      <c r="F313" s="42"/>
    </row>
    <row r="314" spans="1:6" x14ac:dyDescent="0.3">
      <c r="A314" s="42"/>
      <c r="B314" s="42"/>
      <c r="C314" s="141"/>
      <c r="D314" s="141"/>
      <c r="E314" s="42"/>
      <c r="F314" s="42"/>
    </row>
    <row r="315" spans="1:6" x14ac:dyDescent="0.3">
      <c r="A315" s="42"/>
      <c r="B315" s="42"/>
      <c r="C315" s="141"/>
      <c r="D315" s="141"/>
      <c r="E315" s="42"/>
      <c r="F315" s="42"/>
    </row>
    <row r="316" spans="1:6" x14ac:dyDescent="0.3">
      <c r="A316" s="42"/>
      <c r="B316" s="42"/>
      <c r="C316" s="141"/>
      <c r="D316" s="141"/>
      <c r="E316" s="42"/>
      <c r="F316" s="42"/>
    </row>
    <row r="317" spans="1:6" x14ac:dyDescent="0.3">
      <c r="A317" s="42"/>
      <c r="B317" s="42"/>
      <c r="C317" s="141"/>
      <c r="D317" s="141"/>
      <c r="E317" s="42"/>
      <c r="F317" s="42"/>
    </row>
    <row r="318" spans="1:6" x14ac:dyDescent="0.3">
      <c r="A318" s="42"/>
      <c r="B318" s="42"/>
      <c r="C318" s="141"/>
      <c r="D318" s="141"/>
      <c r="E318" s="42"/>
      <c r="F318" s="42"/>
    </row>
    <row r="319" spans="1:6" x14ac:dyDescent="0.3">
      <c r="A319" s="42"/>
      <c r="B319" s="42"/>
      <c r="C319" s="141"/>
      <c r="D319" s="141"/>
      <c r="E319" s="42"/>
      <c r="F319" s="42"/>
    </row>
    <row r="320" spans="1:6" x14ac:dyDescent="0.3">
      <c r="A320" s="42"/>
      <c r="B320" s="42"/>
      <c r="C320" s="141"/>
      <c r="D320" s="141"/>
      <c r="E320" s="42"/>
      <c r="F320" s="42"/>
    </row>
    <row r="321" spans="1:6" x14ac:dyDescent="0.3">
      <c r="A321" s="42"/>
      <c r="B321" s="42"/>
      <c r="C321" s="141"/>
      <c r="D321" s="141"/>
      <c r="E321" s="42"/>
      <c r="F321" s="42"/>
    </row>
    <row r="322" spans="1:6" s="56" customFormat="1" x14ac:dyDescent="0.3">
      <c r="A322" s="147"/>
      <c r="B322" s="147"/>
      <c r="C322" s="141"/>
      <c r="D322" s="141"/>
      <c r="E322" s="156"/>
      <c r="F322" s="147"/>
    </row>
    <row r="323" spans="1:6" x14ac:dyDescent="0.3">
      <c r="A323" s="42"/>
      <c r="B323" s="42"/>
      <c r="C323" s="141"/>
      <c r="D323" s="141"/>
      <c r="E323" s="42"/>
      <c r="F323" s="42"/>
    </row>
    <row r="324" spans="1:6" x14ac:dyDescent="0.3">
      <c r="A324" s="42"/>
      <c r="B324" s="42"/>
      <c r="C324" s="141"/>
      <c r="D324" s="141"/>
      <c r="E324" s="42"/>
      <c r="F324" s="42"/>
    </row>
    <row r="325" spans="1:6" x14ac:dyDescent="0.3">
      <c r="A325" s="42"/>
      <c r="B325" s="42"/>
      <c r="C325" s="141"/>
      <c r="D325" s="141"/>
      <c r="E325" s="42"/>
      <c r="F325" s="42"/>
    </row>
    <row r="326" spans="1:6" x14ac:dyDescent="0.3">
      <c r="A326" s="42"/>
      <c r="B326" s="42"/>
      <c r="C326" s="141"/>
      <c r="D326" s="141"/>
      <c r="E326" s="42"/>
      <c r="F326" s="42"/>
    </row>
    <row r="327" spans="1:6" s="149" customFormat="1" x14ac:dyDescent="0.35">
      <c r="A327" s="147"/>
      <c r="B327" s="147"/>
      <c r="C327" s="146"/>
      <c r="D327" s="156"/>
      <c r="E327" s="157"/>
      <c r="F327" s="147"/>
    </row>
    <row r="328" spans="1:6" x14ac:dyDescent="0.3">
      <c r="A328" s="147"/>
      <c r="B328" s="147"/>
      <c r="C328" s="146"/>
      <c r="D328" s="146"/>
      <c r="E328" s="147"/>
      <c r="F328" s="147"/>
    </row>
    <row r="329" spans="1:6" s="56" customFormat="1" x14ac:dyDescent="0.3">
      <c r="A329" s="147"/>
      <c r="B329" s="147"/>
      <c r="C329" s="146"/>
      <c r="D329" s="146"/>
      <c r="E329" s="147"/>
      <c r="F329" s="147"/>
    </row>
    <row r="330" spans="1:6" s="56" customFormat="1" x14ac:dyDescent="0.3">
      <c r="A330" s="147"/>
      <c r="B330" s="147"/>
      <c r="C330" s="146"/>
      <c r="D330" s="146"/>
      <c r="E330" s="147"/>
      <c r="F330" s="147"/>
    </row>
    <row r="331" spans="1:6" s="56" customFormat="1" x14ac:dyDescent="0.3">
      <c r="A331" s="147"/>
      <c r="B331" s="147"/>
      <c r="C331" s="146"/>
      <c r="D331" s="146"/>
      <c r="E331" s="147"/>
      <c r="F331" s="147"/>
    </row>
    <row r="332" spans="1:6" x14ac:dyDescent="0.3">
      <c r="A332" s="147"/>
      <c r="B332" s="147"/>
      <c r="C332" s="146"/>
      <c r="D332" s="146"/>
      <c r="E332" s="147"/>
      <c r="F332" s="147"/>
    </row>
    <row r="333" spans="1:6" s="56" customFormat="1" x14ac:dyDescent="0.3">
      <c r="A333" s="147"/>
      <c r="B333" s="147"/>
      <c r="C333" s="146"/>
      <c r="D333" s="146"/>
      <c r="E333" s="147"/>
      <c r="F333" s="147"/>
    </row>
    <row r="334" spans="1:6" x14ac:dyDescent="0.3">
      <c r="A334" s="159"/>
      <c r="B334" s="159"/>
      <c r="C334" s="160"/>
      <c r="D334" s="141"/>
      <c r="E334" s="147"/>
      <c r="F334" s="42"/>
    </row>
    <row r="335" spans="1:6" x14ac:dyDescent="0.3">
      <c r="A335" s="159"/>
      <c r="B335" s="159"/>
      <c r="C335" s="160"/>
      <c r="D335" s="141"/>
      <c r="E335" s="147"/>
      <c r="F335" s="42"/>
    </row>
    <row r="336" spans="1:6" x14ac:dyDescent="0.3">
      <c r="A336" s="159"/>
      <c r="B336" s="159"/>
      <c r="C336" s="160"/>
      <c r="D336" s="141"/>
      <c r="E336" s="147"/>
      <c r="F336" s="42"/>
    </row>
    <row r="337" spans="1:6" x14ac:dyDescent="0.3">
      <c r="A337" s="159"/>
      <c r="B337" s="159"/>
      <c r="C337" s="161"/>
      <c r="D337" s="160"/>
      <c r="E337" s="147"/>
      <c r="F337" s="42"/>
    </row>
    <row r="338" spans="1:6" x14ac:dyDescent="0.3">
      <c r="A338" s="159"/>
      <c r="B338" s="159"/>
      <c r="C338" s="141"/>
      <c r="D338" s="141"/>
      <c r="E338" s="42"/>
      <c r="F338" s="42"/>
    </row>
    <row r="339" spans="1:6" s="55" customFormat="1" x14ac:dyDescent="0.35">
      <c r="A339" s="159"/>
      <c r="B339" s="159"/>
      <c r="C339" s="141"/>
      <c r="D339" s="141"/>
      <c r="E339" s="42"/>
      <c r="F339" s="42"/>
    </row>
    <row r="340" spans="1:6" s="155" customFormat="1" x14ac:dyDescent="0.35">
      <c r="A340" s="147"/>
      <c r="B340" s="147"/>
      <c r="C340" s="146"/>
      <c r="D340" s="146"/>
      <c r="E340" s="147"/>
      <c r="F340" s="147"/>
    </row>
    <row r="341" spans="1:6" s="56" customFormat="1" x14ac:dyDescent="0.3">
      <c r="A341" s="147"/>
      <c r="B341" s="147"/>
      <c r="C341" s="162"/>
      <c r="D341" s="146"/>
      <c r="E341" s="147"/>
      <c r="F341" s="147"/>
    </row>
    <row r="342" spans="1:6" s="56" customFormat="1" x14ac:dyDescent="0.3">
      <c r="A342" s="147"/>
      <c r="B342" s="147"/>
      <c r="C342" s="146"/>
      <c r="D342" s="146"/>
      <c r="E342" s="147"/>
      <c r="F342" s="147"/>
    </row>
    <row r="343" spans="1:6" s="56" customFormat="1" x14ac:dyDescent="0.3">
      <c r="A343" s="147"/>
      <c r="B343" s="147"/>
      <c r="C343" s="141"/>
      <c r="D343" s="141"/>
      <c r="E343" s="157"/>
      <c r="F343" s="147"/>
    </row>
    <row r="344" spans="1:6" s="56" customFormat="1" x14ac:dyDescent="0.3">
      <c r="A344" s="147"/>
      <c r="B344" s="147"/>
      <c r="C344" s="141"/>
      <c r="D344" s="141"/>
      <c r="E344" s="156"/>
      <c r="F344" s="147"/>
    </row>
    <row r="345" spans="1:6" s="56" customFormat="1" x14ac:dyDescent="0.3">
      <c r="A345" s="147"/>
      <c r="B345" s="147"/>
      <c r="C345" s="141"/>
      <c r="D345" s="141"/>
      <c r="E345" s="156"/>
      <c r="F345" s="147"/>
    </row>
    <row r="346" spans="1:6" s="149" customFormat="1" x14ac:dyDescent="0.35">
      <c r="A346" s="147"/>
      <c r="B346" s="147"/>
      <c r="C346" s="146"/>
      <c r="D346" s="156"/>
      <c r="E346" s="157"/>
      <c r="F346" s="147"/>
    </row>
    <row r="347" spans="1:6" x14ac:dyDescent="0.3">
      <c r="A347" s="42"/>
      <c r="B347" s="42"/>
      <c r="C347" s="160"/>
      <c r="D347" s="141"/>
      <c r="E347" s="147"/>
      <c r="F347" s="42"/>
    </row>
    <row r="348" spans="1:6" x14ac:dyDescent="0.3">
      <c r="A348" s="42"/>
      <c r="B348" s="42"/>
      <c r="C348" s="160"/>
      <c r="D348" s="141"/>
      <c r="E348" s="147"/>
      <c r="F348" s="42"/>
    </row>
    <row r="349" spans="1:6" x14ac:dyDescent="0.3">
      <c r="A349" s="42"/>
      <c r="B349" s="42"/>
      <c r="C349" s="160"/>
      <c r="D349" s="141"/>
      <c r="E349" s="147"/>
      <c r="F349" s="42"/>
    </row>
    <row r="350" spans="1:6" x14ac:dyDescent="0.3">
      <c r="A350" s="42"/>
      <c r="B350" s="42"/>
      <c r="C350" s="160"/>
      <c r="D350" s="141"/>
      <c r="E350" s="147"/>
      <c r="F350" s="42"/>
    </row>
    <row r="351" spans="1:6" x14ac:dyDescent="0.3">
      <c r="A351" s="42"/>
      <c r="B351" s="42"/>
      <c r="C351" s="160"/>
      <c r="D351" s="141"/>
      <c r="E351" s="147"/>
      <c r="F351" s="42"/>
    </row>
    <row r="352" spans="1:6" x14ac:dyDescent="0.3">
      <c r="A352" s="42"/>
      <c r="B352" s="42"/>
      <c r="C352" s="160"/>
      <c r="D352" s="141"/>
      <c r="E352" s="147"/>
      <c r="F352" s="42"/>
    </row>
    <row r="353" spans="1:6" x14ac:dyDescent="0.3">
      <c r="A353" s="42"/>
      <c r="B353" s="42"/>
      <c r="C353" s="160"/>
      <c r="D353" s="141"/>
      <c r="E353" s="147"/>
      <c r="F353" s="42"/>
    </row>
    <row r="354" spans="1:6" x14ac:dyDescent="0.3">
      <c r="A354" s="42"/>
      <c r="B354" s="42"/>
      <c r="C354" s="160"/>
      <c r="D354" s="141"/>
      <c r="E354" s="147"/>
      <c r="F354" s="42"/>
    </row>
    <row r="355" spans="1:6" x14ac:dyDescent="0.3">
      <c r="A355" s="42"/>
      <c r="B355" s="42"/>
      <c r="C355" s="160"/>
      <c r="D355" s="141"/>
      <c r="E355" s="147"/>
      <c r="F355" s="42"/>
    </row>
    <row r="356" spans="1:6" x14ac:dyDescent="0.3">
      <c r="A356" s="42"/>
      <c r="B356" s="42"/>
      <c r="C356" s="160"/>
      <c r="D356" s="141"/>
      <c r="E356" s="147"/>
      <c r="F356" s="42"/>
    </row>
    <row r="357" spans="1:6" x14ac:dyDescent="0.3">
      <c r="A357" s="42"/>
      <c r="B357" s="42"/>
      <c r="C357" s="160"/>
      <c r="D357" s="141"/>
      <c r="E357" s="147"/>
      <c r="F357" s="42"/>
    </row>
    <row r="358" spans="1:6" x14ac:dyDescent="0.3">
      <c r="A358" s="42"/>
      <c r="B358" s="42"/>
      <c r="C358" s="141"/>
      <c r="D358" s="141"/>
      <c r="E358" s="147"/>
      <c r="F358" s="42"/>
    </row>
    <row r="359" spans="1:6" x14ac:dyDescent="0.3">
      <c r="A359" s="42"/>
      <c r="B359" s="42"/>
      <c r="C359" s="141"/>
      <c r="D359" s="141"/>
      <c r="E359" s="147"/>
      <c r="F359" s="42"/>
    </row>
    <row r="360" spans="1:6" x14ac:dyDescent="0.3">
      <c r="A360" s="42"/>
      <c r="B360" s="42"/>
      <c r="C360" s="160"/>
      <c r="D360" s="141"/>
      <c r="E360" s="147"/>
      <c r="F360" s="42"/>
    </row>
    <row r="361" spans="1:6" x14ac:dyDescent="0.3">
      <c r="A361" s="42"/>
      <c r="B361" s="42"/>
      <c r="C361" s="160"/>
      <c r="D361" s="141"/>
      <c r="E361" s="147"/>
      <c r="F361" s="42"/>
    </row>
    <row r="362" spans="1:6" s="56" customFormat="1" x14ac:dyDescent="0.3">
      <c r="A362" s="155"/>
      <c r="B362" s="147"/>
      <c r="C362" s="163"/>
      <c r="D362" s="163"/>
      <c r="E362" s="147"/>
      <c r="F362" s="147"/>
    </row>
    <row r="363" spans="1:6" s="56" customFormat="1" x14ac:dyDescent="0.3">
      <c r="A363" s="155"/>
      <c r="B363" s="147"/>
      <c r="C363" s="146"/>
      <c r="D363" s="146"/>
      <c r="E363" s="147"/>
      <c r="F363" s="147"/>
    </row>
    <row r="364" spans="1:6" s="56" customFormat="1" x14ac:dyDescent="0.3">
      <c r="A364" s="155"/>
      <c r="B364" s="147"/>
      <c r="C364" s="146"/>
      <c r="D364" s="146"/>
      <c r="E364" s="147"/>
      <c r="F364" s="147"/>
    </row>
    <row r="365" spans="1:6" s="56" customFormat="1" x14ac:dyDescent="0.3">
      <c r="A365" s="155"/>
      <c r="B365" s="164"/>
      <c r="C365" s="165"/>
      <c r="D365" s="165"/>
      <c r="E365" s="164"/>
      <c r="F365" s="164"/>
    </row>
    <row r="366" spans="1:6" x14ac:dyDescent="0.3">
      <c r="A366" s="147"/>
      <c r="B366" s="147"/>
      <c r="C366" s="146"/>
      <c r="D366" s="146"/>
      <c r="E366" s="147"/>
      <c r="F366" s="147"/>
    </row>
    <row r="367" spans="1:6" x14ac:dyDescent="0.3">
      <c r="A367" s="147"/>
      <c r="B367" s="147"/>
      <c r="C367" s="146"/>
      <c r="D367" s="146"/>
      <c r="E367" s="147"/>
      <c r="F367" s="147"/>
    </row>
    <row r="368" spans="1:6" x14ac:dyDescent="0.3">
      <c r="A368" s="147"/>
      <c r="B368" s="147"/>
      <c r="C368" s="146"/>
      <c r="D368" s="146"/>
      <c r="E368" s="147"/>
      <c r="F368" s="147"/>
    </row>
    <row r="369" spans="1:6" x14ac:dyDescent="0.3">
      <c r="A369" s="147"/>
      <c r="B369" s="147"/>
      <c r="C369" s="146"/>
      <c r="D369" s="146"/>
      <c r="E369" s="147"/>
      <c r="F369" s="147"/>
    </row>
    <row r="370" spans="1:6" x14ac:dyDescent="0.3">
      <c r="A370" s="147"/>
      <c r="B370" s="147"/>
      <c r="C370" s="146"/>
      <c r="D370" s="146"/>
      <c r="E370" s="147"/>
      <c r="F370" s="147"/>
    </row>
    <row r="371" spans="1:6" x14ac:dyDescent="0.3">
      <c r="A371" s="147"/>
      <c r="B371" s="147"/>
      <c r="C371" s="146"/>
      <c r="D371" s="146"/>
      <c r="E371" s="147"/>
      <c r="F371" s="147"/>
    </row>
    <row r="372" spans="1:6" x14ac:dyDescent="0.3">
      <c r="A372" s="147"/>
      <c r="B372" s="147"/>
      <c r="C372" s="146"/>
      <c r="D372" s="146"/>
      <c r="E372" s="147"/>
      <c r="F372" s="147"/>
    </row>
    <row r="373" spans="1:6" x14ac:dyDescent="0.3">
      <c r="A373" s="147"/>
      <c r="B373" s="147"/>
      <c r="C373" s="146"/>
      <c r="D373" s="146"/>
      <c r="E373" s="147"/>
      <c r="F373" s="147"/>
    </row>
    <row r="374" spans="1:6" x14ac:dyDescent="0.3">
      <c r="A374" s="147"/>
      <c r="B374" s="147"/>
      <c r="C374" s="146"/>
      <c r="D374" s="146"/>
      <c r="E374" s="147"/>
      <c r="F374" s="147"/>
    </row>
    <row r="375" spans="1:6" x14ac:dyDescent="0.3">
      <c r="A375" s="147"/>
      <c r="B375" s="147"/>
      <c r="C375" s="146"/>
      <c r="D375" s="146"/>
      <c r="E375" s="147"/>
      <c r="F375" s="147"/>
    </row>
    <row r="376" spans="1:6" x14ac:dyDescent="0.3">
      <c r="A376" s="147"/>
      <c r="B376" s="147"/>
      <c r="C376" s="146"/>
      <c r="D376" s="146"/>
      <c r="E376" s="147"/>
      <c r="F376" s="147"/>
    </row>
    <row r="377" spans="1:6" x14ac:dyDescent="0.3">
      <c r="A377" s="42"/>
      <c r="B377" s="42"/>
      <c r="C377" s="141"/>
      <c r="D377" s="141"/>
      <c r="E377" s="147"/>
      <c r="F377" s="42"/>
    </row>
    <row r="378" spans="1:6" x14ac:dyDescent="0.3">
      <c r="A378" s="42"/>
      <c r="B378" s="42"/>
      <c r="C378" s="160"/>
      <c r="D378" s="141"/>
      <c r="E378" s="147"/>
      <c r="F378" s="42"/>
    </row>
    <row r="379" spans="1:6" x14ac:dyDescent="0.3">
      <c r="A379" s="42"/>
      <c r="B379" s="42"/>
      <c r="C379" s="160"/>
      <c r="D379" s="141"/>
      <c r="E379" s="147"/>
      <c r="F379" s="42"/>
    </row>
    <row r="380" spans="1:6" x14ac:dyDescent="0.3">
      <c r="A380" s="42"/>
      <c r="B380" s="42"/>
      <c r="C380" s="160"/>
      <c r="D380" s="141"/>
      <c r="E380" s="147"/>
      <c r="F380" s="42"/>
    </row>
    <row r="381" spans="1:6" x14ac:dyDescent="0.3">
      <c r="A381" s="42"/>
      <c r="B381" s="42"/>
      <c r="C381" s="160"/>
      <c r="D381" s="141"/>
      <c r="E381" s="147"/>
      <c r="F381" s="42"/>
    </row>
    <row r="382" spans="1:6" x14ac:dyDescent="0.3">
      <c r="A382" s="42"/>
      <c r="B382" s="42"/>
      <c r="C382" s="141"/>
      <c r="D382" s="141"/>
      <c r="E382" s="147"/>
      <c r="F382" s="42"/>
    </row>
    <row r="383" spans="1:6" x14ac:dyDescent="0.3">
      <c r="A383" s="42"/>
      <c r="B383" s="42"/>
      <c r="C383" s="141"/>
      <c r="D383" s="141"/>
      <c r="E383" s="147"/>
      <c r="F383" s="42"/>
    </row>
    <row r="384" spans="1:6" x14ac:dyDescent="0.3">
      <c r="A384" s="42"/>
      <c r="B384" s="42"/>
      <c r="C384" s="141"/>
      <c r="D384" s="141"/>
      <c r="E384" s="147"/>
      <c r="F384" s="42"/>
    </row>
    <row r="385" spans="1:6" x14ac:dyDescent="0.3">
      <c r="A385" s="42"/>
      <c r="B385" s="42"/>
      <c r="C385" s="141"/>
      <c r="D385" s="141"/>
      <c r="E385" s="147"/>
      <c r="F385" s="42"/>
    </row>
    <row r="386" spans="1:6" x14ac:dyDescent="0.3">
      <c r="A386" s="42"/>
      <c r="B386" s="42"/>
      <c r="C386" s="141"/>
      <c r="D386" s="141"/>
      <c r="E386" s="147"/>
      <c r="F386" s="42"/>
    </row>
    <row r="387" spans="1:6" x14ac:dyDescent="0.3">
      <c r="A387" s="42"/>
      <c r="B387" s="42"/>
      <c r="C387" s="141"/>
      <c r="D387" s="141"/>
      <c r="E387" s="42"/>
      <c r="F387" s="42"/>
    </row>
    <row r="388" spans="1:6" x14ac:dyDescent="0.3">
      <c r="A388" s="42"/>
      <c r="B388" s="42"/>
      <c r="C388" s="160"/>
      <c r="D388" s="141"/>
      <c r="E388" s="42"/>
      <c r="F388" s="42"/>
    </row>
    <row r="389" spans="1:6" x14ac:dyDescent="0.3">
      <c r="A389" s="42"/>
      <c r="B389" s="42"/>
      <c r="C389" s="141"/>
      <c r="D389" s="146"/>
      <c r="E389" s="42"/>
      <c r="F389" s="42"/>
    </row>
    <row r="390" spans="1:6" x14ac:dyDescent="0.3">
      <c r="A390" s="42"/>
      <c r="B390" s="42"/>
      <c r="C390" s="141"/>
      <c r="D390" s="146"/>
      <c r="E390" s="147"/>
      <c r="F390" s="42"/>
    </row>
    <row r="391" spans="1:6" x14ac:dyDescent="0.3">
      <c r="A391" s="42"/>
      <c r="B391" s="42"/>
      <c r="C391" s="141"/>
      <c r="D391" s="146"/>
      <c r="E391" s="147"/>
      <c r="F391" s="42"/>
    </row>
    <row r="392" spans="1:6" x14ac:dyDescent="0.3">
      <c r="A392" s="42"/>
      <c r="B392" s="42"/>
      <c r="C392" s="141"/>
      <c r="D392" s="146"/>
      <c r="E392" s="147"/>
      <c r="F392" s="42"/>
    </row>
    <row r="393" spans="1:6" x14ac:dyDescent="0.3">
      <c r="A393" s="42"/>
      <c r="B393" s="42"/>
      <c r="C393" s="141"/>
      <c r="D393" s="146"/>
      <c r="E393" s="147"/>
      <c r="F393" s="42"/>
    </row>
    <row r="394" spans="1:6" x14ac:dyDescent="0.3">
      <c r="A394" s="42"/>
      <c r="B394" s="42"/>
      <c r="C394" s="141"/>
      <c r="D394" s="146"/>
      <c r="E394" s="147"/>
      <c r="F394" s="42"/>
    </row>
    <row r="395" spans="1:6" x14ac:dyDescent="0.3">
      <c r="A395" s="42"/>
      <c r="B395" s="42"/>
      <c r="C395" s="141"/>
      <c r="D395" s="141"/>
      <c r="E395" s="147"/>
      <c r="F395" s="42"/>
    </row>
    <row r="396" spans="1:6" x14ac:dyDescent="0.3">
      <c r="A396" s="42"/>
      <c r="B396" s="42"/>
      <c r="C396" s="141"/>
      <c r="D396" s="146"/>
      <c r="E396" s="147"/>
      <c r="F396" s="42"/>
    </row>
    <row r="397" spans="1:6" x14ac:dyDescent="0.3">
      <c r="A397" s="42"/>
      <c r="B397" s="42"/>
      <c r="C397" s="141"/>
      <c r="D397" s="146"/>
      <c r="E397" s="147"/>
      <c r="F397" s="42"/>
    </row>
    <row r="398" spans="1:6" x14ac:dyDescent="0.3">
      <c r="A398" s="42"/>
      <c r="B398" s="42"/>
      <c r="C398" s="141"/>
      <c r="D398" s="146"/>
      <c r="E398" s="147"/>
      <c r="F398" s="42"/>
    </row>
    <row r="399" spans="1:6" x14ac:dyDescent="0.3">
      <c r="A399" s="42"/>
      <c r="B399" s="42"/>
      <c r="C399" s="141"/>
      <c r="D399" s="146"/>
      <c r="E399" s="147"/>
      <c r="F399" s="42"/>
    </row>
    <row r="400" spans="1:6" x14ac:dyDescent="0.3">
      <c r="A400" s="42"/>
      <c r="B400" s="42"/>
      <c r="C400" s="141"/>
      <c r="D400" s="146"/>
      <c r="E400" s="147"/>
      <c r="F400" s="42"/>
    </row>
    <row r="401" spans="1:6" x14ac:dyDescent="0.3">
      <c r="A401" s="42"/>
      <c r="B401" s="42"/>
      <c r="C401" s="141"/>
      <c r="D401" s="146"/>
      <c r="E401" s="147"/>
      <c r="F401" s="42"/>
    </row>
    <row r="402" spans="1:6" x14ac:dyDescent="0.3">
      <c r="A402" s="42"/>
      <c r="B402" s="42"/>
      <c r="C402" s="141"/>
      <c r="D402" s="146"/>
      <c r="E402" s="42"/>
      <c r="F402" s="42"/>
    </row>
    <row r="403" spans="1:6" x14ac:dyDescent="0.3">
      <c r="A403" s="42"/>
      <c r="B403" s="42"/>
      <c r="C403" s="141"/>
      <c r="D403" s="146"/>
      <c r="E403" s="42"/>
      <c r="F403" s="42"/>
    </row>
    <row r="404" spans="1:6" x14ac:dyDescent="0.3">
      <c r="A404" s="42"/>
      <c r="B404" s="42"/>
      <c r="C404" s="141"/>
      <c r="D404" s="146"/>
      <c r="E404" s="42"/>
      <c r="F404" s="42"/>
    </row>
    <row r="405" spans="1:6" x14ac:dyDescent="0.3">
      <c r="A405" s="42"/>
      <c r="B405" s="42"/>
      <c r="C405" s="141"/>
      <c r="D405" s="146"/>
      <c r="E405" s="42"/>
      <c r="F405" s="42"/>
    </row>
    <row r="406" spans="1:6" s="56" customFormat="1" x14ac:dyDescent="0.3">
      <c r="A406" s="147"/>
      <c r="B406" s="147"/>
      <c r="C406" s="146"/>
      <c r="D406" s="146"/>
      <c r="E406" s="147"/>
      <c r="F406" s="147"/>
    </row>
    <row r="407" spans="1:6" s="56" customFormat="1" x14ac:dyDescent="0.3">
      <c r="A407" s="147"/>
      <c r="B407" s="147"/>
      <c r="C407" s="146"/>
      <c r="D407" s="146"/>
      <c r="E407" s="147"/>
      <c r="F407" s="147"/>
    </row>
    <row r="408" spans="1:6" s="56" customFormat="1" x14ac:dyDescent="0.3">
      <c r="A408" s="155"/>
      <c r="B408" s="147"/>
      <c r="C408" s="146"/>
      <c r="D408" s="146"/>
      <c r="E408" s="147"/>
      <c r="F408" s="147"/>
    </row>
    <row r="409" spans="1:6" x14ac:dyDescent="0.3">
      <c r="A409" s="42"/>
      <c r="B409" s="42"/>
      <c r="C409" s="141"/>
      <c r="D409" s="146"/>
      <c r="E409" s="42"/>
      <c r="F409" s="42"/>
    </row>
    <row r="410" spans="1:6" x14ac:dyDescent="0.3">
      <c r="A410" s="42"/>
      <c r="B410" s="42"/>
      <c r="C410" s="141"/>
      <c r="D410" s="146"/>
      <c r="E410" s="42"/>
      <c r="F410" s="42"/>
    </row>
    <row r="411" spans="1:6" x14ac:dyDescent="0.3">
      <c r="A411" s="42"/>
      <c r="B411" s="42"/>
      <c r="C411" s="141"/>
      <c r="D411" s="146"/>
      <c r="E411" s="42"/>
      <c r="F411" s="42"/>
    </row>
    <row r="412" spans="1:6" x14ac:dyDescent="0.3">
      <c r="A412" s="42"/>
      <c r="B412" s="42"/>
      <c r="C412" s="141"/>
      <c r="D412" s="146"/>
      <c r="E412" s="42"/>
      <c r="F412" s="42"/>
    </row>
    <row r="413" spans="1:6" x14ac:dyDescent="0.3">
      <c r="A413" s="42"/>
      <c r="B413" s="42"/>
      <c r="C413" s="141"/>
      <c r="D413" s="146"/>
      <c r="E413" s="42"/>
      <c r="F413" s="42"/>
    </row>
    <row r="414" spans="1:6" x14ac:dyDescent="0.3">
      <c r="A414" s="42"/>
      <c r="B414" s="42"/>
      <c r="C414" s="141"/>
      <c r="D414" s="146"/>
      <c r="E414" s="42"/>
      <c r="F414" s="42"/>
    </row>
    <row r="415" spans="1:6" x14ac:dyDescent="0.3">
      <c r="A415" s="42"/>
      <c r="B415" s="42"/>
      <c r="C415" s="141"/>
      <c r="D415" s="146"/>
      <c r="E415" s="42"/>
      <c r="F415" s="42"/>
    </row>
    <row r="416" spans="1:6" x14ac:dyDescent="0.3">
      <c r="A416" s="42"/>
      <c r="B416" s="42"/>
      <c r="C416" s="141"/>
      <c r="D416" s="146"/>
      <c r="E416" s="42"/>
      <c r="F416" s="42"/>
    </row>
    <row r="417" spans="1:6" x14ac:dyDescent="0.3">
      <c r="A417" s="42"/>
      <c r="B417" s="42"/>
      <c r="C417" s="141"/>
      <c r="D417" s="146"/>
      <c r="E417" s="42"/>
      <c r="F417" s="42"/>
    </row>
    <row r="418" spans="1:6" x14ac:dyDescent="0.3">
      <c r="A418" s="42"/>
      <c r="B418" s="42"/>
      <c r="C418" s="141"/>
      <c r="D418" s="146"/>
      <c r="E418" s="42"/>
      <c r="F418" s="42"/>
    </row>
    <row r="419" spans="1:6" x14ac:dyDescent="0.3">
      <c r="A419" s="42"/>
      <c r="B419" s="42"/>
      <c r="C419" s="141"/>
      <c r="D419" s="146"/>
      <c r="E419" s="42"/>
      <c r="F419" s="42"/>
    </row>
    <row r="420" spans="1:6" x14ac:dyDescent="0.3">
      <c r="A420" s="42"/>
      <c r="B420" s="42"/>
      <c r="C420" s="141"/>
      <c r="D420" s="146"/>
      <c r="E420" s="42"/>
      <c r="F420" s="42"/>
    </row>
    <row r="421" spans="1:6" x14ac:dyDescent="0.3">
      <c r="A421" s="42"/>
      <c r="B421" s="42"/>
      <c r="C421" s="141"/>
      <c r="D421" s="146"/>
      <c r="E421" s="42"/>
      <c r="F421" s="42"/>
    </row>
    <row r="422" spans="1:6" x14ac:dyDescent="0.3">
      <c r="A422" s="42"/>
      <c r="B422" s="42"/>
      <c r="C422" s="141"/>
      <c r="D422" s="146"/>
      <c r="E422" s="42"/>
      <c r="F422" s="42"/>
    </row>
    <row r="423" spans="1:6" x14ac:dyDescent="0.3">
      <c r="A423" s="42"/>
      <c r="B423" s="42"/>
      <c r="C423" s="141"/>
      <c r="D423" s="146"/>
      <c r="E423" s="42"/>
      <c r="F423" s="42"/>
    </row>
    <row r="424" spans="1:6" x14ac:dyDescent="0.3">
      <c r="A424" s="42"/>
      <c r="B424" s="42"/>
      <c r="C424" s="141"/>
      <c r="D424" s="146"/>
      <c r="E424" s="42"/>
      <c r="F424" s="42"/>
    </row>
    <row r="425" spans="1:6" x14ac:dyDescent="0.3">
      <c r="A425" s="42"/>
      <c r="B425" s="42"/>
      <c r="C425" s="141"/>
      <c r="D425" s="146"/>
      <c r="E425" s="42"/>
      <c r="F425" s="42"/>
    </row>
    <row r="426" spans="1:6" x14ac:dyDescent="0.3">
      <c r="A426" s="154"/>
      <c r="B426" s="42"/>
      <c r="C426" s="166"/>
      <c r="D426" s="146"/>
      <c r="E426" s="42"/>
      <c r="F426" s="42"/>
    </row>
    <row r="427" spans="1:6" x14ac:dyDescent="0.3">
      <c r="A427" s="42"/>
      <c r="B427" s="42"/>
      <c r="C427" s="141"/>
      <c r="D427" s="166"/>
      <c r="E427" s="42"/>
      <c r="F427" s="42"/>
    </row>
    <row r="428" spans="1:6" x14ac:dyDescent="0.3">
      <c r="A428" s="42"/>
      <c r="B428" s="42"/>
      <c r="C428" s="141"/>
      <c r="D428" s="146"/>
      <c r="E428" s="42"/>
      <c r="F428" s="42"/>
    </row>
    <row r="429" spans="1:6" x14ac:dyDescent="0.3">
      <c r="A429" s="42"/>
      <c r="B429" s="42"/>
      <c r="C429" s="141"/>
      <c r="D429" s="141"/>
      <c r="E429" s="42"/>
      <c r="F429" s="42"/>
    </row>
    <row r="430" spans="1:6" s="56" customFormat="1" x14ac:dyDescent="0.3">
      <c r="A430" s="147"/>
      <c r="B430" s="155"/>
      <c r="C430" s="146"/>
      <c r="D430" s="146"/>
      <c r="E430" s="147"/>
      <c r="F430" s="147"/>
    </row>
    <row r="431" spans="1:6" x14ac:dyDescent="0.3">
      <c r="A431" s="42"/>
      <c r="B431" s="42"/>
      <c r="C431" s="141"/>
      <c r="D431" s="146"/>
      <c r="E431" s="42"/>
      <c r="F431" s="42"/>
    </row>
    <row r="432" spans="1:6" x14ac:dyDescent="0.3">
      <c r="A432" s="42"/>
      <c r="B432" s="42"/>
      <c r="C432" s="141"/>
      <c r="D432" s="146"/>
      <c r="E432" s="42"/>
      <c r="F432" s="42"/>
    </row>
    <row r="433" spans="1:7" s="55" customFormat="1" x14ac:dyDescent="0.35">
      <c r="A433" s="42"/>
      <c r="B433" s="42"/>
      <c r="C433" s="141"/>
      <c r="D433" s="146"/>
      <c r="E433" s="42"/>
      <c r="F433" s="42"/>
    </row>
    <row r="434" spans="1:7" s="55" customFormat="1" x14ac:dyDescent="0.35">
      <c r="A434" s="42"/>
      <c r="B434" s="42"/>
      <c r="C434" s="141"/>
      <c r="D434" s="146"/>
      <c r="E434" s="42"/>
      <c r="F434" s="42"/>
    </row>
    <row r="435" spans="1:7" x14ac:dyDescent="0.3">
      <c r="A435" s="42"/>
      <c r="B435" s="42"/>
      <c r="C435" s="141"/>
      <c r="D435" s="146"/>
      <c r="E435" s="42"/>
      <c r="F435" s="42"/>
    </row>
    <row r="436" spans="1:7" x14ac:dyDescent="0.3">
      <c r="A436" s="42"/>
      <c r="B436" s="42"/>
      <c r="C436" s="141"/>
      <c r="D436" s="146"/>
      <c r="E436" s="42"/>
      <c r="F436" s="42"/>
    </row>
    <row r="437" spans="1:7" s="56" customFormat="1" x14ac:dyDescent="0.3">
      <c r="A437" s="147"/>
      <c r="B437" s="147"/>
      <c r="C437" s="146"/>
      <c r="D437" s="146"/>
      <c r="E437" s="156"/>
      <c r="F437" s="147"/>
    </row>
    <row r="438" spans="1:7" s="56" customFormat="1" x14ac:dyDescent="0.3">
      <c r="A438" s="147"/>
      <c r="B438" s="147"/>
      <c r="C438" s="146"/>
      <c r="D438" s="156"/>
      <c r="E438" s="157"/>
      <c r="F438" s="147"/>
    </row>
    <row r="439" spans="1:7" s="56" customFormat="1" x14ac:dyDescent="0.3">
      <c r="A439" s="147"/>
      <c r="B439" s="147"/>
      <c r="C439" s="146"/>
      <c r="D439" s="146"/>
      <c r="E439" s="147"/>
      <c r="F439" s="147"/>
      <c r="G439" s="167"/>
    </row>
    <row r="440" spans="1:7" x14ac:dyDescent="0.3">
      <c r="A440" s="42"/>
      <c r="B440" s="42"/>
      <c r="C440" s="141"/>
      <c r="D440" s="146"/>
      <c r="E440" s="42"/>
      <c r="F440" s="42"/>
    </row>
    <row r="441" spans="1:7" x14ac:dyDescent="0.3">
      <c r="A441" s="42"/>
      <c r="B441" s="42"/>
      <c r="C441" s="141"/>
      <c r="D441" s="146"/>
      <c r="E441" s="42"/>
      <c r="F441" s="42"/>
    </row>
    <row r="442" spans="1:7" x14ac:dyDescent="0.3">
      <c r="A442" s="42"/>
      <c r="B442" s="42"/>
      <c r="C442" s="141"/>
      <c r="D442" s="141"/>
      <c r="E442" s="42"/>
      <c r="F442" s="42"/>
    </row>
    <row r="443" spans="1:7" x14ac:dyDescent="0.3">
      <c r="A443" s="42"/>
      <c r="B443" s="42"/>
      <c r="C443" s="141"/>
      <c r="D443" s="146"/>
      <c r="E443" s="42"/>
      <c r="F443" s="42"/>
    </row>
    <row r="444" spans="1:7" x14ac:dyDescent="0.3">
      <c r="A444" s="42"/>
      <c r="B444" s="42"/>
      <c r="C444" s="141"/>
      <c r="D444" s="146"/>
      <c r="E444" s="42"/>
      <c r="F444" s="42"/>
    </row>
    <row r="445" spans="1:7" x14ac:dyDescent="0.3">
      <c r="A445" s="42"/>
      <c r="B445" s="42"/>
      <c r="C445" s="141"/>
      <c r="D445" s="146"/>
      <c r="E445" s="42"/>
      <c r="F445" s="42"/>
    </row>
    <row r="446" spans="1:7" x14ac:dyDescent="0.3">
      <c r="A446" s="42"/>
      <c r="B446" s="42"/>
      <c r="C446" s="141"/>
      <c r="D446" s="146"/>
      <c r="E446" s="42"/>
      <c r="F446" s="42"/>
    </row>
    <row r="447" spans="1:7" x14ac:dyDescent="0.3">
      <c r="A447" s="42"/>
      <c r="B447" s="42"/>
      <c r="C447" s="141"/>
      <c r="D447" s="146"/>
      <c r="E447" s="42"/>
      <c r="F447" s="42"/>
    </row>
    <row r="448" spans="1:7" x14ac:dyDescent="0.3">
      <c r="A448" s="42"/>
      <c r="B448" s="42"/>
      <c r="C448" s="141"/>
      <c r="D448" s="146"/>
      <c r="E448" s="42"/>
      <c r="F448" s="42"/>
    </row>
    <row r="449" spans="1:6" x14ac:dyDescent="0.3">
      <c r="A449" s="42"/>
      <c r="B449" s="42"/>
      <c r="C449" s="141"/>
      <c r="D449" s="146"/>
      <c r="E449" s="42"/>
      <c r="F449" s="42"/>
    </row>
    <row r="450" spans="1:6" x14ac:dyDescent="0.3">
      <c r="A450" s="42"/>
      <c r="B450" s="42"/>
      <c r="C450" s="141"/>
      <c r="D450" s="146"/>
      <c r="E450" s="42"/>
      <c r="F450" s="42"/>
    </row>
    <row r="451" spans="1:6" x14ac:dyDescent="0.3">
      <c r="A451" s="42"/>
      <c r="B451" s="42"/>
      <c r="C451" s="141"/>
      <c r="D451" s="146"/>
      <c r="E451" s="42"/>
      <c r="F451" s="42"/>
    </row>
    <row r="452" spans="1:6" x14ac:dyDescent="0.3">
      <c r="A452" s="42"/>
      <c r="B452" s="42"/>
      <c r="C452" s="141"/>
      <c r="D452" s="146"/>
      <c r="E452" s="42"/>
      <c r="F452" s="42"/>
    </row>
    <row r="453" spans="1:6" x14ac:dyDescent="0.3">
      <c r="A453" s="42"/>
      <c r="B453" s="42"/>
      <c r="C453" s="141"/>
      <c r="D453" s="146"/>
      <c r="E453" s="42"/>
      <c r="F453" s="42"/>
    </row>
    <row r="454" spans="1:6" x14ac:dyDescent="0.3">
      <c r="A454" s="42"/>
      <c r="B454" s="42"/>
      <c r="C454" s="141"/>
      <c r="D454" s="146"/>
      <c r="E454" s="42"/>
      <c r="F454" s="42"/>
    </row>
    <row r="455" spans="1:6" x14ac:dyDescent="0.3">
      <c r="A455" s="42"/>
      <c r="B455" s="42"/>
      <c r="C455" s="141"/>
      <c r="D455" s="146"/>
      <c r="E455" s="42"/>
      <c r="F455" s="42"/>
    </row>
    <row r="456" spans="1:6" x14ac:dyDescent="0.3">
      <c r="A456" s="42"/>
      <c r="B456" s="42"/>
      <c r="C456" s="141"/>
      <c r="D456" s="146"/>
      <c r="E456" s="42"/>
      <c r="F456" s="42"/>
    </row>
    <row r="457" spans="1:6" x14ac:dyDescent="0.3">
      <c r="A457" s="42"/>
      <c r="B457" s="42"/>
      <c r="C457" s="141"/>
      <c r="D457" s="146"/>
      <c r="E457" s="42"/>
      <c r="F457" s="42"/>
    </row>
    <row r="458" spans="1:6" x14ac:dyDescent="0.3">
      <c r="A458" s="42"/>
      <c r="B458" s="42"/>
      <c r="C458" s="141"/>
      <c r="D458" s="146"/>
      <c r="E458" s="42"/>
      <c r="F458" s="42"/>
    </row>
    <row r="459" spans="1:6" x14ac:dyDescent="0.3">
      <c r="A459" s="42"/>
      <c r="B459" s="42"/>
      <c r="C459" s="141"/>
      <c r="D459" s="146"/>
      <c r="E459" s="42"/>
      <c r="F459" s="42"/>
    </row>
    <row r="460" spans="1:6" x14ac:dyDescent="0.3">
      <c r="A460" s="42"/>
      <c r="B460" s="42"/>
      <c r="C460" s="141"/>
      <c r="D460" s="146"/>
      <c r="E460" s="42"/>
      <c r="F460" s="42"/>
    </row>
    <row r="461" spans="1:6" x14ac:dyDescent="0.3">
      <c r="A461" s="42"/>
      <c r="B461" s="42"/>
      <c r="C461" s="141"/>
      <c r="D461" s="146"/>
      <c r="E461" s="42"/>
      <c r="F461" s="42"/>
    </row>
    <row r="462" spans="1:6" x14ac:dyDescent="0.3">
      <c r="A462" s="42"/>
      <c r="B462" s="42"/>
      <c r="C462" s="141"/>
      <c r="D462" s="146"/>
      <c r="E462" s="42"/>
      <c r="F462" s="42"/>
    </row>
    <row r="463" spans="1:6" x14ac:dyDescent="0.3">
      <c r="A463" s="42"/>
      <c r="B463" s="42"/>
      <c r="C463" s="141"/>
      <c r="D463" s="146"/>
      <c r="E463" s="42"/>
      <c r="F463" s="42"/>
    </row>
    <row r="464" spans="1:6" x14ac:dyDescent="0.3">
      <c r="A464" s="42"/>
      <c r="B464" s="42"/>
      <c r="C464" s="141"/>
      <c r="D464" s="146"/>
      <c r="E464" s="42"/>
      <c r="F464" s="42"/>
    </row>
    <row r="465" spans="1:6" x14ac:dyDescent="0.3">
      <c r="A465" s="42"/>
      <c r="B465" s="42"/>
      <c r="C465" s="141"/>
      <c r="D465" s="146"/>
      <c r="E465" s="42"/>
      <c r="F465" s="42"/>
    </row>
    <row r="466" spans="1:6" x14ac:dyDescent="0.3">
      <c r="A466" s="42"/>
      <c r="B466" s="42"/>
      <c r="C466" s="141"/>
      <c r="D466" s="146"/>
      <c r="E466" s="42"/>
      <c r="F466" s="42"/>
    </row>
    <row r="467" spans="1:6" x14ac:dyDescent="0.3">
      <c r="A467" s="42"/>
      <c r="B467" s="42"/>
      <c r="C467" s="141"/>
      <c r="D467" s="146"/>
      <c r="E467" s="42"/>
      <c r="F467" s="42"/>
    </row>
    <row r="468" spans="1:6" x14ac:dyDescent="0.3">
      <c r="A468" s="42"/>
      <c r="B468" s="42"/>
      <c r="C468" s="141"/>
      <c r="D468" s="146"/>
      <c r="E468" s="42"/>
      <c r="F468" s="42"/>
    </row>
  </sheetData>
  <mergeCells count="2">
    <mergeCell ref="A2:F2"/>
    <mergeCell ref="A72:F7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XZ66"/>
  <sheetViews>
    <sheetView zoomScaleNormal="100" workbookViewId="0">
      <pane xSplit="1" ySplit="1" topLeftCell="ZQ20" activePane="bottomRight" state="frozen"/>
      <selection sqref="A1:XFD1"/>
      <selection pane="topRight" sqref="A1:XFD1"/>
      <selection pane="bottomLeft" sqref="A1:XFD1"/>
      <selection pane="bottomRight" activeCell="ZS36" sqref="ZS36"/>
    </sheetView>
  </sheetViews>
  <sheetFormatPr defaultColWidth="8.81640625" defaultRowHeight="14" x14ac:dyDescent="0.3"/>
  <cols>
    <col min="1" max="1" width="26.08984375" style="1" customWidth="1"/>
    <col min="2" max="4" width="8.81640625" style="1"/>
    <col min="5" max="5" width="11.1796875" style="1" bestFit="1" customWidth="1"/>
    <col min="6" max="7" width="8.81640625" style="1"/>
    <col min="8" max="8" width="8.90625" style="1" bestFit="1" customWidth="1"/>
    <col min="9" max="11" width="8.81640625" style="1"/>
    <col min="12" max="12" width="14.54296875" style="1" customWidth="1"/>
    <col min="13" max="13" width="19.6328125" style="1" customWidth="1"/>
    <col min="14" max="14" width="8.81640625" style="1"/>
    <col min="15" max="19" width="8.90625" style="1" bestFit="1" customWidth="1"/>
    <col min="20" max="20" width="8.81640625" style="1"/>
    <col min="21" max="21" width="19.453125" style="1" customWidth="1"/>
    <col min="22" max="22" width="8.90625" style="1" bestFit="1" customWidth="1"/>
    <col min="23" max="23" width="8.81640625" style="1"/>
    <col min="24" max="24" width="14.453125" style="1" customWidth="1"/>
    <col min="25" max="30" width="8.81640625" style="1"/>
    <col min="31" max="39" width="8.81640625" style="1" bestFit="1" customWidth="1"/>
    <col min="40" max="41" width="8.81640625" style="1"/>
    <col min="42" max="42" width="15.1796875" style="1" customWidth="1"/>
    <col min="43" max="43" width="8.90625" style="1" bestFit="1" customWidth="1"/>
    <col min="44" max="44" width="17.54296875" style="1" customWidth="1"/>
    <col min="45" max="45" width="14.54296875" style="1" customWidth="1"/>
    <col min="46" max="46" width="8.81640625" style="1"/>
    <col min="47" max="47" width="13.54296875" style="1" customWidth="1"/>
    <col min="48" max="48" width="13.453125" style="1" customWidth="1"/>
    <col min="49" max="50" width="8.81640625" style="1"/>
    <col min="51" max="58" width="8.90625" style="1" bestFit="1" customWidth="1"/>
    <col min="59" max="60" width="8.81640625" style="1"/>
    <col min="61" max="67" width="8.81640625" style="1" bestFit="1" customWidth="1"/>
    <col min="68" max="69" width="8.81640625" style="1"/>
    <col min="70" max="81" width="8.90625" style="1" bestFit="1" customWidth="1"/>
    <col min="82" max="120" width="8.81640625" style="1"/>
    <col min="121" max="121" width="22.08984375" style="1" customWidth="1"/>
    <col min="122" max="123" width="8.81640625" style="1"/>
    <col min="124" max="126" width="8.81640625" style="1" bestFit="1" customWidth="1"/>
    <col min="127" max="127" width="47" style="1" customWidth="1"/>
    <col min="128" max="128" width="17.90625" style="1" customWidth="1"/>
    <col min="129" max="130" width="8.81640625" style="1"/>
    <col min="131" max="143" width="8.81640625" style="1" bestFit="1" customWidth="1"/>
    <col min="144" max="145" width="8.81640625" style="1"/>
    <col min="146" max="158" width="8.81640625" style="1" bestFit="1" customWidth="1"/>
    <col min="159" max="161" width="8.81640625" style="1"/>
    <col min="162" max="168" width="8.81640625" style="1" bestFit="1" customWidth="1"/>
    <col min="169" max="170" width="8.81640625" style="1"/>
    <col min="171" max="183" width="8.81640625" style="1" bestFit="1" customWidth="1"/>
    <col min="184" max="186" width="8.81640625" style="1"/>
    <col min="187" max="191" width="8.81640625" style="1" bestFit="1" customWidth="1"/>
    <col min="192" max="193" width="8.81640625" style="1"/>
    <col min="194" max="205" width="8.81640625" style="1" bestFit="1" customWidth="1"/>
    <col min="206" max="207" width="8.81640625" style="1" customWidth="1"/>
    <col min="208" max="208" width="8.81640625" style="1"/>
    <col min="209" max="209" width="8.81640625" style="1" bestFit="1" customWidth="1"/>
    <col min="210" max="231" width="8.81640625" style="1"/>
    <col min="232" max="233" width="8.81640625" style="1" bestFit="1" customWidth="1"/>
    <col min="234" max="238" width="8.81640625" style="1"/>
    <col min="239" max="239" width="8.81640625" style="1" bestFit="1" customWidth="1"/>
    <col min="240" max="245" width="8.81640625" style="1"/>
    <col min="246" max="253" width="8.81640625" style="1" bestFit="1" customWidth="1"/>
    <col min="254" max="264" width="8.81640625" style="1"/>
    <col min="265" max="276" width="8.81640625" style="1" bestFit="1" customWidth="1"/>
    <col min="277" max="318" width="8.81640625" style="1"/>
    <col min="319" max="323" width="8.81640625" style="1" bestFit="1" customWidth="1"/>
    <col min="324" max="325" width="8.81640625" style="1"/>
    <col min="326" max="338" width="8.81640625" style="1" bestFit="1" customWidth="1"/>
    <col min="339" max="340" width="8.81640625" style="1"/>
    <col min="341" max="353" width="8.81640625" style="1" bestFit="1" customWidth="1"/>
    <col min="354" max="388" width="8.81640625" style="1"/>
    <col min="389" max="401" width="8.81640625" style="1" bestFit="1" customWidth="1"/>
    <col min="402" max="403" width="8.81640625" style="1"/>
    <col min="404" max="404" width="8.81640625" style="1" bestFit="1" customWidth="1"/>
    <col min="405" max="432" width="8.81640625" style="1"/>
    <col min="433" max="433" width="8.90625" style="1" bestFit="1" customWidth="1"/>
    <col min="434" max="434" width="8.81640625" style="1"/>
    <col min="435" max="436" width="8.81640625" style="1" bestFit="1" customWidth="1"/>
    <col min="437" max="442" width="8.81640625" style="1"/>
    <col min="443" max="443" width="8.81640625" style="1" bestFit="1" customWidth="1"/>
    <col min="444" max="446" width="8.81640625" style="1"/>
    <col min="447" max="460" width="8.90625" style="1" bestFit="1" customWidth="1"/>
    <col min="461" max="463" width="8.81640625" style="1"/>
    <col min="464" max="469" width="8.90625" style="1" bestFit="1" customWidth="1"/>
    <col min="470" max="472" width="8.81640625" style="1"/>
    <col min="473" max="477" width="8.81640625" style="1" bestFit="1" customWidth="1"/>
    <col min="478" max="478" width="8.81640625" style="1"/>
    <col min="479" max="479" width="8.90625" style="1" bestFit="1" customWidth="1"/>
    <col min="480" max="482" width="8.81640625" style="1"/>
    <col min="483" max="492" width="8.90625" style="1" bestFit="1" customWidth="1"/>
    <col min="493" max="503" width="8.81640625" style="1"/>
    <col min="504" max="511" width="8.90625" style="1" bestFit="1" customWidth="1"/>
    <col min="512" max="512" width="8.81640625" style="1"/>
    <col min="513" max="524" width="8.90625" style="1" bestFit="1" customWidth="1"/>
    <col min="525" max="527" width="8.81640625" style="1"/>
    <col min="528" max="531" width="8.81640625" style="1" bestFit="1" customWidth="1"/>
    <col min="532" max="556" width="8.81640625" style="1"/>
    <col min="557" max="561" width="8.90625" style="1" bestFit="1" customWidth="1"/>
    <col min="562" max="566" width="8.81640625" style="1"/>
    <col min="567" max="582" width="8.90625" style="1" bestFit="1" customWidth="1"/>
    <col min="583" max="584" width="8.81640625" style="1"/>
    <col min="585" max="597" width="8.90625" style="1" bestFit="1" customWidth="1"/>
    <col min="598" max="600" width="8.81640625" style="1"/>
    <col min="601" max="607" width="8.90625" style="1" bestFit="1" customWidth="1"/>
    <col min="608" max="609" width="8.81640625" style="1"/>
    <col min="610" max="622" width="8.90625" style="1" bestFit="1" customWidth="1"/>
    <col min="623" max="625" width="8.81640625" style="1"/>
    <col min="626" max="630" width="8.81640625" style="1" bestFit="1" customWidth="1"/>
    <col min="631" max="632" width="8.81640625" style="1"/>
    <col min="633" max="645" width="8.90625" style="1" bestFit="1" customWidth="1"/>
    <col min="646" max="649" width="8.81640625" style="1"/>
    <col min="650" max="657" width="8.90625" style="1" bestFit="1" customWidth="1"/>
    <col min="658" max="663" width="8.81640625" style="1"/>
    <col min="664" max="671" width="8.90625" style="1" bestFit="1" customWidth="1"/>
    <col min="672" max="674" width="8.81640625" style="1"/>
    <col min="675" max="679" width="8.81640625" style="1" bestFit="1" customWidth="1"/>
    <col min="680" max="681" width="8.81640625" style="1"/>
    <col min="682" max="682" width="8.90625" style="1" bestFit="1" customWidth="1"/>
    <col min="683" max="687" width="8.81640625" style="1"/>
    <col min="688" max="688" width="8.90625" style="1" bestFit="1" customWidth="1"/>
    <col min="689" max="694" width="8.81640625" style="1"/>
    <col min="695" max="695" width="31" style="1" customWidth="1"/>
    <col min="696" max="696" width="8.90625" style="1" bestFit="1" customWidth="1"/>
    <col min="697" max="697" width="14.1796875" style="1" customWidth="1"/>
    <col min="698" max="699" width="8.81640625" style="1"/>
    <col min="700" max="700" width="8.90625" style="1" bestFit="1" customWidth="1"/>
    <col min="701" max="701" width="18.90625" style="1" customWidth="1"/>
    <col min="702" max="707" width="8.81640625" style="1"/>
    <col min="708" max="715" width="8.81640625" style="1" bestFit="1" customWidth="1"/>
    <col min="716" max="731" width="8.81640625" style="1"/>
    <col min="732" max="732" width="23.90625" style="1" customWidth="1"/>
    <col min="733" max="739" width="8.81640625" style="1"/>
    <col min="740" max="744" width="8.90625" style="1" bestFit="1" customWidth="1"/>
    <col min="745" max="746" width="8.81640625" style="1"/>
    <col min="747" max="752" width="8.90625" style="1" bestFit="1" customWidth="1"/>
    <col min="753" max="753" width="14.08984375" style="1" customWidth="1"/>
    <col min="754" max="758" width="8.90625" style="1" bestFit="1" customWidth="1"/>
    <col min="759" max="759" width="8.81640625" style="1"/>
    <col min="760" max="760" width="8.90625" style="1" bestFit="1" customWidth="1"/>
    <col min="761" max="761" width="8.81640625" style="1"/>
    <col min="762" max="762" width="8.90625" style="1" bestFit="1" customWidth="1"/>
    <col min="763" max="763" width="8.81640625" style="1"/>
    <col min="764" max="764" width="8.90625" style="1" bestFit="1" customWidth="1"/>
    <col min="765" max="765" width="14.1796875" style="1" customWidth="1"/>
    <col min="766" max="767" width="8.90625" style="1" bestFit="1" customWidth="1"/>
    <col min="768" max="773" width="8.81640625" style="1"/>
    <col min="774" max="776" width="8.90625" style="1" bestFit="1" customWidth="1"/>
    <col min="777" max="777" width="14.90625" style="1" customWidth="1"/>
    <col min="778" max="778" width="8.90625" style="1" bestFit="1" customWidth="1"/>
    <col min="779" max="779" width="8.81640625" style="1"/>
    <col min="780" max="781" width="8.90625" style="1" bestFit="1" customWidth="1"/>
    <col min="782" max="784" width="8.81640625" style="1"/>
    <col min="785" max="791" width="8.90625" style="1" bestFit="1" customWidth="1"/>
    <col min="792" max="793" width="8.81640625" style="1"/>
    <col min="794" max="801" width="8.81640625" style="1" bestFit="1" customWidth="1"/>
    <col min="802" max="802" width="8.81640625" style="1"/>
    <col min="803" max="807" width="8.90625" style="1" bestFit="1" customWidth="1"/>
    <col min="808" max="819" width="8.81640625" style="1"/>
    <col min="820" max="825" width="8.90625" style="1" bestFit="1" customWidth="1"/>
    <col min="826" max="826" width="8.81640625" style="1"/>
    <col min="827" max="831" width="8.90625" style="1" bestFit="1" customWidth="1"/>
    <col min="832" max="849" width="8.81640625" style="1"/>
    <col min="850" max="854" width="8.90625" style="1" bestFit="1" customWidth="1"/>
    <col min="855" max="858" width="8.81640625" style="1"/>
    <col min="859" max="863" width="8.81640625" style="1" bestFit="1" customWidth="1"/>
    <col min="864" max="865" width="8.81640625" style="1"/>
    <col min="866" max="868" width="8.81640625" style="1" bestFit="1" customWidth="1"/>
    <col min="869" max="869" width="13.26953125" style="1" bestFit="1" customWidth="1"/>
    <col min="870" max="870" width="8.81640625" style="1" bestFit="1" customWidth="1"/>
    <col min="871" max="874" width="8.81640625" style="1"/>
    <col min="875" max="875" width="8.90625" style="1" bestFit="1" customWidth="1"/>
    <col min="876" max="876" width="8.81640625" style="1"/>
    <col min="877" max="882" width="8.90625" style="1" bestFit="1" customWidth="1"/>
    <col min="883" max="907" width="8.81640625" style="1"/>
    <col min="908" max="912" width="8.90625" style="1" bestFit="1" customWidth="1"/>
    <col min="913" max="914" width="8.81640625" style="1"/>
    <col min="915" max="925" width="8.90625" style="1" bestFit="1" customWidth="1"/>
    <col min="926" max="927" width="8.81640625" style="1"/>
    <col min="928" max="940" width="8.90625" style="1" bestFit="1" customWidth="1"/>
    <col min="941" max="943" width="8.81640625" style="1"/>
    <col min="944" max="950" width="8.90625" style="1" bestFit="1" customWidth="1"/>
    <col min="951" max="952" width="8.81640625" style="1"/>
    <col min="953" max="964" width="8.90625" style="1" bestFit="1" customWidth="1"/>
    <col min="965" max="967" width="8.81640625" style="1"/>
    <col min="968" max="972" width="8.81640625" style="1" bestFit="1" customWidth="1"/>
    <col min="973" max="974" width="8.81640625" style="1"/>
    <col min="975" max="981" width="8.90625" style="1" bestFit="1" customWidth="1"/>
    <col min="982" max="982" width="16" style="1" customWidth="1"/>
    <col min="983" max="986" width="8.90625" style="1" bestFit="1" customWidth="1"/>
    <col min="987" max="988" width="8.81640625" style="1"/>
    <col min="989" max="989" width="8.90625" style="1" bestFit="1" customWidth="1"/>
    <col min="990" max="1010" width="8.81640625" style="1"/>
    <col min="1011" max="1018" width="8.90625" style="1" bestFit="1" customWidth="1"/>
    <col min="1019" max="1020" width="8.81640625" style="1"/>
    <col min="1021" max="1027" width="8.90625" style="1" bestFit="1" customWidth="1"/>
    <col min="1028" max="1028" width="8.81640625" style="1"/>
    <col min="1029" max="1033" width="8.90625" style="1" bestFit="1" customWidth="1"/>
    <col min="1034" max="1035" width="8.81640625" style="1"/>
    <col min="1036" max="1036" width="8.90625" style="1" bestFit="1" customWidth="1"/>
    <col min="1037" max="1037" width="8.81640625" style="1"/>
    <col min="1038" max="1043" width="8.90625" style="1" bestFit="1" customWidth="1"/>
    <col min="1044" max="1044" width="8.81640625" style="1"/>
    <col min="1045" max="1045" width="8.90625" style="1" bestFit="1" customWidth="1"/>
    <col min="1046" max="1048" width="8.81640625" style="1"/>
    <col min="1049" max="1057" width="8.90625" style="1" bestFit="1" customWidth="1"/>
    <col min="1058" max="1059" width="8.81640625" style="1"/>
    <col min="1060" max="1070" width="8.81640625" style="1" bestFit="1" customWidth="1"/>
    <col min="1071" max="1072" width="8.81640625" style="1"/>
    <col min="1073" max="1073" width="8.81640625" style="1" bestFit="1" customWidth="1"/>
    <col min="1074" max="1074" width="8.81640625" style="1"/>
    <col min="1075" max="1082" width="8.90625" style="1" bestFit="1" customWidth="1"/>
    <col min="1083" max="1089" width="8.81640625" style="1"/>
    <col min="1090" max="1097" width="8.90625" style="1" bestFit="1" customWidth="1"/>
    <col min="1098" max="1102" width="8.81640625" style="1"/>
    <col min="1103" max="1103" width="8.81640625" style="1" bestFit="1" customWidth="1"/>
    <col min="1104" max="1104" width="8.90625" style="1" bestFit="1" customWidth="1"/>
    <col min="1105" max="1108" width="8.81640625" style="1"/>
    <col min="1109" max="1115" width="8.90625" style="1" bestFit="1" customWidth="1"/>
    <col min="1116" max="1117" width="8.81640625" style="1"/>
    <col min="1118" max="1124" width="8.81640625" style="1" bestFit="1" customWidth="1"/>
    <col min="1125" max="1126" width="8.81640625" style="1"/>
    <col min="1127" max="1132" width="8.90625" style="1" bestFit="1" customWidth="1"/>
    <col min="1133" max="1134" width="8.81640625" style="1"/>
    <col min="1135" max="1135" width="8.81640625" style="1" bestFit="1" customWidth="1"/>
    <col min="1136" max="1139" width="8.81640625" style="1"/>
    <col min="1140" max="1140" width="8.81640625" style="1" bestFit="1" customWidth="1"/>
    <col min="1141" max="1155" width="8.81640625" style="1"/>
    <col min="1156" max="1156" width="8.90625" style="1" bestFit="1" customWidth="1"/>
    <col min="1157" max="1159" width="8.81640625" style="1"/>
    <col min="1160" max="1171" width="8.90625" style="1" bestFit="1" customWidth="1"/>
    <col min="1172" max="1173" width="8.81640625" style="1"/>
    <col min="1174" max="1180" width="8.90625" style="1" bestFit="1" customWidth="1"/>
    <col min="1181" max="1183" width="8.81640625" style="1"/>
    <col min="1184" max="1190" width="8.90625" style="1" bestFit="1" customWidth="1"/>
    <col min="1191" max="1192" width="8.81640625" style="1"/>
    <col min="1193" max="1197" width="8.90625" style="1" bestFit="1" customWidth="1"/>
    <col min="1198" max="1199" width="8.81640625" style="1"/>
    <col min="1200" max="1212" width="8.90625" style="1" bestFit="1" customWidth="1"/>
    <col min="1213" max="1214" width="8.81640625" style="1"/>
    <col min="1215" max="1231" width="8.90625" style="1" bestFit="1" customWidth="1"/>
    <col min="1232" max="1263" width="8.81640625" style="1"/>
    <col min="1264" max="1266" width="8.90625" style="1" bestFit="1" customWidth="1"/>
    <col min="1267" max="1267" width="18.1796875" style="1" customWidth="1"/>
    <col min="1268" max="1271" width="8.90625" style="1" bestFit="1" customWidth="1"/>
    <col min="1272" max="1272" width="8.81640625" style="1" bestFit="1" customWidth="1"/>
    <col min="1273" max="1321" width="8.81640625" style="1"/>
    <col min="1322" max="1322" width="9.08984375" style="1" bestFit="1" customWidth="1"/>
    <col min="1323" max="1324" width="8.81640625" style="1"/>
    <col min="1325" max="1325" width="8.81640625" style="1" bestFit="1" customWidth="1"/>
    <col min="1326" max="16384" width="8.81640625" style="1"/>
  </cols>
  <sheetData>
    <row r="1" spans="1:1313" x14ac:dyDescent="0.3">
      <c r="A1" s="1" t="s">
        <v>1148</v>
      </c>
      <c r="B1" s="1" t="s">
        <v>0</v>
      </c>
      <c r="C1" s="1" t="s">
        <v>1</v>
      </c>
      <c r="D1" s="1" t="s">
        <v>2</v>
      </c>
      <c r="E1" s="1" t="s">
        <v>3</v>
      </c>
      <c r="F1" s="1" t="s">
        <v>4</v>
      </c>
      <c r="G1" s="1" t="s">
        <v>5</v>
      </c>
      <c r="H1" s="1" t="s">
        <v>1521</v>
      </c>
      <c r="I1" s="1" t="s">
        <v>6</v>
      </c>
      <c r="J1" s="1" t="s">
        <v>7</v>
      </c>
      <c r="K1" s="1" t="s">
        <v>8</v>
      </c>
      <c r="L1" s="1" t="s">
        <v>9</v>
      </c>
      <c r="M1" s="1" t="s">
        <v>10</v>
      </c>
      <c r="N1" s="1" t="s">
        <v>11</v>
      </c>
      <c r="O1" s="1" t="s">
        <v>12</v>
      </c>
      <c r="P1" s="1" t="s">
        <v>13</v>
      </c>
      <c r="Q1" s="1" t="s">
        <v>14</v>
      </c>
      <c r="R1" s="1" t="s">
        <v>15</v>
      </c>
      <c r="S1" s="1" t="s">
        <v>16</v>
      </c>
      <c r="T1" s="1" t="s">
        <v>17</v>
      </c>
      <c r="U1" s="1" t="s">
        <v>18</v>
      </c>
      <c r="V1" s="1" t="s">
        <v>19</v>
      </c>
      <c r="W1" s="1" t="s">
        <v>1522</v>
      </c>
      <c r="X1" s="1" t="s">
        <v>20</v>
      </c>
      <c r="Y1" s="1" t="s">
        <v>1523</v>
      </c>
      <c r="Z1" s="1" t="s">
        <v>1524</v>
      </c>
      <c r="AA1" s="1" t="s">
        <v>1525</v>
      </c>
      <c r="AB1" s="1" t="s">
        <v>21</v>
      </c>
      <c r="AC1" s="1" t="s">
        <v>22</v>
      </c>
      <c r="AD1" s="1" t="s">
        <v>23</v>
      </c>
      <c r="AE1" s="56" t="s">
        <v>24</v>
      </c>
      <c r="AF1" s="56" t="s">
        <v>25</v>
      </c>
      <c r="AG1" s="56" t="s">
        <v>26</v>
      </c>
      <c r="AH1" s="56" t="s">
        <v>27</v>
      </c>
      <c r="AI1" s="56" t="s">
        <v>28</v>
      </c>
      <c r="AJ1" s="56" t="s">
        <v>29</v>
      </c>
      <c r="AK1" s="1" t="s">
        <v>30</v>
      </c>
      <c r="AL1" s="1" t="s">
        <v>31</v>
      </c>
      <c r="AM1" s="1" t="s">
        <v>1526</v>
      </c>
      <c r="AN1" s="1" t="s">
        <v>32</v>
      </c>
      <c r="AO1" s="1" t="s">
        <v>33</v>
      </c>
      <c r="AP1" s="1" t="s">
        <v>35</v>
      </c>
      <c r="AQ1" s="1" t="s">
        <v>36</v>
      </c>
      <c r="AR1" s="1" t="s">
        <v>1527</v>
      </c>
      <c r="AS1" s="1" t="s">
        <v>34</v>
      </c>
      <c r="AT1" s="1" t="s">
        <v>37</v>
      </c>
      <c r="AU1" s="1" t="s">
        <v>38</v>
      </c>
      <c r="AV1" s="1" t="s">
        <v>39</v>
      </c>
      <c r="AW1" s="1" t="s">
        <v>40</v>
      </c>
      <c r="AX1" s="1" t="s">
        <v>41</v>
      </c>
      <c r="AY1" s="1" t="s">
        <v>42</v>
      </c>
      <c r="AZ1" s="1" t="s">
        <v>43</v>
      </c>
      <c r="BA1" s="1" t="s">
        <v>44</v>
      </c>
      <c r="BB1" s="1" t="s">
        <v>45</v>
      </c>
      <c r="BC1" s="1" t="s">
        <v>46</v>
      </c>
      <c r="BD1" s="1" t="s">
        <v>47</v>
      </c>
      <c r="BE1" s="1" t="s">
        <v>48</v>
      </c>
      <c r="BF1" s="1" t="s">
        <v>49</v>
      </c>
      <c r="BG1" s="1" t="s">
        <v>50</v>
      </c>
      <c r="BH1" s="1" t="s">
        <v>51</v>
      </c>
      <c r="BI1" s="1" t="s">
        <v>52</v>
      </c>
      <c r="BJ1" s="1" t="s">
        <v>53</v>
      </c>
      <c r="BK1" s="1" t="s">
        <v>54</v>
      </c>
      <c r="BL1" s="1" t="s">
        <v>55</v>
      </c>
      <c r="BM1" s="1" t="s">
        <v>56</v>
      </c>
      <c r="BN1" s="1" t="s">
        <v>57</v>
      </c>
      <c r="BO1" s="1" t="s">
        <v>58</v>
      </c>
      <c r="BP1" s="1" t="s">
        <v>59</v>
      </c>
      <c r="BQ1" s="1" t="s">
        <v>60</v>
      </c>
      <c r="BR1" s="1" t="s">
        <v>61</v>
      </c>
      <c r="BS1" s="1" t="s">
        <v>62</v>
      </c>
      <c r="BT1" s="1" t="s">
        <v>63</v>
      </c>
      <c r="BU1" s="1" t="s">
        <v>64</v>
      </c>
      <c r="BV1" s="1" t="s">
        <v>65</v>
      </c>
      <c r="BW1" s="1" t="s">
        <v>66</v>
      </c>
      <c r="BX1" s="1" t="s">
        <v>67</v>
      </c>
      <c r="BY1" s="1" t="s">
        <v>1528</v>
      </c>
      <c r="BZ1" s="1" t="s">
        <v>1529</v>
      </c>
      <c r="CA1" s="1" t="s">
        <v>1530</v>
      </c>
      <c r="CB1" s="1" t="s">
        <v>68</v>
      </c>
      <c r="CC1" s="1" t="s">
        <v>69</v>
      </c>
      <c r="CD1" s="1" t="s">
        <v>70</v>
      </c>
      <c r="CE1" s="1" t="s">
        <v>71</v>
      </c>
      <c r="CF1" s="1" t="s">
        <v>72</v>
      </c>
      <c r="CG1" s="1" t="s">
        <v>73</v>
      </c>
      <c r="CH1" s="1" t="s">
        <v>74</v>
      </c>
      <c r="CI1" s="1" t="s">
        <v>75</v>
      </c>
      <c r="CJ1" s="1" t="s">
        <v>76</v>
      </c>
      <c r="CK1" s="1" t="s">
        <v>77</v>
      </c>
      <c r="CL1" s="1" t="s">
        <v>78</v>
      </c>
      <c r="CM1" s="1" t="s">
        <v>79</v>
      </c>
      <c r="CN1" s="1" t="s">
        <v>80</v>
      </c>
      <c r="CO1" s="1" t="s">
        <v>81</v>
      </c>
      <c r="CP1" s="1" t="s">
        <v>82</v>
      </c>
      <c r="CQ1" s="1" t="s">
        <v>83</v>
      </c>
      <c r="CR1" s="1" t="s">
        <v>84</v>
      </c>
      <c r="CS1" s="1" t="s">
        <v>85</v>
      </c>
      <c r="CT1" s="1" t="s">
        <v>86</v>
      </c>
      <c r="CU1" s="1" t="s">
        <v>87</v>
      </c>
      <c r="CV1" s="1" t="s">
        <v>88</v>
      </c>
      <c r="CW1" s="1" t="s">
        <v>89</v>
      </c>
      <c r="CX1" s="1" t="s">
        <v>90</v>
      </c>
      <c r="CY1" s="1" t="s">
        <v>91</v>
      </c>
      <c r="CZ1" s="1" t="s">
        <v>92</v>
      </c>
      <c r="DA1" s="1" t="s">
        <v>93</v>
      </c>
      <c r="DB1" s="1" t="s">
        <v>94</v>
      </c>
      <c r="DC1" s="1" t="s">
        <v>95</v>
      </c>
      <c r="DD1" s="1" t="s">
        <v>96</v>
      </c>
      <c r="DE1" s="1" t="s">
        <v>97</v>
      </c>
      <c r="DF1" s="1" t="s">
        <v>98</v>
      </c>
      <c r="DG1" s="1" t="s">
        <v>99</v>
      </c>
      <c r="DH1" s="1" t="s">
        <v>100</v>
      </c>
      <c r="DI1" s="1" t="s">
        <v>101</v>
      </c>
      <c r="DJ1" s="1" t="s">
        <v>102</v>
      </c>
      <c r="DK1" s="1" t="s">
        <v>103</v>
      </c>
      <c r="DL1" s="1" t="s">
        <v>104</v>
      </c>
      <c r="DM1" s="1" t="s">
        <v>105</v>
      </c>
      <c r="DN1" s="1" t="s">
        <v>106</v>
      </c>
      <c r="DO1" s="1" t="s">
        <v>107</v>
      </c>
      <c r="DP1" s="1" t="s">
        <v>108</v>
      </c>
      <c r="DQ1" s="1" t="s">
        <v>109</v>
      </c>
      <c r="DR1" s="1" t="s">
        <v>110</v>
      </c>
      <c r="DS1" s="1" t="s">
        <v>111</v>
      </c>
      <c r="DT1" s="1" t="s">
        <v>112</v>
      </c>
      <c r="DU1" s="1" t="s">
        <v>113</v>
      </c>
      <c r="DV1" s="1" t="s">
        <v>114</v>
      </c>
      <c r="DW1" s="1" t="s">
        <v>115</v>
      </c>
      <c r="DX1" s="1" t="s">
        <v>116</v>
      </c>
      <c r="DY1" s="1" t="s">
        <v>117</v>
      </c>
      <c r="DZ1" s="1" t="s">
        <v>118</v>
      </c>
      <c r="EA1" s="1" t="s">
        <v>119</v>
      </c>
      <c r="EB1" s="1" t="s">
        <v>120</v>
      </c>
      <c r="EC1" s="1" t="s">
        <v>121</v>
      </c>
      <c r="ED1" s="1" t="s">
        <v>122</v>
      </c>
      <c r="EE1" s="1" t="s">
        <v>123</v>
      </c>
      <c r="EF1" s="1" t="s">
        <v>124</v>
      </c>
      <c r="EG1" s="1" t="s">
        <v>125</v>
      </c>
      <c r="EH1" s="1" t="s">
        <v>126</v>
      </c>
      <c r="EI1" s="1" t="s">
        <v>127</v>
      </c>
      <c r="EJ1" s="1" t="s">
        <v>128</v>
      </c>
      <c r="EK1" s="1" t="s">
        <v>1531</v>
      </c>
      <c r="EL1" s="1" t="s">
        <v>129</v>
      </c>
      <c r="EM1" s="1" t="s">
        <v>130</v>
      </c>
      <c r="EN1" s="1" t="s">
        <v>131</v>
      </c>
      <c r="EO1" s="1" t="s">
        <v>132</v>
      </c>
      <c r="EP1" s="1" t="s">
        <v>133</v>
      </c>
      <c r="EQ1" s="1" t="s">
        <v>134</v>
      </c>
      <c r="ER1" s="1" t="s">
        <v>135</v>
      </c>
      <c r="ES1" s="1" t="s">
        <v>136</v>
      </c>
      <c r="ET1" s="1" t="s">
        <v>137</v>
      </c>
      <c r="EU1" s="1" t="s">
        <v>138</v>
      </c>
      <c r="EV1" s="1" t="s">
        <v>139</v>
      </c>
      <c r="EW1" s="1" t="s">
        <v>140</v>
      </c>
      <c r="EX1" s="1" t="s">
        <v>141</v>
      </c>
      <c r="EY1" s="1" t="s">
        <v>142</v>
      </c>
      <c r="EZ1" s="1" t="s">
        <v>1532</v>
      </c>
      <c r="FA1" s="1" t="s">
        <v>143</v>
      </c>
      <c r="FB1" s="1" t="s">
        <v>144</v>
      </c>
      <c r="FC1" s="1" t="s">
        <v>145</v>
      </c>
      <c r="FD1" s="1" t="s">
        <v>146</v>
      </c>
      <c r="FE1" s="1" t="s">
        <v>147</v>
      </c>
      <c r="FF1" s="1" t="s">
        <v>148</v>
      </c>
      <c r="FG1" s="1" t="s">
        <v>149</v>
      </c>
      <c r="FH1" s="1" t="s">
        <v>150</v>
      </c>
      <c r="FI1" s="1" t="s">
        <v>151</v>
      </c>
      <c r="FJ1" s="1" t="s">
        <v>152</v>
      </c>
      <c r="FK1" s="1" t="s">
        <v>153</v>
      </c>
      <c r="FL1" s="1" t="s">
        <v>154</v>
      </c>
      <c r="FM1" s="1" t="s">
        <v>155</v>
      </c>
      <c r="FN1" s="1" t="s">
        <v>156</v>
      </c>
      <c r="FO1" s="1" t="s">
        <v>157</v>
      </c>
      <c r="FP1" s="1" t="s">
        <v>158</v>
      </c>
      <c r="FQ1" s="1" t="s">
        <v>159</v>
      </c>
      <c r="FR1" s="1" t="s">
        <v>160</v>
      </c>
      <c r="FS1" s="1" t="s">
        <v>161</v>
      </c>
      <c r="FT1" s="1" t="s">
        <v>162</v>
      </c>
      <c r="FU1" s="1" t="s">
        <v>163</v>
      </c>
      <c r="FV1" s="1" t="s">
        <v>164</v>
      </c>
      <c r="FW1" s="1" t="s">
        <v>165</v>
      </c>
      <c r="FX1" s="1" t="s">
        <v>166</v>
      </c>
      <c r="FY1" s="1" t="s">
        <v>167</v>
      </c>
      <c r="FZ1" s="1" t="s">
        <v>168</v>
      </c>
      <c r="GA1" s="1" t="s">
        <v>169</v>
      </c>
      <c r="GB1" s="1" t="s">
        <v>170</v>
      </c>
      <c r="GC1" s="1" t="s">
        <v>171</v>
      </c>
      <c r="GD1" s="1" t="s">
        <v>172</v>
      </c>
      <c r="GE1" s="1" t="s">
        <v>173</v>
      </c>
      <c r="GF1" s="1" t="s">
        <v>174</v>
      </c>
      <c r="GG1" s="1" t="s">
        <v>175</v>
      </c>
      <c r="GH1" s="1" t="s">
        <v>176</v>
      </c>
      <c r="GI1" s="1" t="s">
        <v>177</v>
      </c>
      <c r="GJ1" s="1" t="s">
        <v>178</v>
      </c>
      <c r="GK1" s="1" t="s">
        <v>179</v>
      </c>
      <c r="GL1" s="1" t="s">
        <v>180</v>
      </c>
      <c r="GM1" s="1" t="s">
        <v>181</v>
      </c>
      <c r="GN1" s="1" t="s">
        <v>182</v>
      </c>
      <c r="GO1" s="1" t="s">
        <v>183</v>
      </c>
      <c r="GP1" s="1" t="s">
        <v>184</v>
      </c>
      <c r="GQ1" s="1" t="s">
        <v>185</v>
      </c>
      <c r="GR1" s="1" t="s">
        <v>186</v>
      </c>
      <c r="GS1" s="1" t="s">
        <v>187</v>
      </c>
      <c r="GT1" s="1" t="s">
        <v>188</v>
      </c>
      <c r="GU1" s="1" t="s">
        <v>189</v>
      </c>
      <c r="GV1" s="1" t="s">
        <v>190</v>
      </c>
      <c r="GW1" s="1" t="s">
        <v>191</v>
      </c>
      <c r="GZ1" s="1" t="s">
        <v>192</v>
      </c>
      <c r="HA1" s="1" t="s">
        <v>193</v>
      </c>
      <c r="HB1" s="1" t="s">
        <v>194</v>
      </c>
      <c r="HC1" s="1" t="s">
        <v>195</v>
      </c>
      <c r="HD1" s="1" t="s">
        <v>1533</v>
      </c>
      <c r="HE1" s="1" t="s">
        <v>196</v>
      </c>
      <c r="HF1" s="1" t="s">
        <v>1534</v>
      </c>
      <c r="HG1" s="1" t="s">
        <v>1535</v>
      </c>
      <c r="HH1" s="1" t="s">
        <v>197</v>
      </c>
      <c r="HI1" s="1" t="s">
        <v>198</v>
      </c>
      <c r="HJ1" s="1" t="s">
        <v>199</v>
      </c>
      <c r="HK1" s="1" t="s">
        <v>200</v>
      </c>
      <c r="HL1" s="1" t="s">
        <v>201</v>
      </c>
      <c r="HM1" s="1" t="s">
        <v>202</v>
      </c>
      <c r="HN1" s="1" t="s">
        <v>203</v>
      </c>
      <c r="HO1" s="1" t="s">
        <v>204</v>
      </c>
      <c r="HP1" s="1" t="s">
        <v>205</v>
      </c>
      <c r="HQ1" s="1" t="s">
        <v>206</v>
      </c>
      <c r="HR1" s="1" t="s">
        <v>207</v>
      </c>
      <c r="HS1" s="1" t="s">
        <v>1536</v>
      </c>
      <c r="HT1" s="1" t="s">
        <v>208</v>
      </c>
      <c r="HU1" s="1" t="s">
        <v>209</v>
      </c>
      <c r="HV1" s="1" t="s">
        <v>210</v>
      </c>
      <c r="HW1" s="1" t="s">
        <v>211</v>
      </c>
      <c r="HX1" s="1" t="s">
        <v>212</v>
      </c>
      <c r="HY1" s="1" t="s">
        <v>213</v>
      </c>
      <c r="HZ1" s="1" t="s">
        <v>214</v>
      </c>
      <c r="IA1" s="1" t="s">
        <v>215</v>
      </c>
      <c r="IB1" s="1" t="s">
        <v>216</v>
      </c>
      <c r="IC1" s="1" t="s">
        <v>217</v>
      </c>
      <c r="ID1" s="1" t="s">
        <v>218</v>
      </c>
      <c r="IE1" s="1" t="s">
        <v>219</v>
      </c>
      <c r="IF1" s="1" t="s">
        <v>220</v>
      </c>
      <c r="IG1" s="1" t="s">
        <v>221</v>
      </c>
      <c r="IH1" s="1" t="s">
        <v>222</v>
      </c>
      <c r="II1" s="1" t="s">
        <v>223</v>
      </c>
      <c r="IJ1" s="1" t="s">
        <v>224</v>
      </c>
      <c r="IK1" s="1" t="s">
        <v>225</v>
      </c>
      <c r="IL1" s="1" t="s">
        <v>226</v>
      </c>
      <c r="IM1" s="1" t="s">
        <v>227</v>
      </c>
      <c r="IN1" s="1" t="s">
        <v>228</v>
      </c>
      <c r="IO1" s="1" t="s">
        <v>229</v>
      </c>
      <c r="IP1" s="1" t="s">
        <v>230</v>
      </c>
      <c r="IQ1" s="1" t="s">
        <v>231</v>
      </c>
      <c r="IR1" s="1" t="s">
        <v>232</v>
      </c>
      <c r="IS1" s="1" t="s">
        <v>233</v>
      </c>
      <c r="IT1" s="1" t="s">
        <v>234</v>
      </c>
      <c r="IU1" s="1" t="s">
        <v>235</v>
      </c>
      <c r="IV1" s="1" t="s">
        <v>236</v>
      </c>
      <c r="IW1" s="1" t="s">
        <v>237</v>
      </c>
      <c r="IX1" s="1" t="s">
        <v>238</v>
      </c>
      <c r="IY1" s="1" t="s">
        <v>239</v>
      </c>
      <c r="IZ1" s="1" t="s">
        <v>240</v>
      </c>
      <c r="JA1" s="1" t="s">
        <v>241</v>
      </c>
      <c r="JB1" s="1" t="s">
        <v>242</v>
      </c>
      <c r="JC1" s="1" t="s">
        <v>243</v>
      </c>
      <c r="JD1" s="1" t="s">
        <v>244</v>
      </c>
      <c r="JE1" s="1" t="s">
        <v>245</v>
      </c>
      <c r="JF1" s="1" t="s">
        <v>246</v>
      </c>
      <c r="JG1" s="1" t="s">
        <v>247</v>
      </c>
      <c r="JH1" s="1" t="s">
        <v>248</v>
      </c>
      <c r="JI1" s="1" t="s">
        <v>249</v>
      </c>
      <c r="JJ1" s="1" t="s">
        <v>250</v>
      </c>
      <c r="JK1" s="1" t="s">
        <v>251</v>
      </c>
      <c r="JL1" s="1" t="s">
        <v>1537</v>
      </c>
      <c r="JM1" s="1" t="s">
        <v>1538</v>
      </c>
      <c r="JN1" s="1" t="s">
        <v>1539</v>
      </c>
      <c r="JO1" s="1" t="s">
        <v>252</v>
      </c>
      <c r="JP1" s="1" t="s">
        <v>253</v>
      </c>
      <c r="JQ1" s="1" t="s">
        <v>254</v>
      </c>
      <c r="JR1" s="1" t="s">
        <v>255</v>
      </c>
      <c r="JS1" s="1" t="s">
        <v>256</v>
      </c>
      <c r="JT1" s="1" t="s">
        <v>257</v>
      </c>
      <c r="JU1" s="1" t="s">
        <v>258</v>
      </c>
      <c r="JV1" s="1" t="s">
        <v>259</v>
      </c>
      <c r="JW1" s="1" t="s">
        <v>260</v>
      </c>
      <c r="JX1" s="1" t="s">
        <v>261</v>
      </c>
      <c r="JY1" s="1" t="s">
        <v>262</v>
      </c>
      <c r="JZ1" s="1" t="s">
        <v>263</v>
      </c>
      <c r="KA1" s="1" t="s">
        <v>264</v>
      </c>
      <c r="KB1" s="1" t="s">
        <v>265</v>
      </c>
      <c r="KC1" s="1" t="s">
        <v>266</v>
      </c>
      <c r="KD1" s="1" t="s">
        <v>267</v>
      </c>
      <c r="KE1" s="1" t="s">
        <v>268</v>
      </c>
      <c r="KF1" s="1" t="s">
        <v>269</v>
      </c>
      <c r="KG1" s="1" t="s">
        <v>270</v>
      </c>
      <c r="KH1" s="1" t="s">
        <v>271</v>
      </c>
      <c r="KI1" s="1" t="s">
        <v>272</v>
      </c>
      <c r="KJ1" s="1" t="s">
        <v>273</v>
      </c>
      <c r="KK1" s="1" t="s">
        <v>274</v>
      </c>
      <c r="KL1" s="1" t="s">
        <v>275</v>
      </c>
      <c r="KM1" s="1" t="s">
        <v>276</v>
      </c>
      <c r="KN1" s="1" t="s">
        <v>277</v>
      </c>
      <c r="KO1" s="1" t="s">
        <v>278</v>
      </c>
      <c r="KP1" s="1" t="s">
        <v>279</v>
      </c>
      <c r="KQ1" s="1" t="s">
        <v>280</v>
      </c>
      <c r="KR1" s="1" t="s">
        <v>281</v>
      </c>
      <c r="KS1" s="1" t="s">
        <v>282</v>
      </c>
      <c r="KT1" s="1" t="s">
        <v>283</v>
      </c>
      <c r="KU1" s="1" t="s">
        <v>284</v>
      </c>
      <c r="KV1" s="1" t="s">
        <v>285</v>
      </c>
      <c r="KW1" s="1" t="s">
        <v>286</v>
      </c>
      <c r="KX1" s="1" t="s">
        <v>287</v>
      </c>
      <c r="KY1" s="1" t="s">
        <v>288</v>
      </c>
      <c r="KZ1" s="1" t="s">
        <v>289</v>
      </c>
      <c r="LA1" s="1" t="s">
        <v>290</v>
      </c>
      <c r="LB1" s="1" t="s">
        <v>291</v>
      </c>
      <c r="LC1" s="1" t="s">
        <v>292</v>
      </c>
      <c r="LD1" s="1" t="s">
        <v>293</v>
      </c>
      <c r="LE1" s="1" t="s">
        <v>294</v>
      </c>
      <c r="LF1" s="1" t="s">
        <v>295</v>
      </c>
      <c r="LG1" s="1" t="s">
        <v>296</v>
      </c>
      <c r="LH1" s="1" t="s">
        <v>297</v>
      </c>
      <c r="LI1" s="1" t="s">
        <v>298</v>
      </c>
      <c r="LJ1" s="1" t="s">
        <v>299</v>
      </c>
      <c r="LK1" s="1" t="s">
        <v>300</v>
      </c>
      <c r="LL1" s="1" t="s">
        <v>301</v>
      </c>
      <c r="LM1" s="1" t="s">
        <v>302</v>
      </c>
      <c r="LN1" s="1" t="s">
        <v>303</v>
      </c>
      <c r="LO1" s="1" t="s">
        <v>304</v>
      </c>
      <c r="LP1" s="1" t="s">
        <v>305</v>
      </c>
      <c r="LQ1" s="1" t="s">
        <v>306</v>
      </c>
      <c r="LR1" s="56" t="s">
        <v>307</v>
      </c>
      <c r="LS1" s="1" t="s">
        <v>308</v>
      </c>
      <c r="LT1" s="1" t="s">
        <v>309</v>
      </c>
      <c r="LU1" s="1" t="s">
        <v>310</v>
      </c>
      <c r="LV1" s="1" t="s">
        <v>311</v>
      </c>
      <c r="LW1" s="1" t="s">
        <v>312</v>
      </c>
      <c r="LX1" s="1" t="s">
        <v>1540</v>
      </c>
      <c r="LY1" s="1" t="s">
        <v>313</v>
      </c>
      <c r="LZ1" s="1" t="s">
        <v>314</v>
      </c>
      <c r="MA1" s="1" t="s">
        <v>315</v>
      </c>
      <c r="MB1" s="1" t="s">
        <v>316</v>
      </c>
      <c r="MC1" s="1" t="s">
        <v>317</v>
      </c>
      <c r="MD1" s="1" t="s">
        <v>318</v>
      </c>
      <c r="ME1" s="1" t="s">
        <v>319</v>
      </c>
      <c r="MF1" s="1" t="s">
        <v>320</v>
      </c>
      <c r="MG1" s="1" t="s">
        <v>321</v>
      </c>
      <c r="MH1" s="1" t="s">
        <v>322</v>
      </c>
      <c r="MI1" s="1" t="s">
        <v>323</v>
      </c>
      <c r="MJ1" s="1" t="s">
        <v>324</v>
      </c>
      <c r="MK1" s="1" t="s">
        <v>325</v>
      </c>
      <c r="ML1" s="1" t="s">
        <v>326</v>
      </c>
      <c r="MM1" s="1" t="s">
        <v>1541</v>
      </c>
      <c r="MN1" s="1" t="s">
        <v>327</v>
      </c>
      <c r="MO1" s="1" t="s">
        <v>328</v>
      </c>
      <c r="MP1" s="1" t="s">
        <v>329</v>
      </c>
      <c r="MQ1" s="1" t="s">
        <v>330</v>
      </c>
      <c r="MR1" s="1" t="s">
        <v>331</v>
      </c>
      <c r="MS1" s="1" t="s">
        <v>332</v>
      </c>
      <c r="MT1" s="1" t="s">
        <v>333</v>
      </c>
      <c r="MU1" s="1" t="s">
        <v>334</v>
      </c>
      <c r="MV1" s="1" t="s">
        <v>335</v>
      </c>
      <c r="MW1" s="1" t="s">
        <v>336</v>
      </c>
      <c r="MX1" s="1" t="s">
        <v>337</v>
      </c>
      <c r="MY1" s="1" t="s">
        <v>338</v>
      </c>
      <c r="MZ1" s="1" t="s">
        <v>339</v>
      </c>
      <c r="NA1" s="1" t="s">
        <v>340</v>
      </c>
      <c r="NB1" s="1" t="s">
        <v>341</v>
      </c>
      <c r="NC1" s="1" t="s">
        <v>342</v>
      </c>
      <c r="ND1" s="1" t="s">
        <v>343</v>
      </c>
      <c r="NE1" s="1" t="s">
        <v>344</v>
      </c>
      <c r="NF1" s="1" t="s">
        <v>345</v>
      </c>
      <c r="NG1" s="1" t="s">
        <v>346</v>
      </c>
      <c r="NH1" s="1" t="s">
        <v>347</v>
      </c>
      <c r="NI1" s="1" t="s">
        <v>348</v>
      </c>
      <c r="NJ1" s="1" t="s">
        <v>349</v>
      </c>
      <c r="NK1" s="1" t="s">
        <v>350</v>
      </c>
      <c r="NL1" s="1" t="s">
        <v>351</v>
      </c>
      <c r="NM1" s="1" t="s">
        <v>352</v>
      </c>
      <c r="NN1" s="1" t="s">
        <v>353</v>
      </c>
      <c r="NO1" s="1" t="s">
        <v>354</v>
      </c>
      <c r="NP1" s="1" t="s">
        <v>355</v>
      </c>
      <c r="NQ1" s="1" t="s">
        <v>356</v>
      </c>
      <c r="NR1" s="1" t="s">
        <v>357</v>
      </c>
      <c r="NS1" s="1" t="s">
        <v>358</v>
      </c>
      <c r="NT1" s="1" t="s">
        <v>359</v>
      </c>
      <c r="NU1" s="1" t="s">
        <v>360</v>
      </c>
      <c r="NV1" s="1" t="s">
        <v>361</v>
      </c>
      <c r="NW1" s="1" t="s">
        <v>362</v>
      </c>
      <c r="NX1" s="1" t="s">
        <v>363</v>
      </c>
      <c r="NY1" s="1" t="s">
        <v>364</v>
      </c>
      <c r="NZ1" s="1" t="s">
        <v>365</v>
      </c>
      <c r="OA1" s="1" t="s">
        <v>366</v>
      </c>
      <c r="OB1" s="1" t="s">
        <v>367</v>
      </c>
      <c r="OC1" s="1" t="s">
        <v>368</v>
      </c>
      <c r="OD1" s="1" t="s">
        <v>369</v>
      </c>
      <c r="OE1" s="1" t="s">
        <v>370</v>
      </c>
      <c r="OF1" s="1" t="s">
        <v>371</v>
      </c>
      <c r="OG1" s="1" t="s">
        <v>372</v>
      </c>
      <c r="OH1" s="1" t="s">
        <v>373</v>
      </c>
      <c r="OI1" s="1" t="s">
        <v>374</v>
      </c>
      <c r="OJ1" s="1" t="s">
        <v>375</v>
      </c>
      <c r="OK1" s="1" t="s">
        <v>376</v>
      </c>
      <c r="OL1" s="1" t="s">
        <v>377</v>
      </c>
      <c r="OM1" s="1" t="s">
        <v>1542</v>
      </c>
      <c r="ON1" s="1" t="s">
        <v>378</v>
      </c>
      <c r="OO1" s="1" t="s">
        <v>1543</v>
      </c>
      <c r="OP1" s="1" t="s">
        <v>1544</v>
      </c>
      <c r="OQ1" s="1" t="s">
        <v>1545</v>
      </c>
      <c r="OR1" s="1" t="s">
        <v>379</v>
      </c>
      <c r="OS1" s="1" t="s">
        <v>380</v>
      </c>
      <c r="OT1" s="1" t="s">
        <v>381</v>
      </c>
      <c r="OU1" s="1" t="s">
        <v>382</v>
      </c>
      <c r="OV1" s="1" t="s">
        <v>383</v>
      </c>
      <c r="OW1" s="1" t="s">
        <v>384</v>
      </c>
      <c r="OX1" s="1" t="s">
        <v>385</v>
      </c>
      <c r="OY1" s="1" t="s">
        <v>386</v>
      </c>
      <c r="OZ1" s="1" t="s">
        <v>387</v>
      </c>
      <c r="PA1" s="1" t="s">
        <v>388</v>
      </c>
      <c r="PB1" s="1" t="s">
        <v>389</v>
      </c>
      <c r="PC1" s="1" t="s">
        <v>390</v>
      </c>
      <c r="PD1" s="1" t="s">
        <v>391</v>
      </c>
      <c r="PE1" s="1" t="s">
        <v>1546</v>
      </c>
      <c r="PF1" s="1" t="s">
        <v>1547</v>
      </c>
      <c r="PG1" s="1" t="s">
        <v>1548</v>
      </c>
      <c r="PH1" s="1" t="s">
        <v>1549</v>
      </c>
      <c r="PI1" s="1" t="s">
        <v>1550</v>
      </c>
      <c r="PJ1" s="1" t="s">
        <v>392</v>
      </c>
      <c r="PK1" s="1" t="s">
        <v>1551</v>
      </c>
      <c r="PL1" s="1" t="s">
        <v>393</v>
      </c>
      <c r="PM1" s="1" t="s">
        <v>394</v>
      </c>
      <c r="PN1" s="1" t="s">
        <v>395</v>
      </c>
      <c r="PO1" s="1" t="s">
        <v>396</v>
      </c>
      <c r="PP1" s="1" t="s">
        <v>397</v>
      </c>
      <c r="PQ1" s="1" t="s">
        <v>398</v>
      </c>
      <c r="PR1" s="1" t="s">
        <v>399</v>
      </c>
      <c r="PS1" s="1" t="s">
        <v>400</v>
      </c>
      <c r="PT1" s="1" t="s">
        <v>401</v>
      </c>
      <c r="PU1" s="1" t="s">
        <v>402</v>
      </c>
      <c r="PV1" s="1" t="s">
        <v>403</v>
      </c>
      <c r="PW1" s="1" t="s">
        <v>404</v>
      </c>
      <c r="PX1" s="1" t="s">
        <v>405</v>
      </c>
      <c r="PY1" s="1" t="s">
        <v>406</v>
      </c>
      <c r="PZ1" s="1" t="s">
        <v>407</v>
      </c>
      <c r="QA1" s="1" t="s">
        <v>408</v>
      </c>
      <c r="QB1" s="1" t="s">
        <v>409</v>
      </c>
      <c r="QC1" s="1" t="s">
        <v>410</v>
      </c>
      <c r="QD1" s="1" t="s">
        <v>411</v>
      </c>
      <c r="QE1" s="1" t="s">
        <v>412</v>
      </c>
      <c r="QF1" s="1" t="s">
        <v>413</v>
      </c>
      <c r="QG1" s="1" t="s">
        <v>414</v>
      </c>
      <c r="QH1" s="1" t="s">
        <v>415</v>
      </c>
      <c r="QI1" s="56" t="s">
        <v>416</v>
      </c>
      <c r="QJ1" s="1" t="s">
        <v>417</v>
      </c>
      <c r="QK1" s="1" t="s">
        <v>418</v>
      </c>
      <c r="QL1" s="1" t="s">
        <v>419</v>
      </c>
      <c r="QM1" s="1" t="s">
        <v>420</v>
      </c>
      <c r="QN1" s="1" t="s">
        <v>1552</v>
      </c>
      <c r="QO1" s="1" t="s">
        <v>421</v>
      </c>
      <c r="QP1" s="1" t="s">
        <v>422</v>
      </c>
      <c r="QQ1" s="1" t="s">
        <v>423</v>
      </c>
      <c r="QR1" s="1" t="s">
        <v>424</v>
      </c>
      <c r="QS1" s="1" t="s">
        <v>425</v>
      </c>
      <c r="QT1" s="1" t="s">
        <v>426</v>
      </c>
      <c r="QU1" s="1" t="s">
        <v>427</v>
      </c>
      <c r="QV1" s="1" t="s">
        <v>1553</v>
      </c>
      <c r="QW1" s="1" t="s">
        <v>1554</v>
      </c>
      <c r="QX1" s="1" t="s">
        <v>428</v>
      </c>
      <c r="QY1" s="1" t="s">
        <v>429</v>
      </c>
      <c r="QZ1" s="1" t="s">
        <v>430</v>
      </c>
      <c r="RA1" s="1" t="s">
        <v>431</v>
      </c>
      <c r="RB1" s="1" t="s">
        <v>432</v>
      </c>
      <c r="RC1" s="1" t="s">
        <v>433</v>
      </c>
      <c r="RD1" s="1" t="s">
        <v>434</v>
      </c>
      <c r="RE1" s="1" t="s">
        <v>435</v>
      </c>
      <c r="RF1" s="1" t="s">
        <v>436</v>
      </c>
      <c r="RG1" s="1" t="s">
        <v>437</v>
      </c>
      <c r="RH1" s="1" t="s">
        <v>438</v>
      </c>
      <c r="RI1" s="1" t="s">
        <v>439</v>
      </c>
      <c r="RJ1" s="1" t="s">
        <v>440</v>
      </c>
      <c r="RK1" s="1" t="s">
        <v>441</v>
      </c>
      <c r="RL1" s="1" t="s">
        <v>442</v>
      </c>
      <c r="RM1" s="1" t="s">
        <v>443</v>
      </c>
      <c r="RN1" s="1" t="s">
        <v>444</v>
      </c>
      <c r="RO1" s="1" t="s">
        <v>445</v>
      </c>
      <c r="RP1" s="1" t="s">
        <v>446</v>
      </c>
      <c r="RQ1" s="1" t="s">
        <v>447</v>
      </c>
      <c r="RR1" s="1" t="s">
        <v>448</v>
      </c>
      <c r="RS1" s="1" t="s">
        <v>449</v>
      </c>
      <c r="RT1" s="1" t="s">
        <v>450</v>
      </c>
      <c r="RU1" s="1" t="s">
        <v>451</v>
      </c>
      <c r="RV1" s="1" t="s">
        <v>452</v>
      </c>
      <c r="RW1" s="1" t="s">
        <v>453</v>
      </c>
      <c r="RX1" s="1" t="s">
        <v>454</v>
      </c>
      <c r="RY1" s="1" t="s">
        <v>455</v>
      </c>
      <c r="RZ1" s="1" t="s">
        <v>456</v>
      </c>
      <c r="SA1" s="1" t="s">
        <v>457</v>
      </c>
      <c r="SB1" s="1" t="s">
        <v>458</v>
      </c>
      <c r="SC1" s="1" t="s">
        <v>459</v>
      </c>
      <c r="SD1" s="1" t="s">
        <v>460</v>
      </c>
      <c r="SE1" s="1" t="s">
        <v>461</v>
      </c>
      <c r="SF1" s="1" t="s">
        <v>462</v>
      </c>
      <c r="SG1" s="1" t="s">
        <v>463</v>
      </c>
      <c r="SH1" s="1" t="s">
        <v>464</v>
      </c>
      <c r="SI1" s="1" t="s">
        <v>465</v>
      </c>
      <c r="SJ1" s="1" t="s">
        <v>466</v>
      </c>
      <c r="SK1" s="1" t="s">
        <v>467</v>
      </c>
      <c r="SL1" s="1" t="s">
        <v>468</v>
      </c>
      <c r="SM1" s="1" t="s">
        <v>469</v>
      </c>
      <c r="SN1" s="1" t="s">
        <v>470</v>
      </c>
      <c r="SO1" s="1" t="s">
        <v>471</v>
      </c>
      <c r="SP1" s="1" t="s">
        <v>472</v>
      </c>
      <c r="SQ1" s="1" t="s">
        <v>473</v>
      </c>
      <c r="SR1" s="1" t="s">
        <v>474</v>
      </c>
      <c r="SS1" s="1" t="s">
        <v>475</v>
      </c>
      <c r="ST1" s="1" t="s">
        <v>476</v>
      </c>
      <c r="SU1" s="1" t="s">
        <v>477</v>
      </c>
      <c r="SV1" s="1" t="s">
        <v>478</v>
      </c>
      <c r="SW1" s="1" t="s">
        <v>479</v>
      </c>
      <c r="SX1" s="1" t="s">
        <v>1555</v>
      </c>
      <c r="SY1" s="1" t="s">
        <v>1556</v>
      </c>
      <c r="SZ1" s="1" t="s">
        <v>1557</v>
      </c>
      <c r="TA1" s="1" t="s">
        <v>480</v>
      </c>
      <c r="TB1" s="1" t="s">
        <v>481</v>
      </c>
      <c r="TC1" s="1" t="s">
        <v>482</v>
      </c>
      <c r="TD1" s="1" t="s">
        <v>483</v>
      </c>
      <c r="TE1" s="1" t="s">
        <v>484</v>
      </c>
      <c r="TF1" s="1" t="s">
        <v>485</v>
      </c>
      <c r="TG1" s="1" t="s">
        <v>486</v>
      </c>
      <c r="TH1" s="1" t="s">
        <v>487</v>
      </c>
      <c r="TI1" s="1" t="s">
        <v>488</v>
      </c>
      <c r="TJ1" s="1" t="s">
        <v>489</v>
      </c>
      <c r="TK1" s="1" t="s">
        <v>490</v>
      </c>
      <c r="TL1" s="1" t="s">
        <v>491</v>
      </c>
      <c r="TM1" s="1" t="s">
        <v>492</v>
      </c>
      <c r="TN1" s="1" t="s">
        <v>493</v>
      </c>
      <c r="TO1" s="1" t="s">
        <v>494</v>
      </c>
      <c r="TP1" s="1" t="s">
        <v>495</v>
      </c>
      <c r="TQ1" s="1" t="s">
        <v>496</v>
      </c>
      <c r="TR1" s="1" t="s">
        <v>497</v>
      </c>
      <c r="TS1" s="1" t="s">
        <v>498</v>
      </c>
      <c r="TT1" s="1" t="s">
        <v>499</v>
      </c>
      <c r="TU1" s="1" t="s">
        <v>500</v>
      </c>
      <c r="TV1" s="1" t="s">
        <v>501</v>
      </c>
      <c r="TW1" s="1" t="s">
        <v>502</v>
      </c>
      <c r="TX1" s="1" t="s">
        <v>503</v>
      </c>
      <c r="TY1" s="1" t="s">
        <v>504</v>
      </c>
      <c r="TZ1" s="1" t="s">
        <v>505</v>
      </c>
      <c r="UA1" s="1" t="s">
        <v>506</v>
      </c>
      <c r="UB1" s="1" t="s">
        <v>507</v>
      </c>
      <c r="UC1" s="1" t="s">
        <v>508</v>
      </c>
      <c r="UD1" s="1" t="s">
        <v>509</v>
      </c>
      <c r="UE1" s="1" t="s">
        <v>510</v>
      </c>
      <c r="UF1" s="1" t="s">
        <v>511</v>
      </c>
      <c r="UG1" s="1" t="s">
        <v>512</v>
      </c>
      <c r="UH1" s="1" t="s">
        <v>513</v>
      </c>
      <c r="UI1" s="1" t="s">
        <v>514</v>
      </c>
      <c r="UJ1" s="1" t="s">
        <v>515</v>
      </c>
      <c r="UK1" s="1" t="s">
        <v>516</v>
      </c>
      <c r="UL1" s="1" t="s">
        <v>517</v>
      </c>
      <c r="UM1" s="1" t="s">
        <v>518</v>
      </c>
      <c r="UN1" s="1" t="s">
        <v>519</v>
      </c>
      <c r="UO1" s="1" t="s">
        <v>520</v>
      </c>
      <c r="UP1" s="1" t="s">
        <v>521</v>
      </c>
      <c r="UQ1" s="1" t="s">
        <v>522</v>
      </c>
      <c r="UR1" s="1" t="s">
        <v>523</v>
      </c>
      <c r="US1" s="1" t="s">
        <v>524</v>
      </c>
      <c r="UT1" s="1" t="s">
        <v>525</v>
      </c>
      <c r="UU1" s="1" t="s">
        <v>526</v>
      </c>
      <c r="UV1" s="1" t="s">
        <v>527</v>
      </c>
      <c r="UW1" s="1" t="s">
        <v>528</v>
      </c>
      <c r="UX1" s="1" t="s">
        <v>529</v>
      </c>
      <c r="UY1" s="1" t="s">
        <v>530</v>
      </c>
      <c r="UZ1" s="1" t="s">
        <v>531</v>
      </c>
      <c r="VA1" s="1" t="s">
        <v>532</v>
      </c>
      <c r="VB1" s="1" t="s">
        <v>533</v>
      </c>
      <c r="VC1" s="1" t="s">
        <v>534</v>
      </c>
      <c r="VD1" s="1" t="s">
        <v>535</v>
      </c>
      <c r="VE1" s="1" t="s">
        <v>536</v>
      </c>
      <c r="VF1" s="1" t="s">
        <v>537</v>
      </c>
      <c r="VG1" s="1" t="s">
        <v>538</v>
      </c>
      <c r="VH1" s="1" t="s">
        <v>539</v>
      </c>
      <c r="VI1" s="1" t="s">
        <v>540</v>
      </c>
      <c r="VJ1" s="1" t="s">
        <v>541</v>
      </c>
      <c r="VK1" s="1" t="s">
        <v>542</v>
      </c>
      <c r="VL1" s="1" t="s">
        <v>543</v>
      </c>
      <c r="VM1" s="1" t="s">
        <v>544</v>
      </c>
      <c r="VN1" s="1" t="s">
        <v>545</v>
      </c>
      <c r="VO1" s="1" t="s">
        <v>546</v>
      </c>
      <c r="VP1" s="1" t="s">
        <v>547</v>
      </c>
      <c r="VQ1" s="1" t="s">
        <v>548</v>
      </c>
      <c r="VR1" s="1" t="s">
        <v>549</v>
      </c>
      <c r="VS1" s="1" t="s">
        <v>550</v>
      </c>
      <c r="VT1" s="1" t="s">
        <v>551</v>
      </c>
      <c r="VU1" s="1" t="s">
        <v>1558</v>
      </c>
      <c r="VV1" s="1" t="s">
        <v>552</v>
      </c>
      <c r="VW1" s="1" t="s">
        <v>553</v>
      </c>
      <c r="VX1" s="1" t="s">
        <v>554</v>
      </c>
      <c r="VY1" s="1" t="s">
        <v>555</v>
      </c>
      <c r="VZ1" s="1" t="s">
        <v>556</v>
      </c>
      <c r="WA1" s="1" t="s">
        <v>557</v>
      </c>
      <c r="WB1" s="1" t="s">
        <v>558</v>
      </c>
      <c r="WC1" s="1" t="s">
        <v>559</v>
      </c>
      <c r="WD1" s="1" t="s">
        <v>560</v>
      </c>
      <c r="WE1" s="1" t="s">
        <v>561</v>
      </c>
      <c r="WF1" s="1" t="s">
        <v>562</v>
      </c>
      <c r="WG1" s="1" t="s">
        <v>563</v>
      </c>
      <c r="WH1" s="1" t="s">
        <v>564</v>
      </c>
      <c r="WI1" s="1" t="s">
        <v>565</v>
      </c>
      <c r="WJ1" s="1" t="s">
        <v>566</v>
      </c>
      <c r="WK1" s="1" t="s">
        <v>567</v>
      </c>
      <c r="WL1" s="1" t="s">
        <v>568</v>
      </c>
      <c r="WM1" s="1" t="s">
        <v>569</v>
      </c>
      <c r="WN1" s="1" t="s">
        <v>570</v>
      </c>
      <c r="WO1" s="1" t="s">
        <v>571</v>
      </c>
      <c r="WP1" s="1" t="s">
        <v>572</v>
      </c>
      <c r="WQ1" s="1" t="s">
        <v>573</v>
      </c>
      <c r="WR1" s="1" t="s">
        <v>574</v>
      </c>
      <c r="WS1" s="1" t="s">
        <v>575</v>
      </c>
      <c r="WT1" s="1" t="s">
        <v>576</v>
      </c>
      <c r="WU1" s="1" t="s">
        <v>577</v>
      </c>
      <c r="WV1" s="1" t="s">
        <v>578</v>
      </c>
      <c r="WW1" s="1" t="s">
        <v>579</v>
      </c>
      <c r="WX1" s="1" t="s">
        <v>580</v>
      </c>
      <c r="WY1" s="1" t="s">
        <v>581</v>
      </c>
      <c r="WZ1" s="1" t="s">
        <v>582</v>
      </c>
      <c r="XA1" s="1" t="s">
        <v>583</v>
      </c>
      <c r="XB1" s="1" t="s">
        <v>584</v>
      </c>
      <c r="XC1" s="1" t="s">
        <v>585</v>
      </c>
      <c r="XD1" s="1" t="s">
        <v>586</v>
      </c>
      <c r="XE1" s="1" t="s">
        <v>587</v>
      </c>
      <c r="XF1" s="1" t="s">
        <v>588</v>
      </c>
      <c r="XG1" s="1" t="s">
        <v>589</v>
      </c>
      <c r="XH1" s="1" t="s">
        <v>590</v>
      </c>
      <c r="XI1" s="1" t="s">
        <v>591</v>
      </c>
      <c r="XJ1" s="1" t="s">
        <v>592</v>
      </c>
      <c r="XK1" s="1" t="s">
        <v>593</v>
      </c>
      <c r="XL1" s="1" t="s">
        <v>594</v>
      </c>
      <c r="XM1" s="1" t="s">
        <v>595</v>
      </c>
      <c r="XN1" s="1" t="s">
        <v>596</v>
      </c>
      <c r="XO1" s="1" t="s">
        <v>597</v>
      </c>
      <c r="XP1" s="1" t="s">
        <v>598</v>
      </c>
      <c r="XQ1" s="1" t="s">
        <v>599</v>
      </c>
      <c r="XR1" s="1" t="s">
        <v>600</v>
      </c>
      <c r="XS1" s="1" t="s">
        <v>601</v>
      </c>
      <c r="XT1" s="1" t="s">
        <v>602</v>
      </c>
      <c r="XU1" s="1" t="s">
        <v>603</v>
      </c>
      <c r="XV1" s="1" t="s">
        <v>604</v>
      </c>
      <c r="XW1" s="1" t="s">
        <v>605</v>
      </c>
      <c r="XX1" s="1" t="s">
        <v>606</v>
      </c>
      <c r="XY1" s="1" t="s">
        <v>607</v>
      </c>
      <c r="XZ1" s="1" t="s">
        <v>608</v>
      </c>
      <c r="YA1" s="1" t="s">
        <v>609</v>
      </c>
      <c r="YB1" s="1" t="s">
        <v>610</v>
      </c>
      <c r="YC1" s="1" t="s">
        <v>611</v>
      </c>
      <c r="YD1" s="1" t="s">
        <v>612</v>
      </c>
      <c r="YE1" s="1" t="s">
        <v>613</v>
      </c>
      <c r="YF1" s="1" t="s">
        <v>614</v>
      </c>
      <c r="YG1" s="1" t="s">
        <v>615</v>
      </c>
      <c r="YH1" s="1" t="s">
        <v>616</v>
      </c>
      <c r="YI1" s="1" t="s">
        <v>617</v>
      </c>
      <c r="YJ1" s="1" t="s">
        <v>618</v>
      </c>
      <c r="YK1" s="1" t="s">
        <v>619</v>
      </c>
      <c r="YL1" s="1" t="s">
        <v>620</v>
      </c>
      <c r="YM1" s="1" t="s">
        <v>621</v>
      </c>
      <c r="YN1" s="1" t="s">
        <v>622</v>
      </c>
      <c r="YO1" s="1" t="s">
        <v>623</v>
      </c>
      <c r="YP1" s="1" t="s">
        <v>624</v>
      </c>
      <c r="YQ1" s="1" t="s">
        <v>625</v>
      </c>
      <c r="YR1" s="1" t="s">
        <v>626</v>
      </c>
      <c r="YS1" s="1" t="s">
        <v>627</v>
      </c>
      <c r="YT1" s="1" t="s">
        <v>628</v>
      </c>
      <c r="YU1" s="1" t="s">
        <v>629</v>
      </c>
      <c r="YV1" s="1" t="s">
        <v>630</v>
      </c>
      <c r="YW1" s="1" t="s">
        <v>631</v>
      </c>
      <c r="YX1" s="1" t="s">
        <v>632</v>
      </c>
      <c r="YY1" s="1" t="s">
        <v>633</v>
      </c>
      <c r="YZ1" s="1" t="s">
        <v>634</v>
      </c>
      <c r="ZA1" s="1" t="s">
        <v>635</v>
      </c>
      <c r="ZB1" s="1" t="s">
        <v>636</v>
      </c>
      <c r="ZC1" s="1" t="s">
        <v>1559</v>
      </c>
      <c r="ZD1" s="1" t="s">
        <v>1560</v>
      </c>
      <c r="ZE1" s="1" t="s">
        <v>1561</v>
      </c>
      <c r="ZF1" s="1" t="s">
        <v>637</v>
      </c>
      <c r="ZG1" s="1" t="s">
        <v>638</v>
      </c>
      <c r="ZH1" s="1" t="s">
        <v>1562</v>
      </c>
      <c r="ZI1" s="1" t="s">
        <v>1563</v>
      </c>
      <c r="ZJ1" s="1" t="s">
        <v>1564</v>
      </c>
      <c r="ZK1" s="1" t="s">
        <v>639</v>
      </c>
      <c r="ZL1" s="1" t="s">
        <v>640</v>
      </c>
      <c r="ZM1" s="1" t="s">
        <v>641</v>
      </c>
      <c r="ZN1" s="1" t="s">
        <v>642</v>
      </c>
      <c r="ZO1" s="1" t="s">
        <v>643</v>
      </c>
      <c r="ZP1" s="1" t="s">
        <v>644</v>
      </c>
      <c r="ZQ1" s="1" t="s">
        <v>645</v>
      </c>
      <c r="ZR1" s="1" t="s">
        <v>646</v>
      </c>
      <c r="ZS1" s="1" t="s">
        <v>1565</v>
      </c>
      <c r="ZT1" s="1" t="s">
        <v>647</v>
      </c>
      <c r="ZU1" s="1" t="s">
        <v>648</v>
      </c>
      <c r="ZV1" s="1" t="s">
        <v>649</v>
      </c>
      <c r="ZW1" s="1" t="s">
        <v>650</v>
      </c>
      <c r="ZX1" s="1" t="s">
        <v>1566</v>
      </c>
      <c r="ZY1" s="1" t="s">
        <v>1567</v>
      </c>
      <c r="ZZ1" s="1" t="s">
        <v>1568</v>
      </c>
      <c r="AAA1" s="1" t="s">
        <v>1569</v>
      </c>
      <c r="AAB1" s="1" t="s">
        <v>1570</v>
      </c>
      <c r="AAC1" s="1" t="s">
        <v>1571</v>
      </c>
      <c r="AAD1" s="1" t="s">
        <v>1572</v>
      </c>
      <c r="AAE1" s="1" t="s">
        <v>1573</v>
      </c>
      <c r="AAF1" s="1" t="s">
        <v>1574</v>
      </c>
      <c r="AAG1" s="1" t="s">
        <v>1575</v>
      </c>
      <c r="AAH1" s="1" t="s">
        <v>1576</v>
      </c>
      <c r="AAI1" s="1" t="s">
        <v>1577</v>
      </c>
      <c r="AAJ1" s="1" t="s">
        <v>1578</v>
      </c>
      <c r="AAK1" s="1" t="s">
        <v>1579</v>
      </c>
      <c r="AAL1" s="1" t="s">
        <v>1580</v>
      </c>
      <c r="AAM1" s="1" t="s">
        <v>1581</v>
      </c>
      <c r="AAN1" s="1" t="s">
        <v>1582</v>
      </c>
      <c r="AAO1" s="1" t="s">
        <v>1583</v>
      </c>
      <c r="AAP1" s="1" t="s">
        <v>1584</v>
      </c>
      <c r="AAQ1" s="1" t="s">
        <v>1585</v>
      </c>
      <c r="AAR1" s="1" t="s">
        <v>1586</v>
      </c>
      <c r="AAS1" s="1" t="s">
        <v>1587</v>
      </c>
      <c r="AAT1" s="1" t="s">
        <v>1588</v>
      </c>
      <c r="AAU1" s="1" t="s">
        <v>1589</v>
      </c>
      <c r="AAV1" s="1" t="s">
        <v>669</v>
      </c>
      <c r="AAW1" s="1" t="s">
        <v>670</v>
      </c>
      <c r="AAX1" s="1" t="s">
        <v>671</v>
      </c>
      <c r="AAY1" s="1" t="s">
        <v>672</v>
      </c>
      <c r="AAZ1" s="1" t="s">
        <v>673</v>
      </c>
      <c r="ABA1" s="1" t="s">
        <v>674</v>
      </c>
      <c r="ABB1" s="1" t="s">
        <v>675</v>
      </c>
      <c r="ABC1" s="1" t="s">
        <v>676</v>
      </c>
      <c r="ABD1" s="1" t="s">
        <v>677</v>
      </c>
      <c r="ABE1" s="1" t="s">
        <v>651</v>
      </c>
      <c r="ABF1" s="1" t="s">
        <v>652</v>
      </c>
      <c r="ABG1" s="1" t="s">
        <v>653</v>
      </c>
      <c r="ABH1" s="1" t="s">
        <v>654</v>
      </c>
      <c r="ABI1" s="1" t="s">
        <v>655</v>
      </c>
      <c r="ABJ1" s="1" t="s">
        <v>656</v>
      </c>
      <c r="ABK1" s="1" t="s">
        <v>657</v>
      </c>
      <c r="ABL1" s="1" t="s">
        <v>658</v>
      </c>
      <c r="ABM1" s="1" t="s">
        <v>659</v>
      </c>
      <c r="ABN1" s="1" t="s">
        <v>660</v>
      </c>
      <c r="ABO1" s="1" t="s">
        <v>661</v>
      </c>
      <c r="ABP1" s="1" t="s">
        <v>662</v>
      </c>
      <c r="ABQ1" s="1" t="s">
        <v>663</v>
      </c>
      <c r="ABR1" s="1" t="s">
        <v>664</v>
      </c>
      <c r="ABS1" s="56" t="s">
        <v>665</v>
      </c>
      <c r="ABT1" s="1" t="s">
        <v>666</v>
      </c>
      <c r="ABU1" s="1" t="s">
        <v>667</v>
      </c>
      <c r="ABV1" s="1" t="s">
        <v>1590</v>
      </c>
      <c r="ABW1" s="1" t="s">
        <v>1591</v>
      </c>
      <c r="ABX1" s="1" t="s">
        <v>1592</v>
      </c>
      <c r="ABY1" s="1" t="s">
        <v>668</v>
      </c>
      <c r="ABZ1" s="1" t="s">
        <v>678</v>
      </c>
      <c r="ACA1" s="1" t="s">
        <v>679</v>
      </c>
      <c r="ACB1" s="1" t="s">
        <v>680</v>
      </c>
      <c r="ACC1" s="1" t="s">
        <v>681</v>
      </c>
      <c r="ACD1" s="1" t="s">
        <v>682</v>
      </c>
      <c r="ACE1" s="1" t="s">
        <v>683</v>
      </c>
      <c r="ACF1" s="1" t="s">
        <v>684</v>
      </c>
      <c r="ACG1" s="1" t="s">
        <v>685</v>
      </c>
      <c r="ACH1" s="1" t="s">
        <v>686</v>
      </c>
      <c r="ACI1" s="1" t="s">
        <v>687</v>
      </c>
      <c r="ACJ1" s="1" t="s">
        <v>688</v>
      </c>
      <c r="ACK1" s="1" t="s">
        <v>689</v>
      </c>
      <c r="ACL1" s="1" t="s">
        <v>690</v>
      </c>
      <c r="ACM1" s="1" t="s">
        <v>691</v>
      </c>
      <c r="ACN1" s="1" t="s">
        <v>692</v>
      </c>
      <c r="ACO1" s="1" t="s">
        <v>693</v>
      </c>
      <c r="ACP1" s="1" t="s">
        <v>694</v>
      </c>
      <c r="ACQ1" s="1" t="s">
        <v>695</v>
      </c>
      <c r="ACR1" s="1" t="s">
        <v>696</v>
      </c>
      <c r="ACS1" s="1" t="s">
        <v>697</v>
      </c>
      <c r="ACT1" s="1" t="s">
        <v>698</v>
      </c>
      <c r="ACU1" s="1" t="s">
        <v>699</v>
      </c>
      <c r="ACV1" s="1" t="s">
        <v>700</v>
      </c>
      <c r="ACW1" s="1" t="s">
        <v>701</v>
      </c>
      <c r="ACX1" s="1" t="s">
        <v>702</v>
      </c>
      <c r="ACY1" s="1" t="s">
        <v>703</v>
      </c>
      <c r="ACZ1" s="1" t="s">
        <v>704</v>
      </c>
      <c r="ADA1" s="1" t="s">
        <v>705</v>
      </c>
      <c r="ADB1" s="1" t="s">
        <v>706</v>
      </c>
      <c r="ADC1" s="1" t="s">
        <v>707</v>
      </c>
      <c r="ADD1" s="1" t="s">
        <v>708</v>
      </c>
      <c r="ADE1" s="1" t="s">
        <v>1593</v>
      </c>
      <c r="ADF1" s="1" t="s">
        <v>709</v>
      </c>
      <c r="ADG1" s="1" t="s">
        <v>710</v>
      </c>
      <c r="ADH1" s="1" t="s">
        <v>711</v>
      </c>
      <c r="ADI1" s="1" t="s">
        <v>712</v>
      </c>
      <c r="ADJ1" s="1" t="s">
        <v>713</v>
      </c>
      <c r="ADK1" s="56" t="s">
        <v>714</v>
      </c>
      <c r="ADL1" s="1" t="s">
        <v>715</v>
      </c>
      <c r="ADM1" s="1" t="s">
        <v>716</v>
      </c>
      <c r="ADN1" s="1" t="s">
        <v>717</v>
      </c>
      <c r="ADO1" s="1" t="s">
        <v>1594</v>
      </c>
      <c r="ADP1" s="1" t="s">
        <v>718</v>
      </c>
      <c r="ADQ1" s="1" t="s">
        <v>719</v>
      </c>
      <c r="ADR1" s="1" t="s">
        <v>720</v>
      </c>
      <c r="ADS1" s="1" t="s">
        <v>721</v>
      </c>
      <c r="ADT1" s="1" t="s">
        <v>722</v>
      </c>
      <c r="ADU1" s="1" t="s">
        <v>723</v>
      </c>
      <c r="ADV1" s="1" t="s">
        <v>724</v>
      </c>
      <c r="ADW1" s="1" t="s">
        <v>725</v>
      </c>
      <c r="ADX1" s="1" t="s">
        <v>726</v>
      </c>
      <c r="ADY1" s="1" t="s">
        <v>727</v>
      </c>
      <c r="ADZ1" s="1" t="s">
        <v>728</v>
      </c>
      <c r="AEA1" s="1" t="s">
        <v>729</v>
      </c>
      <c r="AEB1" s="1" t="s">
        <v>730</v>
      </c>
      <c r="AEC1" s="1" t="s">
        <v>731</v>
      </c>
      <c r="AED1" s="1" t="s">
        <v>732</v>
      </c>
      <c r="AEE1" s="1" t="s">
        <v>1595</v>
      </c>
      <c r="AEF1" s="1" t="s">
        <v>733</v>
      </c>
      <c r="AEG1" s="1" t="s">
        <v>734</v>
      </c>
      <c r="AEH1" s="1" t="s">
        <v>735</v>
      </c>
      <c r="AEI1" s="1" t="s">
        <v>736</v>
      </c>
      <c r="AEJ1" s="1" t="s">
        <v>737</v>
      </c>
      <c r="AEK1" s="1" t="s">
        <v>738</v>
      </c>
      <c r="AEL1" s="1" t="s">
        <v>739</v>
      </c>
      <c r="AEM1" s="1" t="s">
        <v>740</v>
      </c>
      <c r="AEN1" s="1" t="s">
        <v>741</v>
      </c>
      <c r="AEO1" s="1" t="s">
        <v>742</v>
      </c>
      <c r="AEP1" s="1" t="s">
        <v>743</v>
      </c>
      <c r="AEQ1" s="1" t="s">
        <v>744</v>
      </c>
      <c r="AER1" s="1" t="s">
        <v>745</v>
      </c>
      <c r="AES1" s="1" t="s">
        <v>746</v>
      </c>
      <c r="AET1" s="1" t="s">
        <v>747</v>
      </c>
      <c r="AEU1" s="1" t="s">
        <v>748</v>
      </c>
      <c r="AEV1" s="1" t="s">
        <v>749</v>
      </c>
      <c r="AEW1" s="1" t="s">
        <v>750</v>
      </c>
      <c r="AEX1" s="1" t="s">
        <v>751</v>
      </c>
      <c r="AEY1" s="1" t="s">
        <v>752</v>
      </c>
      <c r="AEZ1" s="1" t="s">
        <v>753</v>
      </c>
      <c r="AFA1" s="1" t="s">
        <v>754</v>
      </c>
      <c r="AFB1" s="1" t="s">
        <v>755</v>
      </c>
      <c r="AFC1" s="1" t="s">
        <v>756</v>
      </c>
      <c r="AFD1" s="1" t="s">
        <v>757</v>
      </c>
      <c r="AFE1" s="1" t="s">
        <v>758</v>
      </c>
      <c r="AFF1" s="1" t="s">
        <v>759</v>
      </c>
      <c r="AFG1" s="1" t="s">
        <v>760</v>
      </c>
      <c r="AFH1" s="1" t="s">
        <v>761</v>
      </c>
      <c r="AFI1" s="1" t="s">
        <v>762</v>
      </c>
      <c r="AFJ1" s="1" t="s">
        <v>763</v>
      </c>
      <c r="AFK1" s="1" t="s">
        <v>764</v>
      </c>
      <c r="AFL1" s="1" t="s">
        <v>765</v>
      </c>
      <c r="AFM1" s="1" t="s">
        <v>766</v>
      </c>
      <c r="AFN1" s="1" t="s">
        <v>767</v>
      </c>
      <c r="AFO1" s="1" t="s">
        <v>768</v>
      </c>
      <c r="AFP1" s="1" t="s">
        <v>769</v>
      </c>
      <c r="AFQ1" s="1" t="s">
        <v>770</v>
      </c>
      <c r="AFR1" s="1" t="s">
        <v>771</v>
      </c>
      <c r="AFS1" s="1" t="s">
        <v>772</v>
      </c>
      <c r="AFT1" s="1" t="s">
        <v>773</v>
      </c>
      <c r="AFU1" s="1" t="s">
        <v>774</v>
      </c>
      <c r="AFV1" s="1" t="s">
        <v>775</v>
      </c>
      <c r="AFW1" s="1" t="s">
        <v>776</v>
      </c>
      <c r="AFX1" s="1" t="s">
        <v>777</v>
      </c>
      <c r="AFY1" s="1" t="s">
        <v>778</v>
      </c>
      <c r="AFZ1" s="1" t="s">
        <v>779</v>
      </c>
      <c r="AGA1" s="1" t="s">
        <v>780</v>
      </c>
      <c r="AGB1" s="1" t="s">
        <v>781</v>
      </c>
      <c r="AGC1" s="1" t="s">
        <v>782</v>
      </c>
      <c r="AGD1" s="1" t="s">
        <v>783</v>
      </c>
      <c r="AGE1" s="1" t="s">
        <v>784</v>
      </c>
      <c r="AGF1" s="1" t="s">
        <v>785</v>
      </c>
      <c r="AGG1" s="1" t="s">
        <v>786</v>
      </c>
      <c r="AGH1" s="1" t="s">
        <v>787</v>
      </c>
      <c r="AGI1" s="1" t="s">
        <v>788</v>
      </c>
      <c r="AGJ1" s="1" t="s">
        <v>789</v>
      </c>
      <c r="AGK1" s="1" t="s">
        <v>790</v>
      </c>
      <c r="AGL1" s="1" t="s">
        <v>791</v>
      </c>
      <c r="AGM1" s="1" t="s">
        <v>792</v>
      </c>
      <c r="AGN1" s="1" t="s">
        <v>793</v>
      </c>
      <c r="AGO1" s="1" t="s">
        <v>794</v>
      </c>
      <c r="AGP1" s="1" t="s">
        <v>795</v>
      </c>
      <c r="AGQ1" s="1" t="s">
        <v>796</v>
      </c>
      <c r="AGR1" s="1" t="s">
        <v>797</v>
      </c>
      <c r="AGS1" s="1" t="s">
        <v>798</v>
      </c>
      <c r="AGT1" s="1" t="s">
        <v>799</v>
      </c>
      <c r="AGU1" s="1" t="s">
        <v>800</v>
      </c>
      <c r="AGV1" s="1" t="s">
        <v>801</v>
      </c>
      <c r="AGW1" s="1" t="s">
        <v>802</v>
      </c>
      <c r="AGX1" s="1" t="s">
        <v>803</v>
      </c>
      <c r="AGY1" s="1" t="s">
        <v>804</v>
      </c>
      <c r="AGZ1" s="1" t="s">
        <v>805</v>
      </c>
      <c r="AHA1" s="1" t="s">
        <v>806</v>
      </c>
      <c r="AHB1" s="1" t="s">
        <v>807</v>
      </c>
      <c r="AHC1" s="1" t="s">
        <v>808</v>
      </c>
      <c r="AHD1" s="1" t="s">
        <v>809</v>
      </c>
      <c r="AHE1" s="1" t="s">
        <v>810</v>
      </c>
      <c r="AHF1" s="1" t="s">
        <v>811</v>
      </c>
      <c r="AHG1" s="1" t="s">
        <v>812</v>
      </c>
      <c r="AHH1" s="1" t="s">
        <v>813</v>
      </c>
      <c r="AHI1" s="1" t="s">
        <v>814</v>
      </c>
      <c r="AHJ1" s="1" t="s">
        <v>815</v>
      </c>
      <c r="AHK1" s="1" t="s">
        <v>816</v>
      </c>
      <c r="AHL1" s="1" t="s">
        <v>817</v>
      </c>
      <c r="AHM1" s="1" t="s">
        <v>818</v>
      </c>
      <c r="AHN1" s="1" t="s">
        <v>819</v>
      </c>
      <c r="AHO1" s="1" t="s">
        <v>820</v>
      </c>
      <c r="AHP1" s="1" t="s">
        <v>821</v>
      </c>
      <c r="AHQ1" s="1" t="s">
        <v>822</v>
      </c>
      <c r="AHR1" s="1" t="s">
        <v>823</v>
      </c>
      <c r="AHS1" s="1" t="s">
        <v>824</v>
      </c>
      <c r="AHT1" s="1" t="s">
        <v>825</v>
      </c>
      <c r="AHU1" s="1" t="s">
        <v>826</v>
      </c>
      <c r="AHV1" s="1" t="s">
        <v>827</v>
      </c>
      <c r="AHW1" s="1" t="s">
        <v>828</v>
      </c>
      <c r="AHX1" s="1" t="s">
        <v>829</v>
      </c>
      <c r="AHY1" s="1" t="s">
        <v>830</v>
      </c>
      <c r="AHZ1" s="1" t="s">
        <v>831</v>
      </c>
      <c r="AIA1" s="1" t="s">
        <v>832</v>
      </c>
      <c r="AIB1" s="1" t="s">
        <v>833</v>
      </c>
      <c r="AIC1" s="1" t="s">
        <v>834</v>
      </c>
      <c r="AID1" s="1" t="s">
        <v>835</v>
      </c>
      <c r="AIE1" s="1" t="s">
        <v>836</v>
      </c>
      <c r="AIF1" s="56" t="s">
        <v>837</v>
      </c>
      <c r="AIG1" s="1" t="s">
        <v>838</v>
      </c>
      <c r="AIH1" s="1" t="s">
        <v>839</v>
      </c>
      <c r="AII1" s="1" t="s">
        <v>840</v>
      </c>
      <c r="AIJ1" s="1" t="s">
        <v>841</v>
      </c>
      <c r="AIK1" s="1" t="s">
        <v>842</v>
      </c>
      <c r="AIL1" s="1" t="s">
        <v>843</v>
      </c>
      <c r="AIM1" s="1" t="s">
        <v>844</v>
      </c>
      <c r="AIN1" s="1" t="s">
        <v>845</v>
      </c>
      <c r="AIO1" s="1" t="s">
        <v>846</v>
      </c>
      <c r="AIP1" s="1" t="s">
        <v>847</v>
      </c>
      <c r="AIQ1" s="1" t="s">
        <v>848</v>
      </c>
      <c r="AIR1" s="1" t="s">
        <v>849</v>
      </c>
      <c r="AIS1" s="56" t="s">
        <v>1783</v>
      </c>
      <c r="AIT1" s="1" t="s">
        <v>850</v>
      </c>
      <c r="AIU1" s="1" t="s">
        <v>851</v>
      </c>
      <c r="AIV1" s="1" t="s">
        <v>852</v>
      </c>
      <c r="AIW1" s="1" t="s">
        <v>853</v>
      </c>
      <c r="AIX1" s="1" t="s">
        <v>1596</v>
      </c>
      <c r="AIY1" s="1" t="s">
        <v>854</v>
      </c>
      <c r="AIZ1" s="1" t="s">
        <v>855</v>
      </c>
      <c r="AJA1" s="1" t="s">
        <v>856</v>
      </c>
      <c r="AJB1" s="1" t="s">
        <v>857</v>
      </c>
      <c r="AJC1" s="1" t="s">
        <v>858</v>
      </c>
      <c r="AJD1" s="1" t="s">
        <v>859</v>
      </c>
      <c r="AJE1" s="1" t="s">
        <v>860</v>
      </c>
      <c r="AJF1" s="1" t="s">
        <v>861</v>
      </c>
      <c r="AJG1" s="1" t="s">
        <v>862</v>
      </c>
      <c r="AJH1" s="1" t="s">
        <v>863</v>
      </c>
      <c r="AJI1" s="1" t="s">
        <v>864</v>
      </c>
      <c r="AJJ1" s="1" t="s">
        <v>865</v>
      </c>
      <c r="AJK1" s="1" t="s">
        <v>866</v>
      </c>
      <c r="AJL1" s="1" t="s">
        <v>867</v>
      </c>
      <c r="AJM1" s="1" t="s">
        <v>868</v>
      </c>
      <c r="AJN1" s="1" t="s">
        <v>869</v>
      </c>
      <c r="AJO1" s="1" t="s">
        <v>870</v>
      </c>
      <c r="AJP1" s="1" t="s">
        <v>871</v>
      </c>
      <c r="AJQ1" s="1" t="s">
        <v>872</v>
      </c>
      <c r="AJR1" s="1" t="s">
        <v>873</v>
      </c>
      <c r="AJS1" s="1" t="s">
        <v>874</v>
      </c>
      <c r="AJT1" s="1" t="s">
        <v>875</v>
      </c>
      <c r="AJU1" s="1" t="s">
        <v>876</v>
      </c>
      <c r="AJV1" s="1" t="s">
        <v>877</v>
      </c>
      <c r="AJW1" s="1" t="s">
        <v>878</v>
      </c>
      <c r="AJX1" s="1" t="s">
        <v>879</v>
      </c>
      <c r="AJY1" s="1" t="s">
        <v>880</v>
      </c>
      <c r="AJZ1" s="1" t="s">
        <v>881</v>
      </c>
      <c r="AKA1" s="1" t="s">
        <v>882</v>
      </c>
      <c r="AKB1" s="1" t="s">
        <v>883</v>
      </c>
      <c r="AKC1" s="1" t="s">
        <v>884</v>
      </c>
      <c r="AKD1" s="1" t="s">
        <v>885</v>
      </c>
      <c r="AKE1" s="1" t="s">
        <v>886</v>
      </c>
      <c r="AKF1" s="1" t="s">
        <v>887</v>
      </c>
      <c r="AKG1" s="1" t="s">
        <v>888</v>
      </c>
      <c r="AKH1" s="1" t="s">
        <v>889</v>
      </c>
      <c r="AKI1" s="1" t="s">
        <v>890</v>
      </c>
      <c r="AKJ1" s="1" t="s">
        <v>891</v>
      </c>
      <c r="AKK1" s="1" t="s">
        <v>892</v>
      </c>
      <c r="AKL1" s="1" t="s">
        <v>893</v>
      </c>
      <c r="AKM1" s="1" t="s">
        <v>894</v>
      </c>
      <c r="AKN1" s="1" t="s">
        <v>895</v>
      </c>
      <c r="AKO1" s="1" t="s">
        <v>896</v>
      </c>
      <c r="AKP1" s="1" t="s">
        <v>897</v>
      </c>
      <c r="AKQ1" s="1" t="s">
        <v>898</v>
      </c>
      <c r="AKR1" s="1" t="s">
        <v>899</v>
      </c>
      <c r="AKS1" s="1" t="s">
        <v>900</v>
      </c>
      <c r="AKT1" s="1" t="s">
        <v>1597</v>
      </c>
      <c r="AKU1" s="1" t="s">
        <v>911</v>
      </c>
      <c r="AKV1" s="1" t="s">
        <v>912</v>
      </c>
      <c r="AKW1" s="1" t="s">
        <v>913</v>
      </c>
      <c r="AKX1" s="1" t="s">
        <v>914</v>
      </c>
      <c r="AKY1" s="1" t="s">
        <v>915</v>
      </c>
      <c r="AKZ1" s="1" t="s">
        <v>916</v>
      </c>
      <c r="ALA1" s="1" t="s">
        <v>917</v>
      </c>
      <c r="ALB1" s="1" t="s">
        <v>918</v>
      </c>
      <c r="ALC1" s="1" t="s">
        <v>919</v>
      </c>
      <c r="ALD1" s="1" t="s">
        <v>920</v>
      </c>
      <c r="ALE1" s="1" t="s">
        <v>1598</v>
      </c>
      <c r="ALF1" s="1" t="s">
        <v>936</v>
      </c>
      <c r="ALG1" s="1" t="s">
        <v>937</v>
      </c>
      <c r="ALH1" s="1" t="s">
        <v>938</v>
      </c>
      <c r="ALI1" s="1" t="s">
        <v>939</v>
      </c>
      <c r="ALJ1" s="1" t="s">
        <v>940</v>
      </c>
      <c r="ALK1" s="1" t="s">
        <v>941</v>
      </c>
      <c r="ALL1" s="1" t="s">
        <v>942</v>
      </c>
      <c r="ALM1" s="1" t="s">
        <v>943</v>
      </c>
      <c r="ALN1" s="1" t="s">
        <v>901</v>
      </c>
      <c r="ALO1" s="1" t="s">
        <v>902</v>
      </c>
      <c r="ALP1" s="1" t="s">
        <v>903</v>
      </c>
      <c r="ALQ1" s="1" t="s">
        <v>904</v>
      </c>
      <c r="ALR1" s="1" t="s">
        <v>905</v>
      </c>
      <c r="ALS1" s="1" t="s">
        <v>906</v>
      </c>
      <c r="ALT1" s="1" t="s">
        <v>907</v>
      </c>
      <c r="ALU1" s="1" t="s">
        <v>908</v>
      </c>
      <c r="ALV1" s="1" t="s">
        <v>909</v>
      </c>
      <c r="ALW1" s="1" t="s">
        <v>910</v>
      </c>
      <c r="ALX1" s="1" t="s">
        <v>921</v>
      </c>
      <c r="ALY1" s="1" t="s">
        <v>922</v>
      </c>
      <c r="ALZ1" s="1" t="s">
        <v>923</v>
      </c>
      <c r="AMA1" s="1" t="s">
        <v>924</v>
      </c>
      <c r="AMB1" s="1" t="s">
        <v>925</v>
      </c>
      <c r="AMC1" s="1" t="s">
        <v>926</v>
      </c>
      <c r="AMD1" s="1" t="s">
        <v>927</v>
      </c>
      <c r="AME1" s="1" t="s">
        <v>928</v>
      </c>
      <c r="AMF1" s="1" t="s">
        <v>929</v>
      </c>
      <c r="AMG1" s="1" t="s">
        <v>930</v>
      </c>
      <c r="AMH1" s="1" t="s">
        <v>931</v>
      </c>
      <c r="AMI1" s="1" t="s">
        <v>932</v>
      </c>
      <c r="AMJ1" s="1" t="s">
        <v>933</v>
      </c>
      <c r="AMK1" s="1" t="s">
        <v>934</v>
      </c>
      <c r="AML1" s="1" t="s">
        <v>935</v>
      </c>
      <c r="AMM1" s="1" t="s">
        <v>944</v>
      </c>
      <c r="AMN1" s="1" t="s">
        <v>945</v>
      </c>
      <c r="AMO1" s="1" t="s">
        <v>946</v>
      </c>
      <c r="AMP1" s="1" t="s">
        <v>947</v>
      </c>
      <c r="AMQ1" s="1" t="s">
        <v>948</v>
      </c>
      <c r="AMR1" s="1" t="s">
        <v>949</v>
      </c>
      <c r="AMS1" s="1" t="s">
        <v>950</v>
      </c>
      <c r="AMT1" s="1" t="s">
        <v>951</v>
      </c>
      <c r="AMU1" s="1" t="s">
        <v>952</v>
      </c>
      <c r="AMV1" s="1" t="s">
        <v>953</v>
      </c>
      <c r="AMW1" s="1" t="s">
        <v>954</v>
      </c>
      <c r="AMX1" s="1" t="s">
        <v>955</v>
      </c>
      <c r="AMY1" s="1" t="s">
        <v>956</v>
      </c>
      <c r="AMZ1" s="1" t="s">
        <v>957</v>
      </c>
      <c r="ANA1" s="1" t="s">
        <v>958</v>
      </c>
      <c r="ANB1" s="1" t="s">
        <v>959</v>
      </c>
      <c r="ANC1" s="1" t="s">
        <v>960</v>
      </c>
      <c r="AND1" s="1" t="s">
        <v>961</v>
      </c>
      <c r="ANE1" s="1" t="s">
        <v>962</v>
      </c>
      <c r="ANF1" s="1" t="s">
        <v>963</v>
      </c>
      <c r="ANG1" s="1" t="s">
        <v>964</v>
      </c>
      <c r="ANH1" s="1" t="s">
        <v>965</v>
      </c>
      <c r="ANI1" s="1" t="s">
        <v>966</v>
      </c>
      <c r="ANJ1" s="1" t="s">
        <v>967</v>
      </c>
      <c r="ANK1" s="1" t="s">
        <v>968</v>
      </c>
      <c r="ANL1" s="1" t="s">
        <v>969</v>
      </c>
      <c r="ANM1" s="1" t="s">
        <v>970</v>
      </c>
      <c r="ANN1" s="1" t="s">
        <v>971</v>
      </c>
      <c r="ANO1" s="1" t="s">
        <v>972</v>
      </c>
      <c r="ANP1" s="56" t="s">
        <v>973</v>
      </c>
      <c r="ANQ1" s="1" t="s">
        <v>974</v>
      </c>
      <c r="ANR1" s="1" t="s">
        <v>975</v>
      </c>
      <c r="ANS1" s="1" t="s">
        <v>976</v>
      </c>
      <c r="ANT1" s="1" t="s">
        <v>977</v>
      </c>
      <c r="ANU1" s="1" t="s">
        <v>978</v>
      </c>
      <c r="ANV1" s="1" t="s">
        <v>1599</v>
      </c>
      <c r="ANW1" s="1" t="s">
        <v>979</v>
      </c>
      <c r="ANX1" s="1" t="s">
        <v>980</v>
      </c>
      <c r="ANY1" s="1" t="s">
        <v>981</v>
      </c>
      <c r="ANZ1" s="1" t="s">
        <v>982</v>
      </c>
      <c r="AOA1" s="1" t="s">
        <v>983</v>
      </c>
      <c r="AOB1" s="1" t="s">
        <v>984</v>
      </c>
      <c r="AOC1" s="1" t="s">
        <v>985</v>
      </c>
      <c r="AOD1" s="1" t="s">
        <v>986</v>
      </c>
      <c r="AOE1" s="1" t="s">
        <v>987</v>
      </c>
      <c r="AOF1" s="1" t="s">
        <v>988</v>
      </c>
      <c r="AOG1" s="1" t="s">
        <v>989</v>
      </c>
      <c r="AOH1" s="1" t="s">
        <v>990</v>
      </c>
      <c r="AOI1" s="1" t="s">
        <v>991</v>
      </c>
      <c r="AOJ1" s="1" t="s">
        <v>992</v>
      </c>
      <c r="AOK1" s="1" t="s">
        <v>993</v>
      </c>
      <c r="AOL1" s="1" t="s">
        <v>994</v>
      </c>
      <c r="AOM1" s="1" t="s">
        <v>995</v>
      </c>
      <c r="AON1" s="1" t="s">
        <v>996</v>
      </c>
      <c r="AOO1" s="1" t="s">
        <v>997</v>
      </c>
      <c r="AOP1" s="1" t="s">
        <v>998</v>
      </c>
      <c r="AOQ1" s="1" t="s">
        <v>999</v>
      </c>
      <c r="AOR1" s="1" t="s">
        <v>1000</v>
      </c>
      <c r="AOS1" s="1" t="s">
        <v>1001</v>
      </c>
      <c r="AOT1" s="1" t="s">
        <v>1002</v>
      </c>
      <c r="AOU1" s="1" t="s">
        <v>1003</v>
      </c>
      <c r="AOV1" s="1" t="s">
        <v>1004</v>
      </c>
      <c r="AOW1" s="1" t="s">
        <v>1005</v>
      </c>
      <c r="AOX1" s="1" t="s">
        <v>1006</v>
      </c>
      <c r="AOY1" s="1" t="s">
        <v>1007</v>
      </c>
      <c r="AOZ1" s="1" t="s">
        <v>1008</v>
      </c>
      <c r="APA1" s="1" t="s">
        <v>1009</v>
      </c>
      <c r="APB1" s="1" t="s">
        <v>1010</v>
      </c>
      <c r="APC1" s="1" t="s">
        <v>1011</v>
      </c>
      <c r="APD1" s="1" t="s">
        <v>1012</v>
      </c>
      <c r="APE1" s="1" t="s">
        <v>1013</v>
      </c>
      <c r="APF1" s="1" t="s">
        <v>1014</v>
      </c>
      <c r="APG1" s="1" t="s">
        <v>1015</v>
      </c>
      <c r="APH1" s="1" t="s">
        <v>1016</v>
      </c>
      <c r="API1" s="1" t="s">
        <v>1017</v>
      </c>
      <c r="APJ1" s="1" t="s">
        <v>1018</v>
      </c>
      <c r="APK1" s="1" t="s">
        <v>1019</v>
      </c>
      <c r="APL1" s="1" t="s">
        <v>1020</v>
      </c>
      <c r="APM1" s="1" t="s">
        <v>1021</v>
      </c>
      <c r="APN1" s="1" t="s">
        <v>1022</v>
      </c>
      <c r="APO1" s="1" t="s">
        <v>1023</v>
      </c>
      <c r="APP1" s="1" t="s">
        <v>1024</v>
      </c>
      <c r="APQ1" s="1" t="s">
        <v>1025</v>
      </c>
      <c r="APR1" s="1" t="s">
        <v>1026</v>
      </c>
      <c r="APS1" s="1" t="s">
        <v>1027</v>
      </c>
      <c r="APT1" s="1" t="s">
        <v>1028</v>
      </c>
      <c r="APU1" s="1" t="s">
        <v>1029</v>
      </c>
      <c r="APV1" s="1" t="s">
        <v>1030</v>
      </c>
      <c r="APW1" s="1" t="s">
        <v>1031</v>
      </c>
      <c r="APX1" s="1" t="s">
        <v>1032</v>
      </c>
      <c r="APY1" s="1" t="s">
        <v>1033</v>
      </c>
      <c r="APZ1" s="1" t="s">
        <v>1600</v>
      </c>
      <c r="AQA1" s="1" t="s">
        <v>1601</v>
      </c>
      <c r="AQB1" s="1" t="s">
        <v>1602</v>
      </c>
      <c r="AQC1" s="1" t="s">
        <v>1603</v>
      </c>
      <c r="AQD1" s="1" t="s">
        <v>1604</v>
      </c>
      <c r="AQE1" s="1" t="s">
        <v>1605</v>
      </c>
      <c r="AQF1" s="1" t="s">
        <v>1606</v>
      </c>
      <c r="AQG1" s="1" t="s">
        <v>1607</v>
      </c>
      <c r="AQH1" s="1" t="s">
        <v>1608</v>
      </c>
      <c r="AQI1" s="1" t="s">
        <v>1609</v>
      </c>
      <c r="AQJ1" s="1" t="s">
        <v>1610</v>
      </c>
      <c r="AQK1" s="1" t="s">
        <v>1611</v>
      </c>
      <c r="AQL1" s="1" t="s">
        <v>1612</v>
      </c>
      <c r="AQM1" s="1" t="s">
        <v>1613</v>
      </c>
      <c r="AQN1" s="1" t="s">
        <v>1614</v>
      </c>
      <c r="AQO1" s="1" t="s">
        <v>1615</v>
      </c>
      <c r="AQP1" s="1" t="s">
        <v>1616</v>
      </c>
      <c r="AQQ1" s="1" t="s">
        <v>1617</v>
      </c>
      <c r="AQR1" s="1" t="s">
        <v>1618</v>
      </c>
      <c r="AQS1" s="1" t="s">
        <v>1619</v>
      </c>
      <c r="AQT1" s="1" t="s">
        <v>1620</v>
      </c>
      <c r="AQU1" s="1" t="s">
        <v>1621</v>
      </c>
      <c r="AQV1" s="1" t="s">
        <v>1622</v>
      </c>
      <c r="AQW1" s="1" t="s">
        <v>1623</v>
      </c>
      <c r="AQX1" s="1" t="s">
        <v>1624</v>
      </c>
      <c r="AQY1" s="1" t="s">
        <v>1625</v>
      </c>
      <c r="AQZ1" s="1" t="s">
        <v>1626</v>
      </c>
      <c r="ARA1" s="1" t="s">
        <v>1627</v>
      </c>
      <c r="ARB1" s="1" t="s">
        <v>1628</v>
      </c>
      <c r="ARC1" s="1" t="s">
        <v>1629</v>
      </c>
      <c r="ARD1" s="2" t="s">
        <v>1630</v>
      </c>
      <c r="ARE1" s="1" t="s">
        <v>1631</v>
      </c>
      <c r="ARF1" s="1" t="s">
        <v>1632</v>
      </c>
      <c r="ARG1" s="1" t="s">
        <v>1034</v>
      </c>
      <c r="ARH1" s="1" t="s">
        <v>1035</v>
      </c>
      <c r="ARI1" s="1" t="s">
        <v>1036</v>
      </c>
      <c r="ARJ1" s="1" t="s">
        <v>1037</v>
      </c>
      <c r="ARK1" s="56" t="s">
        <v>1038</v>
      </c>
      <c r="ARL1" s="1" t="s">
        <v>1039</v>
      </c>
      <c r="ARM1" s="1" t="s">
        <v>1040</v>
      </c>
      <c r="ARN1" s="1" t="s">
        <v>1041</v>
      </c>
      <c r="ARO1" s="1" t="s">
        <v>1042</v>
      </c>
      <c r="ARP1" s="1" t="s">
        <v>1043</v>
      </c>
      <c r="ARQ1" s="1" t="s">
        <v>1633</v>
      </c>
      <c r="ARR1" s="1" t="s">
        <v>1634</v>
      </c>
      <c r="ARS1" s="1" t="s">
        <v>1635</v>
      </c>
      <c r="ART1" s="1" t="s">
        <v>1044</v>
      </c>
      <c r="ARU1" s="1" t="s">
        <v>1045</v>
      </c>
      <c r="ARV1" s="1" t="s">
        <v>1046</v>
      </c>
      <c r="ARW1" s="1" t="s">
        <v>1047</v>
      </c>
      <c r="ARX1" s="1" t="s">
        <v>1048</v>
      </c>
      <c r="ARY1" s="1" t="s">
        <v>1049</v>
      </c>
      <c r="ARZ1" s="1" t="s">
        <v>1050</v>
      </c>
      <c r="ASA1" s="1" t="s">
        <v>1051</v>
      </c>
      <c r="ASB1" s="1" t="s">
        <v>1052</v>
      </c>
      <c r="ASC1" s="1" t="s">
        <v>1053</v>
      </c>
      <c r="ASD1" s="1" t="s">
        <v>1054</v>
      </c>
      <c r="ASE1" s="1" t="s">
        <v>1055</v>
      </c>
      <c r="ASF1" s="1" t="s">
        <v>1056</v>
      </c>
      <c r="ASG1" s="1" t="s">
        <v>1057</v>
      </c>
      <c r="ASH1" s="1" t="s">
        <v>1058</v>
      </c>
      <c r="ASI1" s="1" t="s">
        <v>1059</v>
      </c>
      <c r="ASJ1" s="1" t="s">
        <v>1060</v>
      </c>
      <c r="ASK1" s="1" t="s">
        <v>1061</v>
      </c>
      <c r="ASL1" s="1" t="s">
        <v>1062</v>
      </c>
      <c r="ASM1" s="1" t="s">
        <v>1063</v>
      </c>
      <c r="ASN1" s="1" t="s">
        <v>1064</v>
      </c>
      <c r="ASO1" s="1" t="s">
        <v>1065</v>
      </c>
      <c r="ASP1" s="1" t="s">
        <v>1066</v>
      </c>
      <c r="ASQ1" s="1" t="s">
        <v>1067</v>
      </c>
      <c r="ASR1" s="1" t="s">
        <v>1068</v>
      </c>
      <c r="ASS1" s="1" t="s">
        <v>1069</v>
      </c>
      <c r="AST1" s="1" t="s">
        <v>1070</v>
      </c>
      <c r="ASU1" s="1" t="s">
        <v>1071</v>
      </c>
      <c r="ASV1" s="1" t="s">
        <v>1072</v>
      </c>
      <c r="ASW1" s="1" t="s">
        <v>1073</v>
      </c>
      <c r="ASX1" s="1" t="s">
        <v>1074</v>
      </c>
      <c r="ASY1" s="1" t="s">
        <v>1075</v>
      </c>
      <c r="ASZ1" s="1" t="s">
        <v>1076</v>
      </c>
      <c r="ATA1" s="1" t="s">
        <v>1077</v>
      </c>
      <c r="ATB1" s="1" t="s">
        <v>1078</v>
      </c>
      <c r="ATC1" s="1" t="s">
        <v>1079</v>
      </c>
      <c r="ATD1" s="1" t="s">
        <v>1080</v>
      </c>
      <c r="ATE1" s="1" t="s">
        <v>1081</v>
      </c>
      <c r="ATF1" s="1" t="s">
        <v>1082</v>
      </c>
      <c r="ATG1" s="1" t="s">
        <v>1083</v>
      </c>
      <c r="ATH1" s="1" t="s">
        <v>1636</v>
      </c>
      <c r="ATI1" s="1" t="s">
        <v>1084</v>
      </c>
      <c r="ATJ1" s="1" t="s">
        <v>1085</v>
      </c>
      <c r="ATK1" s="1" t="s">
        <v>1086</v>
      </c>
      <c r="ATL1" s="1" t="s">
        <v>1087</v>
      </c>
      <c r="ATM1" s="1" t="s">
        <v>1088</v>
      </c>
      <c r="ATN1" s="1" t="s">
        <v>1089</v>
      </c>
      <c r="ATO1" s="1" t="s">
        <v>1090</v>
      </c>
      <c r="ATP1" s="1" t="s">
        <v>1091</v>
      </c>
      <c r="ATQ1" s="1" t="s">
        <v>1092</v>
      </c>
      <c r="ATR1" s="1" t="s">
        <v>1093</v>
      </c>
      <c r="ATS1" s="1" t="s">
        <v>1094</v>
      </c>
      <c r="ATT1" s="1" t="s">
        <v>1095</v>
      </c>
      <c r="ATU1" s="1" t="s">
        <v>1096</v>
      </c>
      <c r="ATV1" s="1" t="s">
        <v>1097</v>
      </c>
      <c r="ATW1" s="1" t="s">
        <v>1098</v>
      </c>
      <c r="ATX1" s="1" t="s">
        <v>1099</v>
      </c>
      <c r="ATY1" s="1" t="s">
        <v>1100</v>
      </c>
      <c r="ATZ1" s="1" t="s">
        <v>1101</v>
      </c>
      <c r="AUA1" s="1" t="s">
        <v>1102</v>
      </c>
      <c r="AUB1" s="1" t="s">
        <v>1103</v>
      </c>
      <c r="AUC1" s="1" t="s">
        <v>1104</v>
      </c>
      <c r="AUD1" s="1" t="s">
        <v>1105</v>
      </c>
      <c r="AUE1" s="1" t="s">
        <v>1106</v>
      </c>
      <c r="AUF1" s="1" t="s">
        <v>1107</v>
      </c>
      <c r="AUG1" s="1" t="s">
        <v>1108</v>
      </c>
      <c r="AUH1" s="1" t="s">
        <v>1109</v>
      </c>
      <c r="AUI1" s="1" t="s">
        <v>1110</v>
      </c>
      <c r="AUJ1" s="1" t="s">
        <v>1111</v>
      </c>
      <c r="AUK1" s="1" t="s">
        <v>1112</v>
      </c>
      <c r="AUL1" s="1" t="s">
        <v>1113</v>
      </c>
      <c r="AUM1" s="1" t="s">
        <v>1114</v>
      </c>
      <c r="AUN1" s="1" t="s">
        <v>1115</v>
      </c>
      <c r="AUO1" s="1" t="s">
        <v>1116</v>
      </c>
      <c r="AUP1" s="1" t="s">
        <v>1117</v>
      </c>
      <c r="AUQ1" s="1" t="s">
        <v>1118</v>
      </c>
      <c r="AUR1" s="1" t="s">
        <v>1119</v>
      </c>
      <c r="AUS1" s="1" t="s">
        <v>1120</v>
      </c>
      <c r="AUT1" s="1" t="s">
        <v>1121</v>
      </c>
      <c r="AUU1" s="1" t="s">
        <v>1122</v>
      </c>
      <c r="AUV1" s="1" t="s">
        <v>1123</v>
      </c>
      <c r="AUW1" s="1" t="s">
        <v>1124</v>
      </c>
      <c r="AUX1" s="1" t="s">
        <v>1125</v>
      </c>
      <c r="AUY1" s="1" t="s">
        <v>1126</v>
      </c>
      <c r="AUZ1" s="1" t="s">
        <v>1127</v>
      </c>
      <c r="AVA1" s="1" t="s">
        <v>1128</v>
      </c>
      <c r="AVB1" s="1" t="s">
        <v>1129</v>
      </c>
      <c r="AVC1" s="1" t="s">
        <v>1130</v>
      </c>
      <c r="AVD1" s="1" t="s">
        <v>1131</v>
      </c>
      <c r="AVE1" s="1" t="s">
        <v>1132</v>
      </c>
      <c r="AVF1" s="1" t="s">
        <v>1133</v>
      </c>
      <c r="AVG1" s="1" t="s">
        <v>1134</v>
      </c>
      <c r="AVH1" s="1" t="s">
        <v>1135</v>
      </c>
      <c r="AVI1" s="1" t="s">
        <v>1136</v>
      </c>
      <c r="AVJ1" s="1" t="s">
        <v>1137</v>
      </c>
      <c r="AVK1" s="1" t="s">
        <v>1138</v>
      </c>
      <c r="AVL1" s="1" t="s">
        <v>1139</v>
      </c>
      <c r="AVM1" s="1" t="s">
        <v>1140</v>
      </c>
      <c r="AVN1" s="1" t="s">
        <v>1141</v>
      </c>
      <c r="AVO1" s="1" t="s">
        <v>1142</v>
      </c>
      <c r="AVP1" s="1" t="s">
        <v>1143</v>
      </c>
      <c r="AVQ1" s="1" t="s">
        <v>1144</v>
      </c>
      <c r="AVR1" s="56" t="s">
        <v>1145</v>
      </c>
      <c r="AVS1" s="1" t="s">
        <v>1146</v>
      </c>
      <c r="AVT1" s="1" t="s">
        <v>1147</v>
      </c>
      <c r="AVU1" s="1" t="s">
        <v>1149</v>
      </c>
      <c r="AVV1" s="1" t="s">
        <v>1150</v>
      </c>
      <c r="AVW1" s="1" t="s">
        <v>1151</v>
      </c>
    </row>
    <row r="2" spans="1:1313" x14ac:dyDescent="0.3">
      <c r="A2" s="1" t="s">
        <v>2075</v>
      </c>
      <c r="B2" s="1" t="s">
        <v>2076</v>
      </c>
      <c r="C2" s="1" t="s">
        <v>2077</v>
      </c>
      <c r="D2" s="1" t="s">
        <v>2078</v>
      </c>
      <c r="E2" s="1" t="s">
        <v>2079</v>
      </c>
      <c r="F2" s="1" t="s">
        <v>2078</v>
      </c>
      <c r="I2" s="1" t="s">
        <v>2080</v>
      </c>
      <c r="J2" s="1" t="s">
        <v>2081</v>
      </c>
      <c r="K2" s="1" t="s">
        <v>2081</v>
      </c>
      <c r="N2" s="1" t="s">
        <v>1152</v>
      </c>
      <c r="O2" s="2">
        <v>1</v>
      </c>
      <c r="P2" s="2">
        <v>0</v>
      </c>
      <c r="Q2" s="2">
        <v>0</v>
      </c>
      <c r="R2" s="2">
        <v>0</v>
      </c>
      <c r="S2" s="2">
        <v>0</v>
      </c>
      <c r="U2" s="1" t="s">
        <v>1654</v>
      </c>
      <c r="W2" s="1" t="s">
        <v>1155</v>
      </c>
      <c r="X2" s="1" t="s">
        <v>1155</v>
      </c>
      <c r="AN2" s="1" t="s">
        <v>1179</v>
      </c>
      <c r="AO2" s="2"/>
      <c r="AP2" s="1" t="s">
        <v>1871</v>
      </c>
      <c r="AR2" s="1" t="s">
        <v>1649</v>
      </c>
      <c r="AS2" s="1" t="s">
        <v>1653</v>
      </c>
      <c r="AT2" s="1" t="s">
        <v>1155</v>
      </c>
      <c r="AU2" s="1" t="s">
        <v>1156</v>
      </c>
      <c r="AV2" s="1" t="s">
        <v>1875</v>
      </c>
      <c r="AW2" s="2">
        <v>0</v>
      </c>
      <c r="AX2" s="2">
        <v>0</v>
      </c>
      <c r="AY2" s="2">
        <v>1</v>
      </c>
      <c r="AZ2" s="2">
        <v>1</v>
      </c>
      <c r="BA2" s="2">
        <v>0</v>
      </c>
      <c r="BB2" s="2">
        <v>0</v>
      </c>
      <c r="BC2" s="2">
        <v>0</v>
      </c>
      <c r="BD2" s="2">
        <v>0</v>
      </c>
      <c r="BO2" s="1" t="s">
        <v>1157</v>
      </c>
      <c r="BP2" s="2">
        <v>0</v>
      </c>
      <c r="BQ2" s="2">
        <v>0</v>
      </c>
      <c r="BR2" s="2">
        <v>0</v>
      </c>
      <c r="BS2" s="2">
        <v>0</v>
      </c>
      <c r="BT2" s="2">
        <v>0</v>
      </c>
      <c r="BU2" s="2">
        <v>1</v>
      </c>
      <c r="BV2" s="2">
        <v>0</v>
      </c>
      <c r="BW2" s="2">
        <v>0</v>
      </c>
      <c r="BX2" s="2">
        <v>0</v>
      </c>
      <c r="BY2" s="2">
        <v>0</v>
      </c>
      <c r="BZ2" s="2">
        <v>0</v>
      </c>
      <c r="CA2" s="2">
        <v>0</v>
      </c>
      <c r="CC2" s="1" t="s">
        <v>1155</v>
      </c>
      <c r="CD2" s="1" t="s">
        <v>1979</v>
      </c>
      <c r="CF2" s="2">
        <v>100</v>
      </c>
      <c r="CG2" s="1" t="s">
        <v>1154</v>
      </c>
      <c r="CY2" s="1" t="s">
        <v>1388</v>
      </c>
      <c r="CZ2" s="2">
        <v>0</v>
      </c>
      <c r="DA2" s="2">
        <v>0</v>
      </c>
      <c r="DB2" s="2">
        <v>0</v>
      </c>
      <c r="DC2" s="2">
        <v>0</v>
      </c>
      <c r="DD2" s="2">
        <v>1</v>
      </c>
      <c r="DE2" s="2">
        <v>0</v>
      </c>
      <c r="DF2" s="2">
        <v>0</v>
      </c>
      <c r="DG2" s="2">
        <v>0</v>
      </c>
      <c r="DI2" s="1" t="s">
        <v>1155</v>
      </c>
      <c r="DJ2" s="1" t="s">
        <v>2224</v>
      </c>
      <c r="DK2" s="2">
        <v>0</v>
      </c>
      <c r="DL2" s="2">
        <v>1</v>
      </c>
      <c r="DM2" s="2">
        <v>0</v>
      </c>
      <c r="DN2" s="2">
        <v>0</v>
      </c>
      <c r="DO2" s="2">
        <v>0</v>
      </c>
      <c r="DQ2" s="1" t="s">
        <v>1879</v>
      </c>
      <c r="DR2" s="2">
        <v>1</v>
      </c>
      <c r="DS2" s="2">
        <v>1</v>
      </c>
      <c r="DT2" s="2">
        <v>0</v>
      </c>
      <c r="DU2" s="2">
        <v>0</v>
      </c>
      <c r="DV2" s="2">
        <v>0</v>
      </c>
      <c r="DX2" s="1" t="s">
        <v>2082</v>
      </c>
      <c r="DY2" s="2">
        <v>1</v>
      </c>
      <c r="DZ2" s="2">
        <v>1</v>
      </c>
      <c r="EA2" s="2">
        <v>0</v>
      </c>
      <c r="EB2" s="2">
        <v>0</v>
      </c>
      <c r="EC2" s="2">
        <v>0</v>
      </c>
      <c r="ED2" s="2">
        <v>1</v>
      </c>
      <c r="EE2" s="2">
        <v>0</v>
      </c>
      <c r="EF2" s="2">
        <v>0</v>
      </c>
      <c r="EG2" s="2">
        <v>0</v>
      </c>
      <c r="EH2" s="2">
        <v>0</v>
      </c>
      <c r="EI2" s="2">
        <v>0</v>
      </c>
      <c r="EJ2" s="2">
        <v>0</v>
      </c>
      <c r="EK2" s="2">
        <v>1</v>
      </c>
      <c r="EM2" s="1" t="s">
        <v>1784</v>
      </c>
      <c r="EN2" s="2">
        <v>0</v>
      </c>
      <c r="EO2" s="2">
        <v>0</v>
      </c>
      <c r="EP2" s="2">
        <v>0</v>
      </c>
      <c r="EQ2" s="2">
        <v>0</v>
      </c>
      <c r="ER2" s="2">
        <v>0</v>
      </c>
      <c r="ES2" s="2">
        <v>0</v>
      </c>
      <c r="ET2" s="2">
        <v>1</v>
      </c>
      <c r="EU2" s="2">
        <v>0</v>
      </c>
      <c r="EV2" s="2">
        <v>0</v>
      </c>
      <c r="EW2" s="2">
        <v>0</v>
      </c>
      <c r="EX2" s="2">
        <v>0</v>
      </c>
      <c r="EY2" s="2">
        <v>0</v>
      </c>
      <c r="EZ2" s="2">
        <v>0</v>
      </c>
      <c r="FB2" s="1" t="s">
        <v>1154</v>
      </c>
      <c r="GI2" s="1" t="s">
        <v>2083</v>
      </c>
      <c r="GJ2" s="2">
        <v>0</v>
      </c>
      <c r="GK2" s="2">
        <v>1</v>
      </c>
      <c r="GL2" s="2">
        <v>0</v>
      </c>
      <c r="GM2" s="2">
        <v>0</v>
      </c>
      <c r="GN2" s="2">
        <v>0</v>
      </c>
      <c r="GO2" s="2">
        <v>0</v>
      </c>
      <c r="GP2" s="2">
        <v>1</v>
      </c>
      <c r="GQ2" s="2">
        <v>1</v>
      </c>
      <c r="GR2" s="2">
        <v>0</v>
      </c>
      <c r="GS2" s="2">
        <v>1</v>
      </c>
      <c r="GT2" s="2">
        <v>1</v>
      </c>
      <c r="GU2" s="2">
        <v>0</v>
      </c>
      <c r="GV2" s="2">
        <v>0</v>
      </c>
      <c r="AVT2" s="1">
        <v>129363626</v>
      </c>
      <c r="AVU2" s="1" t="s">
        <v>2084</v>
      </c>
      <c r="AVW2" s="1">
        <v>123</v>
      </c>
      <c r="AVX2" s="56"/>
      <c r="AVY2" s="56"/>
      <c r="AVZ2" s="56"/>
      <c r="AWA2" s="56"/>
      <c r="AWB2" s="56"/>
      <c r="AWC2" s="56"/>
      <c r="AWD2" s="56"/>
      <c r="AWE2" s="56"/>
      <c r="AWF2" s="56"/>
      <c r="AWG2" s="56"/>
      <c r="AWH2" s="56"/>
      <c r="AWI2" s="56"/>
      <c r="AWJ2" s="56"/>
      <c r="AWK2" s="56"/>
      <c r="AWL2" s="56"/>
      <c r="AWM2" s="56"/>
      <c r="AWN2" s="56"/>
      <c r="AWO2" s="56"/>
      <c r="AWP2" s="56"/>
      <c r="AWQ2" s="56"/>
      <c r="AWR2" s="56"/>
      <c r="AWS2" s="56"/>
      <c r="AWT2" s="56"/>
      <c r="AWU2" s="56"/>
      <c r="AWV2" s="56"/>
      <c r="AWW2" s="56"/>
      <c r="AWX2" s="56"/>
      <c r="AWY2" s="56"/>
      <c r="AWZ2" s="56"/>
      <c r="AXA2" s="56"/>
      <c r="AXB2" s="56"/>
      <c r="AXC2" s="56"/>
      <c r="AXD2" s="56"/>
      <c r="AXE2" s="56"/>
      <c r="AXF2" s="56"/>
      <c r="AXG2" s="56"/>
      <c r="AXH2" s="56"/>
      <c r="AXI2" s="56"/>
      <c r="AXJ2" s="56"/>
      <c r="AXK2" s="56"/>
      <c r="AXL2" s="56"/>
      <c r="AXM2" s="56"/>
    </row>
    <row r="3" spans="1:1313" x14ac:dyDescent="0.3">
      <c r="A3" s="1" t="s">
        <v>2085</v>
      </c>
      <c r="B3" s="1" t="s">
        <v>2086</v>
      </c>
      <c r="C3" s="1" t="s">
        <v>2087</v>
      </c>
      <c r="D3" s="1" t="s">
        <v>2088</v>
      </c>
      <c r="E3" s="1" t="s">
        <v>2079</v>
      </c>
      <c r="F3" s="1" t="s">
        <v>2088</v>
      </c>
      <c r="I3" s="1" t="s">
        <v>2080</v>
      </c>
      <c r="J3" s="1" t="s">
        <v>2081</v>
      </c>
      <c r="K3" s="1" t="s">
        <v>2081</v>
      </c>
      <c r="N3" s="1" t="s">
        <v>1152</v>
      </c>
      <c r="O3" s="2">
        <v>1</v>
      </c>
      <c r="P3" s="2">
        <v>0</v>
      </c>
      <c r="Q3" s="2">
        <v>0</v>
      </c>
      <c r="R3" s="2">
        <v>0</v>
      </c>
      <c r="S3" s="2">
        <v>0</v>
      </c>
      <c r="U3" s="1" t="s">
        <v>1654</v>
      </c>
      <c r="W3" s="1" t="s">
        <v>1154</v>
      </c>
      <c r="X3" s="1" t="s">
        <v>1155</v>
      </c>
      <c r="AN3" s="1" t="s">
        <v>1179</v>
      </c>
      <c r="AO3" s="2">
        <v>270</v>
      </c>
      <c r="AP3" s="1" t="s">
        <v>1190</v>
      </c>
      <c r="AR3" s="1" t="s">
        <v>1649</v>
      </c>
      <c r="AS3" s="1" t="s">
        <v>1653</v>
      </c>
      <c r="AT3" s="1" t="s">
        <v>1155</v>
      </c>
      <c r="AU3" s="1" t="s">
        <v>1182</v>
      </c>
      <c r="AV3" s="1" t="s">
        <v>1940</v>
      </c>
      <c r="AW3" s="2">
        <v>0</v>
      </c>
      <c r="AX3" s="2">
        <v>0</v>
      </c>
      <c r="AY3" s="2">
        <v>0</v>
      </c>
      <c r="AZ3" s="2">
        <v>1</v>
      </c>
      <c r="BA3" s="2">
        <v>0</v>
      </c>
      <c r="BB3" s="2">
        <v>0</v>
      </c>
      <c r="BC3" s="2">
        <v>0</v>
      </c>
      <c r="BD3" s="2">
        <v>0</v>
      </c>
      <c r="BO3" s="1" t="s">
        <v>1157</v>
      </c>
      <c r="BP3" s="2">
        <v>0</v>
      </c>
      <c r="BQ3" s="2">
        <v>0</v>
      </c>
      <c r="BR3" s="2">
        <v>0</v>
      </c>
      <c r="BS3" s="2">
        <v>0</v>
      </c>
      <c r="BT3" s="2">
        <v>0</v>
      </c>
      <c r="BU3" s="2">
        <v>1</v>
      </c>
      <c r="BV3" s="2">
        <v>0</v>
      </c>
      <c r="BW3" s="2">
        <v>0</v>
      </c>
      <c r="BX3" s="2">
        <v>0</v>
      </c>
      <c r="BY3" s="2">
        <v>0</v>
      </c>
      <c r="BZ3" s="2">
        <v>0</v>
      </c>
      <c r="CA3" s="2">
        <v>0</v>
      </c>
      <c r="CC3" s="1" t="s">
        <v>1154</v>
      </c>
      <c r="DQ3" s="1" t="s">
        <v>1167</v>
      </c>
      <c r="DR3" s="2">
        <v>0</v>
      </c>
      <c r="DS3" s="2">
        <v>1</v>
      </c>
      <c r="DT3" s="2">
        <v>0</v>
      </c>
      <c r="DU3" s="2">
        <v>0</v>
      </c>
      <c r="DV3" s="2">
        <v>0</v>
      </c>
      <c r="DX3" s="1" t="s">
        <v>2089</v>
      </c>
      <c r="DY3" s="2">
        <v>1</v>
      </c>
      <c r="DZ3" s="2">
        <v>0</v>
      </c>
      <c r="EA3" s="2">
        <v>0</v>
      </c>
      <c r="EB3" s="2">
        <v>0</v>
      </c>
      <c r="EC3" s="2">
        <v>0</v>
      </c>
      <c r="ED3" s="2">
        <v>1</v>
      </c>
      <c r="EE3" s="2">
        <v>0</v>
      </c>
      <c r="EF3" s="2">
        <v>0</v>
      </c>
      <c r="EG3" s="2">
        <v>1</v>
      </c>
      <c r="EH3" s="2">
        <v>0</v>
      </c>
      <c r="EI3" s="2">
        <v>0</v>
      </c>
      <c r="EJ3" s="2">
        <v>0</v>
      </c>
      <c r="EK3" s="2">
        <v>1</v>
      </c>
      <c r="EM3" s="1" t="s">
        <v>1784</v>
      </c>
      <c r="EN3" s="2">
        <v>0</v>
      </c>
      <c r="EO3" s="2">
        <v>0</v>
      </c>
      <c r="EP3" s="2">
        <v>0</v>
      </c>
      <c r="EQ3" s="2">
        <v>0</v>
      </c>
      <c r="ER3" s="2">
        <v>0</v>
      </c>
      <c r="ES3" s="2">
        <v>0</v>
      </c>
      <c r="ET3" s="2">
        <v>1</v>
      </c>
      <c r="EU3" s="2">
        <v>0</v>
      </c>
      <c r="EV3" s="2">
        <v>0</v>
      </c>
      <c r="EW3" s="2">
        <v>0</v>
      </c>
      <c r="EX3" s="2">
        <v>0</v>
      </c>
      <c r="EY3" s="2">
        <v>0</v>
      </c>
      <c r="EZ3" s="2">
        <v>0</v>
      </c>
      <c r="FB3" s="1" t="s">
        <v>1154</v>
      </c>
      <c r="GI3" s="1" t="s">
        <v>2090</v>
      </c>
      <c r="GJ3" s="2">
        <v>0</v>
      </c>
      <c r="GK3" s="2">
        <v>0</v>
      </c>
      <c r="GL3" s="2">
        <v>1</v>
      </c>
      <c r="GM3" s="2">
        <v>0</v>
      </c>
      <c r="GN3" s="2">
        <v>1</v>
      </c>
      <c r="GO3" s="2">
        <v>1</v>
      </c>
      <c r="GP3" s="2">
        <v>0</v>
      </c>
      <c r="GQ3" s="2">
        <v>1</v>
      </c>
      <c r="GR3" s="2">
        <v>0</v>
      </c>
      <c r="GS3" s="2">
        <v>0</v>
      </c>
      <c r="GT3" s="2">
        <v>1</v>
      </c>
      <c r="GU3" s="2">
        <v>0</v>
      </c>
      <c r="GV3" s="2">
        <v>0</v>
      </c>
      <c r="AVT3" s="1">
        <v>129363704</v>
      </c>
      <c r="AVU3" s="1" t="s">
        <v>2091</v>
      </c>
      <c r="AVW3" s="1">
        <v>124</v>
      </c>
      <c r="AVX3" s="56"/>
      <c r="AVY3" s="56"/>
      <c r="AVZ3" s="56"/>
      <c r="AWA3" s="56"/>
      <c r="AWB3" s="56"/>
      <c r="AWC3" s="56"/>
      <c r="AWD3" s="56"/>
      <c r="AWE3" s="56"/>
      <c r="AWF3" s="56"/>
      <c r="AWG3" s="56"/>
      <c r="AWH3" s="56"/>
      <c r="AWI3" s="56"/>
      <c r="AWJ3" s="56"/>
      <c r="AWK3" s="56"/>
      <c r="AWL3" s="56"/>
      <c r="AWM3" s="56"/>
      <c r="AWN3" s="56"/>
      <c r="AWO3" s="56"/>
      <c r="AWP3" s="56"/>
      <c r="AWQ3" s="56"/>
      <c r="AWR3" s="56"/>
      <c r="AWS3" s="56"/>
      <c r="AWT3" s="56"/>
      <c r="AWU3" s="56"/>
      <c r="AWV3" s="56"/>
      <c r="AWW3" s="56"/>
      <c r="AWX3" s="56"/>
      <c r="AWY3" s="56"/>
      <c r="AWZ3" s="56"/>
      <c r="AXA3" s="56"/>
      <c r="AXB3" s="56"/>
      <c r="AXC3" s="56"/>
      <c r="AXD3" s="56"/>
      <c r="AXE3" s="56"/>
      <c r="AXF3" s="56"/>
      <c r="AXG3" s="56"/>
      <c r="AXH3" s="56"/>
      <c r="AXI3" s="56"/>
      <c r="AXJ3" s="56"/>
      <c r="AXK3" s="56"/>
      <c r="AXL3" s="56"/>
      <c r="AXM3" s="56"/>
    </row>
    <row r="4" spans="1:1313" x14ac:dyDescent="0.3">
      <c r="A4" s="1" t="s">
        <v>2092</v>
      </c>
      <c r="B4" s="1" t="s">
        <v>2093</v>
      </c>
      <c r="C4" s="1" t="s">
        <v>2094</v>
      </c>
      <c r="D4" s="1" t="s">
        <v>2088</v>
      </c>
      <c r="E4" s="1" t="s">
        <v>2079</v>
      </c>
      <c r="F4" s="1" t="s">
        <v>2088</v>
      </c>
      <c r="I4" s="1" t="s">
        <v>2080</v>
      </c>
      <c r="J4" s="1" t="s">
        <v>2081</v>
      </c>
      <c r="K4" s="1" t="s">
        <v>2081</v>
      </c>
      <c r="N4" s="1" t="s">
        <v>1152</v>
      </c>
      <c r="O4" s="2">
        <v>1</v>
      </c>
      <c r="P4" s="2">
        <v>0</v>
      </c>
      <c r="Q4" s="2">
        <v>0</v>
      </c>
      <c r="R4" s="2">
        <v>0</v>
      </c>
      <c r="S4" s="2">
        <v>0</v>
      </c>
      <c r="U4" s="1" t="s">
        <v>1654</v>
      </c>
      <c r="W4" s="1" t="s">
        <v>1155</v>
      </c>
      <c r="X4" s="1" t="s">
        <v>1155</v>
      </c>
      <c r="AN4" s="1" t="s">
        <v>1179</v>
      </c>
      <c r="AO4" s="2">
        <v>500</v>
      </c>
      <c r="AP4" s="1" t="s">
        <v>1190</v>
      </c>
      <c r="AR4" s="1" t="s">
        <v>1649</v>
      </c>
      <c r="AS4" s="1" t="s">
        <v>1653</v>
      </c>
      <c r="AT4" s="1" t="s">
        <v>1155</v>
      </c>
      <c r="AU4" s="1" t="s">
        <v>1156</v>
      </c>
      <c r="AV4" s="1" t="s">
        <v>2095</v>
      </c>
      <c r="AW4" s="2">
        <v>0</v>
      </c>
      <c r="AX4" s="2">
        <v>1</v>
      </c>
      <c r="AY4" s="2">
        <v>0</v>
      </c>
      <c r="AZ4" s="2">
        <v>1</v>
      </c>
      <c r="BA4" s="2">
        <v>0</v>
      </c>
      <c r="BB4" s="2">
        <v>1</v>
      </c>
      <c r="BC4" s="2">
        <v>0</v>
      </c>
      <c r="BD4" s="2">
        <v>0</v>
      </c>
      <c r="BO4" s="1" t="s">
        <v>1157</v>
      </c>
      <c r="BP4" s="2">
        <v>0</v>
      </c>
      <c r="BQ4" s="2">
        <v>0</v>
      </c>
      <c r="BR4" s="2">
        <v>0</v>
      </c>
      <c r="BS4" s="2">
        <v>0</v>
      </c>
      <c r="BT4" s="2">
        <v>0</v>
      </c>
      <c r="BU4" s="2">
        <v>1</v>
      </c>
      <c r="BV4" s="2">
        <v>0</v>
      </c>
      <c r="BW4" s="2">
        <v>0</v>
      </c>
      <c r="BX4" s="2">
        <v>0</v>
      </c>
      <c r="BY4" s="2">
        <v>0</v>
      </c>
      <c r="BZ4" s="2">
        <v>0</v>
      </c>
      <c r="CA4" s="2">
        <v>0</v>
      </c>
      <c r="CC4" s="1" t="s">
        <v>1155</v>
      </c>
      <c r="CD4" s="1" t="s">
        <v>1979</v>
      </c>
      <c r="CF4" s="2">
        <v>100</v>
      </c>
      <c r="CG4" s="1" t="s">
        <v>1154</v>
      </c>
      <c r="CY4" s="1" t="s">
        <v>1388</v>
      </c>
      <c r="CZ4" s="2">
        <v>0</v>
      </c>
      <c r="DA4" s="2">
        <v>0</v>
      </c>
      <c r="DB4" s="2">
        <v>0</v>
      </c>
      <c r="DC4" s="2">
        <v>0</v>
      </c>
      <c r="DD4" s="2">
        <v>1</v>
      </c>
      <c r="DE4" s="2">
        <v>0</v>
      </c>
      <c r="DF4" s="2">
        <v>0</v>
      </c>
      <c r="DG4" s="2">
        <v>0</v>
      </c>
      <c r="DI4" s="1" t="s">
        <v>1155</v>
      </c>
      <c r="DJ4" s="1" t="s">
        <v>2224</v>
      </c>
      <c r="DK4" s="2">
        <v>0</v>
      </c>
      <c r="DL4" s="2">
        <v>1</v>
      </c>
      <c r="DM4" s="2">
        <v>0</v>
      </c>
      <c r="DN4" s="2">
        <v>0</v>
      </c>
      <c r="DO4" s="2">
        <v>0</v>
      </c>
      <c r="DQ4" s="1" t="s">
        <v>1385</v>
      </c>
      <c r="DR4" s="2">
        <v>1</v>
      </c>
      <c r="DS4" s="2">
        <v>0</v>
      </c>
      <c r="DT4" s="2">
        <v>0</v>
      </c>
      <c r="DU4" s="2">
        <v>0</v>
      </c>
      <c r="DV4" s="2">
        <v>0</v>
      </c>
      <c r="DX4" s="1" t="s">
        <v>2096</v>
      </c>
      <c r="DY4" s="2">
        <v>0</v>
      </c>
      <c r="DZ4" s="2">
        <v>0</v>
      </c>
      <c r="EA4" s="2">
        <v>0</v>
      </c>
      <c r="EB4" s="2">
        <v>0</v>
      </c>
      <c r="EC4" s="2">
        <v>0</v>
      </c>
      <c r="ED4" s="2">
        <v>1</v>
      </c>
      <c r="EE4" s="2">
        <v>0</v>
      </c>
      <c r="EF4" s="2">
        <v>0</v>
      </c>
      <c r="EG4" s="2">
        <v>1</v>
      </c>
      <c r="EH4" s="2">
        <v>0</v>
      </c>
      <c r="EI4" s="2">
        <v>0</v>
      </c>
      <c r="EJ4" s="2">
        <v>0</v>
      </c>
      <c r="EK4" s="2">
        <v>1</v>
      </c>
      <c r="EM4" s="1" t="s">
        <v>2097</v>
      </c>
      <c r="EN4" s="2">
        <v>0</v>
      </c>
      <c r="EO4" s="2">
        <v>0</v>
      </c>
      <c r="EP4" s="2">
        <v>0</v>
      </c>
      <c r="EQ4" s="2">
        <v>0</v>
      </c>
      <c r="ER4" s="2">
        <v>1</v>
      </c>
      <c r="ES4" s="2">
        <v>0</v>
      </c>
      <c r="ET4" s="2">
        <v>1</v>
      </c>
      <c r="EU4" s="2">
        <v>0</v>
      </c>
      <c r="EV4" s="2">
        <v>0</v>
      </c>
      <c r="EW4" s="2">
        <v>0</v>
      </c>
      <c r="EX4" s="2">
        <v>0</v>
      </c>
      <c r="EY4" s="2">
        <v>0</v>
      </c>
      <c r="EZ4" s="2">
        <v>0</v>
      </c>
      <c r="FB4" s="1" t="s">
        <v>1155</v>
      </c>
      <c r="FC4" s="1" t="s">
        <v>1895</v>
      </c>
      <c r="FD4" s="2">
        <v>0</v>
      </c>
      <c r="FE4" s="2">
        <v>0</v>
      </c>
      <c r="FF4" s="2">
        <v>0</v>
      </c>
      <c r="FG4" s="2">
        <v>1</v>
      </c>
      <c r="FH4" s="2">
        <v>0</v>
      </c>
      <c r="FI4" s="2">
        <v>0</v>
      </c>
      <c r="FJ4" s="2">
        <v>0</v>
      </c>
      <c r="FL4" s="1" t="s">
        <v>1984</v>
      </c>
      <c r="FM4" s="2">
        <v>0</v>
      </c>
      <c r="FN4" s="2">
        <v>0</v>
      </c>
      <c r="FO4" s="2">
        <v>0</v>
      </c>
      <c r="FP4" s="2">
        <v>0</v>
      </c>
      <c r="FQ4" s="2">
        <v>1</v>
      </c>
      <c r="FR4" s="2">
        <v>0</v>
      </c>
      <c r="FS4" s="2">
        <v>1</v>
      </c>
      <c r="FT4" s="2">
        <v>0</v>
      </c>
      <c r="FU4" s="2">
        <v>0</v>
      </c>
      <c r="FV4" s="2">
        <v>0</v>
      </c>
      <c r="FW4" s="2">
        <v>0</v>
      </c>
      <c r="FX4" s="2">
        <v>0</v>
      </c>
      <c r="FY4" s="2">
        <v>0</v>
      </c>
      <c r="GA4" s="1" t="s">
        <v>1154</v>
      </c>
      <c r="GB4" s="1" t="s">
        <v>1178</v>
      </c>
      <c r="GC4" s="2">
        <v>1</v>
      </c>
      <c r="GD4" s="2">
        <v>0</v>
      </c>
      <c r="GE4" s="2">
        <v>0</v>
      </c>
      <c r="GF4" s="2">
        <v>0</v>
      </c>
      <c r="GG4" s="2">
        <v>0</v>
      </c>
      <c r="GI4" s="1" t="s">
        <v>2098</v>
      </c>
      <c r="GJ4" s="2">
        <v>0</v>
      </c>
      <c r="GK4" s="2">
        <v>1</v>
      </c>
      <c r="GL4" s="2">
        <v>0</v>
      </c>
      <c r="GM4" s="2">
        <v>0</v>
      </c>
      <c r="GN4" s="2">
        <v>1</v>
      </c>
      <c r="GO4" s="2">
        <v>0</v>
      </c>
      <c r="GP4" s="2">
        <v>0</v>
      </c>
      <c r="GQ4" s="2">
        <v>0</v>
      </c>
      <c r="GR4" s="2">
        <v>1</v>
      </c>
      <c r="GS4" s="2">
        <v>0</v>
      </c>
      <c r="GT4" s="2">
        <v>1</v>
      </c>
      <c r="GU4" s="2">
        <v>0</v>
      </c>
      <c r="GV4" s="2">
        <v>0</v>
      </c>
      <c r="AVT4" s="1">
        <v>129363874</v>
      </c>
      <c r="AVU4" s="1" t="s">
        <v>2099</v>
      </c>
      <c r="AVW4" s="1">
        <v>125</v>
      </c>
      <c r="AVX4" s="56"/>
      <c r="AVY4" s="56"/>
      <c r="AVZ4" s="56"/>
      <c r="AWA4" s="56"/>
      <c r="AWB4" s="56"/>
      <c r="AWC4" s="56"/>
      <c r="AWD4" s="56"/>
      <c r="AWE4" s="56"/>
      <c r="AWF4" s="56"/>
      <c r="AWG4" s="56"/>
      <c r="AWH4" s="56"/>
      <c r="AWI4" s="56"/>
      <c r="AWJ4" s="56"/>
      <c r="AWK4" s="56"/>
      <c r="AWL4" s="56"/>
      <c r="AWM4" s="56"/>
      <c r="AWN4" s="56"/>
      <c r="AWO4" s="56"/>
      <c r="AWP4" s="56"/>
      <c r="AWQ4" s="56"/>
      <c r="AWR4" s="56"/>
      <c r="AWS4" s="56"/>
      <c r="AWT4" s="56"/>
      <c r="AWU4" s="56"/>
      <c r="AWV4" s="56"/>
      <c r="AWW4" s="56"/>
      <c r="AWX4" s="56"/>
      <c r="AWY4" s="56"/>
      <c r="AWZ4" s="56"/>
      <c r="AXA4" s="56"/>
      <c r="AXB4" s="56"/>
      <c r="AXC4" s="56"/>
      <c r="AXD4" s="56"/>
      <c r="AXE4" s="56"/>
      <c r="AXF4" s="56"/>
      <c r="AXG4" s="56"/>
      <c r="AXH4" s="56"/>
      <c r="AXI4" s="56"/>
      <c r="AXJ4" s="56"/>
      <c r="AXK4" s="56"/>
      <c r="AXL4" s="56"/>
      <c r="AXM4" s="56"/>
    </row>
    <row r="5" spans="1:1313" x14ac:dyDescent="0.3">
      <c r="A5" s="1" t="s">
        <v>2100</v>
      </c>
      <c r="B5" s="1" t="s">
        <v>2101</v>
      </c>
      <c r="C5" s="1" t="s">
        <v>2102</v>
      </c>
      <c r="D5" s="1" t="s">
        <v>2088</v>
      </c>
      <c r="E5" s="1" t="s">
        <v>2079</v>
      </c>
      <c r="F5" s="1" t="s">
        <v>2088</v>
      </c>
      <c r="I5" s="1" t="s">
        <v>2080</v>
      </c>
      <c r="J5" s="1" t="s">
        <v>2081</v>
      </c>
      <c r="K5" s="1" t="s">
        <v>2081</v>
      </c>
      <c r="N5" s="1" t="s">
        <v>1168</v>
      </c>
      <c r="O5" s="2">
        <v>0</v>
      </c>
      <c r="P5" s="2">
        <v>0</v>
      </c>
      <c r="Q5" s="2">
        <v>1</v>
      </c>
      <c r="R5" s="2">
        <v>0</v>
      </c>
      <c r="S5" s="2">
        <v>0</v>
      </c>
      <c r="ZS5" s="1" t="s">
        <v>2313</v>
      </c>
      <c r="ZT5" s="1" t="s">
        <v>2103</v>
      </c>
      <c r="ZV5" s="1" t="s">
        <v>1170</v>
      </c>
      <c r="ZX5" s="1" t="s">
        <v>1155</v>
      </c>
      <c r="ABE5" s="1" t="s">
        <v>1171</v>
      </c>
      <c r="ABF5" s="2">
        <v>1</v>
      </c>
      <c r="ABG5" s="2">
        <v>0</v>
      </c>
      <c r="ABH5" s="2">
        <v>0</v>
      </c>
      <c r="ABI5" s="2">
        <v>0</v>
      </c>
      <c r="ABJ5" s="2">
        <v>0</v>
      </c>
      <c r="ABL5" s="1" t="s">
        <v>1175</v>
      </c>
      <c r="ABM5" s="2">
        <v>0</v>
      </c>
      <c r="ABN5" s="2">
        <v>0</v>
      </c>
      <c r="ABO5" s="2">
        <v>0</v>
      </c>
      <c r="ABP5" s="2">
        <v>0</v>
      </c>
      <c r="ABQ5" s="2">
        <v>0</v>
      </c>
      <c r="ABR5" s="2">
        <v>0</v>
      </c>
      <c r="ABS5" s="2">
        <v>0</v>
      </c>
      <c r="ABT5" s="2">
        <v>0</v>
      </c>
      <c r="ABU5" s="2">
        <v>0</v>
      </c>
      <c r="ABV5" s="2">
        <v>0</v>
      </c>
      <c r="ABW5" s="2">
        <v>0</v>
      </c>
      <c r="ABX5" s="2">
        <v>1</v>
      </c>
      <c r="ABZ5" s="2">
        <v>7</v>
      </c>
      <c r="ACA5" s="1" t="s">
        <v>1155</v>
      </c>
      <c r="ACB5" s="2">
        <v>3</v>
      </c>
      <c r="ACC5" s="1" t="s">
        <v>1155</v>
      </c>
      <c r="ACD5" s="2">
        <v>2</v>
      </c>
      <c r="ACE5" s="2">
        <v>1</v>
      </c>
      <c r="ACF5" s="2">
        <v>1</v>
      </c>
      <c r="ACG5" s="2">
        <v>3</v>
      </c>
      <c r="ACI5" s="1" t="s">
        <v>1154</v>
      </c>
      <c r="ACJ5" s="1" t="s">
        <v>1154</v>
      </c>
      <c r="ACM5" s="1" t="s">
        <v>1154</v>
      </c>
      <c r="ACN5" s="2">
        <v>626</v>
      </c>
      <c r="ACO5" s="2">
        <v>308</v>
      </c>
      <c r="ACP5" s="2">
        <v>318</v>
      </c>
      <c r="ACQ5" s="2">
        <v>318</v>
      </c>
      <c r="ACR5" s="2">
        <v>626</v>
      </c>
      <c r="ACT5" s="2">
        <v>6</v>
      </c>
      <c r="ACU5" s="2">
        <v>20</v>
      </c>
      <c r="ACV5" s="1" t="s">
        <v>1155</v>
      </c>
      <c r="ACW5" s="1" t="s">
        <v>1164</v>
      </c>
      <c r="ADG5" s="1" t="s">
        <v>2104</v>
      </c>
      <c r="ADH5" s="2">
        <v>1</v>
      </c>
      <c r="ADI5" s="2">
        <v>1</v>
      </c>
      <c r="ADJ5" s="2">
        <v>0</v>
      </c>
      <c r="ADK5" s="2">
        <v>0</v>
      </c>
      <c r="ADL5" s="2">
        <v>0</v>
      </c>
      <c r="ADM5" s="2">
        <v>0</v>
      </c>
      <c r="ADN5" s="2">
        <v>0</v>
      </c>
      <c r="ADO5" s="2">
        <v>1</v>
      </c>
      <c r="ADQ5" s="2">
        <v>2</v>
      </c>
      <c r="ADR5" s="2">
        <v>0</v>
      </c>
      <c r="ADS5" s="2">
        <v>2</v>
      </c>
      <c r="ADT5" s="2">
        <v>2</v>
      </c>
      <c r="ADU5" s="2">
        <v>2</v>
      </c>
      <c r="ADW5" s="1" t="s">
        <v>1154</v>
      </c>
      <c r="AEO5" s="2">
        <v>0</v>
      </c>
      <c r="AEP5" s="2">
        <v>0</v>
      </c>
      <c r="AEQ5" s="2">
        <v>0</v>
      </c>
      <c r="AER5" s="2">
        <v>0</v>
      </c>
      <c r="AES5" s="2">
        <v>0</v>
      </c>
      <c r="AEU5" s="1" t="s">
        <v>1154</v>
      </c>
      <c r="AFL5" s="2">
        <v>5</v>
      </c>
      <c r="AFM5" s="2">
        <v>0</v>
      </c>
      <c r="AFN5" s="2">
        <v>5</v>
      </c>
      <c r="AFO5" s="2">
        <v>5</v>
      </c>
      <c r="AFP5" s="2">
        <v>5</v>
      </c>
      <c r="AFR5" s="1" t="s">
        <v>1154</v>
      </c>
      <c r="AGH5" s="1" t="s">
        <v>1183</v>
      </c>
      <c r="AGI5" s="1" t="s">
        <v>1183</v>
      </c>
      <c r="AGJ5" s="1" t="s">
        <v>1155</v>
      </c>
      <c r="AGK5" s="132">
        <v>10000</v>
      </c>
      <c r="AGL5" s="1" t="s">
        <v>2105</v>
      </c>
      <c r="AGM5" s="2">
        <v>1</v>
      </c>
      <c r="AGN5" s="2">
        <v>1</v>
      </c>
      <c r="AGO5" s="2">
        <v>0</v>
      </c>
      <c r="AGP5" s="2">
        <v>1</v>
      </c>
      <c r="AGQ5" s="2">
        <v>0</v>
      </c>
      <c r="AGR5" s="2">
        <v>0</v>
      </c>
      <c r="AGT5" s="1" t="s">
        <v>1154</v>
      </c>
      <c r="AHQ5" s="1" t="s">
        <v>1385</v>
      </c>
      <c r="AHR5" s="2">
        <v>1</v>
      </c>
      <c r="AHS5" s="2">
        <v>0</v>
      </c>
      <c r="AHT5" s="2">
        <v>0</v>
      </c>
      <c r="AHU5" s="2">
        <v>0</v>
      </c>
      <c r="AHV5" s="2">
        <v>0</v>
      </c>
      <c r="AHX5" s="1" t="s">
        <v>1931</v>
      </c>
      <c r="AHY5" s="2">
        <v>1</v>
      </c>
      <c r="AHZ5" s="2">
        <v>1</v>
      </c>
      <c r="AIA5" s="2">
        <v>1</v>
      </c>
      <c r="AIB5" s="2">
        <v>1</v>
      </c>
      <c r="AIC5" s="2">
        <v>1</v>
      </c>
      <c r="AID5" s="2">
        <v>1</v>
      </c>
      <c r="AIE5" s="2">
        <v>0</v>
      </c>
      <c r="AIF5" s="2">
        <v>0</v>
      </c>
      <c r="AIG5" s="2">
        <v>0</v>
      </c>
      <c r="AIH5" s="2">
        <v>0</v>
      </c>
      <c r="AII5" s="2">
        <v>0</v>
      </c>
      <c r="AIK5" s="1" t="s">
        <v>1933</v>
      </c>
      <c r="AIL5" s="2">
        <v>0</v>
      </c>
      <c r="AIM5" s="2">
        <v>0</v>
      </c>
      <c r="AIN5" s="2">
        <v>0</v>
      </c>
      <c r="AIO5" s="2">
        <v>0</v>
      </c>
      <c r="AIP5" s="2">
        <v>0</v>
      </c>
      <c r="AIQ5" s="2">
        <v>0</v>
      </c>
      <c r="AIR5" s="2">
        <v>0</v>
      </c>
      <c r="AIS5" s="2">
        <v>0</v>
      </c>
      <c r="AIT5" s="2">
        <v>0</v>
      </c>
      <c r="AIU5" s="2">
        <v>0</v>
      </c>
      <c r="AIV5" s="2">
        <v>0</v>
      </c>
      <c r="AIW5" s="2">
        <v>0</v>
      </c>
      <c r="AIX5" s="2">
        <v>1</v>
      </c>
      <c r="AIZ5" s="1" t="s">
        <v>1155</v>
      </c>
      <c r="AJA5" s="1" t="s">
        <v>1157</v>
      </c>
      <c r="AJB5" s="2">
        <v>0</v>
      </c>
      <c r="AJC5" s="2">
        <v>0</v>
      </c>
      <c r="AJD5" s="2">
        <v>0</v>
      </c>
      <c r="AJE5" s="2">
        <v>0</v>
      </c>
      <c r="AJF5" s="2">
        <v>1</v>
      </c>
      <c r="AJG5" s="2">
        <v>0</v>
      </c>
      <c r="AJH5" s="2">
        <v>0</v>
      </c>
      <c r="AJJ5" s="1" t="s">
        <v>2106</v>
      </c>
      <c r="AJK5" s="2">
        <v>0</v>
      </c>
      <c r="AJL5" s="2">
        <v>1</v>
      </c>
      <c r="AJM5" s="2">
        <v>0</v>
      </c>
      <c r="AJN5" s="2">
        <v>0</v>
      </c>
      <c r="AJO5" s="2">
        <v>1</v>
      </c>
      <c r="AJP5" s="2">
        <v>0</v>
      </c>
      <c r="AJQ5" s="2">
        <v>1</v>
      </c>
      <c r="AJR5" s="2">
        <v>1</v>
      </c>
      <c r="AJS5" s="2">
        <v>0</v>
      </c>
      <c r="AJT5" s="2">
        <v>1</v>
      </c>
      <c r="AJU5" s="2">
        <v>0</v>
      </c>
      <c r="AJV5" s="2">
        <v>0</v>
      </c>
      <c r="AJX5" s="1" t="s">
        <v>1154</v>
      </c>
      <c r="AJY5" s="1" t="s">
        <v>1917</v>
      </c>
      <c r="AJZ5" s="2">
        <v>0</v>
      </c>
      <c r="AKA5" s="2">
        <v>1</v>
      </c>
      <c r="AKB5" s="2">
        <v>0</v>
      </c>
      <c r="AKC5" s="2">
        <v>0</v>
      </c>
      <c r="AKD5" s="2">
        <v>0</v>
      </c>
      <c r="AKF5" s="1" t="s">
        <v>2107</v>
      </c>
      <c r="AKG5" s="2">
        <v>0</v>
      </c>
      <c r="AKH5" s="2">
        <v>1</v>
      </c>
      <c r="AKI5" s="2">
        <v>0</v>
      </c>
      <c r="AKJ5" s="2">
        <v>1</v>
      </c>
      <c r="AKK5" s="2">
        <v>1</v>
      </c>
      <c r="AKL5" s="2">
        <v>1</v>
      </c>
      <c r="AKM5" s="2">
        <v>1</v>
      </c>
      <c r="AKN5" s="2">
        <v>1</v>
      </c>
      <c r="AKO5" s="2">
        <v>1</v>
      </c>
      <c r="AKP5" s="2">
        <v>1</v>
      </c>
      <c r="AKQ5" s="2">
        <v>0</v>
      </c>
      <c r="AKR5" s="2">
        <v>0</v>
      </c>
      <c r="AVT5" s="1">
        <v>129363935</v>
      </c>
      <c r="AVU5" s="1" t="s">
        <v>2108</v>
      </c>
      <c r="AVW5" s="1">
        <v>126</v>
      </c>
      <c r="AVX5" s="56"/>
      <c r="AVY5" s="56"/>
      <c r="AVZ5" s="56"/>
      <c r="AWA5" s="56"/>
      <c r="AWB5" s="56"/>
      <c r="AWC5" s="56"/>
      <c r="AWD5" s="56"/>
      <c r="AWE5" s="56"/>
      <c r="AWF5" s="56"/>
      <c r="AWG5" s="56"/>
      <c r="AWH5" s="56"/>
      <c r="AWI5" s="56"/>
      <c r="AWJ5" s="56"/>
      <c r="AWK5" s="56"/>
      <c r="AWL5" s="56"/>
      <c r="AWM5" s="56"/>
      <c r="AWN5" s="56"/>
      <c r="AWO5" s="56"/>
      <c r="AWP5" s="56"/>
      <c r="AWQ5" s="56"/>
      <c r="AWR5" s="56"/>
      <c r="AWS5" s="56"/>
      <c r="AWT5" s="56"/>
      <c r="AWU5" s="56"/>
      <c r="AWV5" s="56"/>
      <c r="AWW5" s="56"/>
      <c r="AWX5" s="56"/>
      <c r="AWY5" s="56"/>
      <c r="AWZ5" s="56"/>
      <c r="AXA5" s="56"/>
      <c r="AXB5" s="56"/>
      <c r="AXC5" s="56"/>
      <c r="AXD5" s="56"/>
      <c r="AXE5" s="56"/>
      <c r="AXF5" s="56"/>
      <c r="AXG5" s="56"/>
      <c r="AXH5" s="56"/>
      <c r="AXI5" s="56"/>
      <c r="AXJ5" s="56"/>
      <c r="AXK5" s="56"/>
      <c r="AXL5" s="56"/>
      <c r="AXM5" s="56"/>
    </row>
    <row r="6" spans="1:1313" x14ac:dyDescent="0.3">
      <c r="A6" s="1" t="s">
        <v>2109</v>
      </c>
      <c r="B6" s="1" t="s">
        <v>2110</v>
      </c>
      <c r="C6" s="1" t="s">
        <v>2111</v>
      </c>
      <c r="D6" s="1" t="s">
        <v>2078</v>
      </c>
      <c r="E6" s="1" t="s">
        <v>2079</v>
      </c>
      <c r="F6" s="1" t="s">
        <v>2078</v>
      </c>
      <c r="I6" s="1" t="s">
        <v>2080</v>
      </c>
      <c r="J6" s="1" t="s">
        <v>2081</v>
      </c>
      <c r="K6" s="1" t="s">
        <v>2081</v>
      </c>
      <c r="N6" s="1" t="s">
        <v>1152</v>
      </c>
      <c r="O6" s="2">
        <v>1</v>
      </c>
      <c r="P6" s="2">
        <v>0</v>
      </c>
      <c r="Q6" s="2">
        <v>0</v>
      </c>
      <c r="R6" s="2">
        <v>0</v>
      </c>
      <c r="S6" s="2">
        <v>0</v>
      </c>
      <c r="U6" s="1" t="s">
        <v>1654</v>
      </c>
      <c r="W6" s="1" t="s">
        <v>1155</v>
      </c>
      <c r="X6" s="1" t="s">
        <v>1155</v>
      </c>
      <c r="AN6" s="1" t="s">
        <v>1179</v>
      </c>
      <c r="AO6" s="2">
        <v>150</v>
      </c>
      <c r="AP6" s="1" t="s">
        <v>1871</v>
      </c>
      <c r="AR6" s="1" t="s">
        <v>1649</v>
      </c>
      <c r="AS6" s="1" t="s">
        <v>1653</v>
      </c>
      <c r="AT6" s="1" t="s">
        <v>1155</v>
      </c>
      <c r="AU6" s="1" t="s">
        <v>1156</v>
      </c>
      <c r="AV6" s="1" t="s">
        <v>1942</v>
      </c>
      <c r="AW6" s="2">
        <v>1</v>
      </c>
      <c r="AX6" s="2">
        <v>0</v>
      </c>
      <c r="AY6" s="2">
        <v>1</v>
      </c>
      <c r="AZ6" s="2">
        <v>1</v>
      </c>
      <c r="BA6" s="2">
        <v>0</v>
      </c>
      <c r="BB6" s="2">
        <v>0</v>
      </c>
      <c r="BC6" s="2">
        <v>0</v>
      </c>
      <c r="BD6" s="2">
        <v>0</v>
      </c>
      <c r="BO6" s="1" t="s">
        <v>1157</v>
      </c>
      <c r="BP6" s="2">
        <v>0</v>
      </c>
      <c r="BQ6" s="2">
        <v>0</v>
      </c>
      <c r="BR6" s="2">
        <v>0</v>
      </c>
      <c r="BS6" s="2">
        <v>0</v>
      </c>
      <c r="BT6" s="2">
        <v>0</v>
      </c>
      <c r="BU6" s="2">
        <v>1</v>
      </c>
      <c r="BV6" s="2">
        <v>0</v>
      </c>
      <c r="BW6" s="2">
        <v>0</v>
      </c>
      <c r="BX6" s="2">
        <v>0</v>
      </c>
      <c r="BY6" s="2">
        <v>0</v>
      </c>
      <c r="BZ6" s="2">
        <v>0</v>
      </c>
      <c r="CA6" s="2">
        <v>0</v>
      </c>
      <c r="CC6" s="1" t="s">
        <v>1155</v>
      </c>
      <c r="CD6" s="1" t="s">
        <v>1979</v>
      </c>
      <c r="CF6" s="2">
        <v>100</v>
      </c>
      <c r="CG6" s="1" t="s">
        <v>1154</v>
      </c>
      <c r="CY6" s="1" t="s">
        <v>1388</v>
      </c>
      <c r="CZ6" s="2">
        <v>0</v>
      </c>
      <c r="DA6" s="2">
        <v>0</v>
      </c>
      <c r="DB6" s="2">
        <v>0</v>
      </c>
      <c r="DC6" s="2">
        <v>0</v>
      </c>
      <c r="DD6" s="2">
        <v>1</v>
      </c>
      <c r="DE6" s="2">
        <v>0</v>
      </c>
      <c r="DF6" s="2">
        <v>0</v>
      </c>
      <c r="DG6" s="2">
        <v>0</v>
      </c>
      <c r="DI6" s="1" t="s">
        <v>1154</v>
      </c>
      <c r="DQ6" s="1" t="s">
        <v>1167</v>
      </c>
      <c r="DR6" s="2">
        <v>0</v>
      </c>
      <c r="DS6" s="2">
        <v>1</v>
      </c>
      <c r="DT6" s="2">
        <v>0</v>
      </c>
      <c r="DU6" s="2">
        <v>0</v>
      </c>
      <c r="DV6" s="2">
        <v>0</v>
      </c>
      <c r="DX6" s="1" t="s">
        <v>2112</v>
      </c>
      <c r="DY6" s="2">
        <v>1</v>
      </c>
      <c r="DZ6" s="2">
        <v>1</v>
      </c>
      <c r="EA6" s="2">
        <v>0</v>
      </c>
      <c r="EB6" s="2">
        <v>0</v>
      </c>
      <c r="EC6" s="2">
        <v>0</v>
      </c>
      <c r="ED6" s="2">
        <v>1</v>
      </c>
      <c r="EE6" s="2">
        <v>0</v>
      </c>
      <c r="EF6" s="2">
        <v>0</v>
      </c>
      <c r="EG6" s="2">
        <v>1</v>
      </c>
      <c r="EH6" s="2">
        <v>0</v>
      </c>
      <c r="EI6" s="2">
        <v>0</v>
      </c>
      <c r="EJ6" s="2">
        <v>0</v>
      </c>
      <c r="EK6" s="2">
        <v>1</v>
      </c>
      <c r="EM6" s="1" t="s">
        <v>2097</v>
      </c>
      <c r="EN6" s="2">
        <v>0</v>
      </c>
      <c r="EO6" s="2">
        <v>0</v>
      </c>
      <c r="EP6" s="2">
        <v>0</v>
      </c>
      <c r="EQ6" s="2">
        <v>0</v>
      </c>
      <c r="ER6" s="2">
        <v>1</v>
      </c>
      <c r="ES6" s="2">
        <v>0</v>
      </c>
      <c r="ET6" s="2">
        <v>1</v>
      </c>
      <c r="EU6" s="2">
        <v>0</v>
      </c>
      <c r="EV6" s="2">
        <v>0</v>
      </c>
      <c r="EW6" s="2">
        <v>0</v>
      </c>
      <c r="EX6" s="2">
        <v>0</v>
      </c>
      <c r="EY6" s="2">
        <v>0</v>
      </c>
      <c r="EZ6" s="2">
        <v>0</v>
      </c>
      <c r="FB6" s="1" t="s">
        <v>1155</v>
      </c>
      <c r="FC6" s="1" t="s">
        <v>1157</v>
      </c>
      <c r="FD6" s="2">
        <v>0</v>
      </c>
      <c r="FE6" s="2">
        <v>0</v>
      </c>
      <c r="FF6" s="2">
        <v>0</v>
      </c>
      <c r="FG6" s="2">
        <v>0</v>
      </c>
      <c r="FH6" s="2">
        <v>1</v>
      </c>
      <c r="FI6" s="2">
        <v>0</v>
      </c>
      <c r="FJ6" s="2">
        <v>0</v>
      </c>
      <c r="FL6" s="1" t="s">
        <v>2113</v>
      </c>
      <c r="FM6" s="2">
        <v>0</v>
      </c>
      <c r="FN6" s="2">
        <v>0</v>
      </c>
      <c r="FO6" s="2">
        <v>1</v>
      </c>
      <c r="FP6" s="2">
        <v>0</v>
      </c>
      <c r="FQ6" s="2">
        <v>1</v>
      </c>
      <c r="FR6" s="2">
        <v>1</v>
      </c>
      <c r="FS6" s="2">
        <v>0</v>
      </c>
      <c r="FT6" s="2">
        <v>0</v>
      </c>
      <c r="FU6" s="2">
        <v>0</v>
      </c>
      <c r="FV6" s="2">
        <v>0</v>
      </c>
      <c r="FW6" s="2">
        <v>0</v>
      </c>
      <c r="FX6" s="2">
        <v>0</v>
      </c>
      <c r="FY6" s="2">
        <v>0</v>
      </c>
      <c r="GA6" s="1" t="s">
        <v>1155</v>
      </c>
      <c r="GI6" s="1" t="s">
        <v>2114</v>
      </c>
      <c r="GJ6" s="2">
        <v>0</v>
      </c>
      <c r="GK6" s="2">
        <v>1</v>
      </c>
      <c r="GL6" s="2">
        <v>0</v>
      </c>
      <c r="GM6" s="2">
        <v>0</v>
      </c>
      <c r="GN6" s="2">
        <v>1</v>
      </c>
      <c r="GO6" s="2">
        <v>0</v>
      </c>
      <c r="GP6" s="2">
        <v>0</v>
      </c>
      <c r="GQ6" s="2">
        <v>1</v>
      </c>
      <c r="GR6" s="2">
        <v>0</v>
      </c>
      <c r="GS6" s="2">
        <v>0</v>
      </c>
      <c r="GT6" s="2">
        <v>1</v>
      </c>
      <c r="GU6" s="2">
        <v>0</v>
      </c>
      <c r="GV6" s="2">
        <v>0</v>
      </c>
      <c r="AVT6" s="1">
        <v>129364329</v>
      </c>
      <c r="AVU6" s="1" t="s">
        <v>2115</v>
      </c>
      <c r="AVW6" s="1">
        <v>127</v>
      </c>
      <c r="AVX6" s="56"/>
      <c r="AVY6" s="56"/>
      <c r="AVZ6" s="56"/>
      <c r="AWA6" s="56"/>
      <c r="AWB6" s="56"/>
      <c r="AWC6" s="56"/>
      <c r="AWD6" s="56"/>
      <c r="AWE6" s="56"/>
      <c r="AWF6" s="56"/>
      <c r="AWG6" s="56"/>
      <c r="AWH6" s="56"/>
      <c r="AWI6" s="56"/>
      <c r="AWJ6" s="56"/>
      <c r="AWK6" s="56"/>
      <c r="AWL6" s="56"/>
      <c r="AWM6" s="56"/>
      <c r="AWN6" s="56"/>
      <c r="AWO6" s="56"/>
      <c r="AWP6" s="56"/>
      <c r="AWQ6" s="56"/>
      <c r="AWR6" s="56"/>
      <c r="AWS6" s="56"/>
      <c r="AWT6" s="56"/>
      <c r="AWU6" s="56"/>
      <c r="AWV6" s="56"/>
      <c r="AWW6" s="56"/>
      <c r="AWX6" s="56"/>
      <c r="AWY6" s="56"/>
      <c r="AWZ6" s="56"/>
      <c r="AXA6" s="56"/>
      <c r="AXB6" s="56"/>
      <c r="AXC6" s="56"/>
      <c r="AXD6" s="56"/>
      <c r="AXE6" s="56"/>
      <c r="AXF6" s="56"/>
      <c r="AXG6" s="56"/>
      <c r="AXH6" s="56"/>
      <c r="AXI6" s="56"/>
      <c r="AXJ6" s="56"/>
      <c r="AXK6" s="56"/>
      <c r="AXL6" s="56"/>
      <c r="AXM6" s="56"/>
    </row>
    <row r="7" spans="1:1313" x14ac:dyDescent="0.3">
      <c r="A7" s="1" t="s">
        <v>2116</v>
      </c>
      <c r="B7" s="1" t="s">
        <v>2117</v>
      </c>
      <c r="C7" s="1" t="s">
        <v>2118</v>
      </c>
      <c r="D7" s="1" t="s">
        <v>1638</v>
      </c>
      <c r="E7" s="1" t="s">
        <v>2079</v>
      </c>
      <c r="F7" s="1" t="s">
        <v>1638</v>
      </c>
      <c r="I7" s="1" t="s">
        <v>2080</v>
      </c>
      <c r="J7" s="1" t="s">
        <v>2081</v>
      </c>
      <c r="K7" s="1" t="s">
        <v>2081</v>
      </c>
      <c r="N7" s="1" t="s">
        <v>1152</v>
      </c>
      <c r="O7" s="2">
        <v>1</v>
      </c>
      <c r="P7" s="2">
        <v>0</v>
      </c>
      <c r="Q7" s="2">
        <v>0</v>
      </c>
      <c r="R7" s="2">
        <v>0</v>
      </c>
      <c r="S7" s="2">
        <v>0</v>
      </c>
      <c r="U7" s="1" t="s">
        <v>1654</v>
      </c>
      <c r="W7" s="1" t="s">
        <v>1155</v>
      </c>
      <c r="X7" s="1" t="s">
        <v>1155</v>
      </c>
      <c r="AN7" s="1" t="s">
        <v>1179</v>
      </c>
      <c r="AO7" s="2">
        <v>850</v>
      </c>
      <c r="AP7" s="1" t="s">
        <v>1871</v>
      </c>
      <c r="AR7" s="1" t="s">
        <v>1649</v>
      </c>
      <c r="AS7" s="1" t="s">
        <v>1655</v>
      </c>
      <c r="AT7" s="1" t="s">
        <v>1155</v>
      </c>
      <c r="AU7" s="1" t="s">
        <v>1156</v>
      </c>
      <c r="AV7" s="1" t="s">
        <v>1942</v>
      </c>
      <c r="AW7" s="2">
        <v>1</v>
      </c>
      <c r="AX7" s="2">
        <v>0</v>
      </c>
      <c r="AY7" s="2">
        <v>1</v>
      </c>
      <c r="AZ7" s="2">
        <v>1</v>
      </c>
      <c r="BA7" s="2">
        <v>0</v>
      </c>
      <c r="BB7" s="2">
        <v>0</v>
      </c>
      <c r="BC7" s="2">
        <v>0</v>
      </c>
      <c r="BD7" s="2">
        <v>0</v>
      </c>
      <c r="BO7" s="1" t="s">
        <v>1157</v>
      </c>
      <c r="BP7" s="2">
        <v>0</v>
      </c>
      <c r="BQ7" s="2">
        <v>0</v>
      </c>
      <c r="BR7" s="2">
        <v>0</v>
      </c>
      <c r="BS7" s="2">
        <v>0</v>
      </c>
      <c r="BT7" s="2">
        <v>0</v>
      </c>
      <c r="BU7" s="2">
        <v>1</v>
      </c>
      <c r="BV7" s="2">
        <v>0</v>
      </c>
      <c r="BW7" s="2">
        <v>0</v>
      </c>
      <c r="BX7" s="2">
        <v>0</v>
      </c>
      <c r="BY7" s="2">
        <v>0</v>
      </c>
      <c r="BZ7" s="2">
        <v>0</v>
      </c>
      <c r="CA7" s="2">
        <v>0</v>
      </c>
      <c r="CC7" s="1" t="s">
        <v>1154</v>
      </c>
      <c r="DQ7" s="1" t="s">
        <v>1167</v>
      </c>
      <c r="DR7" s="2">
        <v>0</v>
      </c>
      <c r="DS7" s="2">
        <v>1</v>
      </c>
      <c r="DT7" s="2">
        <v>0</v>
      </c>
      <c r="DU7" s="2">
        <v>0</v>
      </c>
      <c r="DV7" s="2">
        <v>0</v>
      </c>
      <c r="DW7" s="1" t="s">
        <v>2119</v>
      </c>
      <c r="DX7" s="1" t="s">
        <v>1945</v>
      </c>
      <c r="DY7" s="2">
        <v>1</v>
      </c>
      <c r="DZ7" s="2">
        <v>0</v>
      </c>
      <c r="EA7" s="2">
        <v>0</v>
      </c>
      <c r="EB7" s="2">
        <v>1</v>
      </c>
      <c r="EC7" s="2">
        <v>0</v>
      </c>
      <c r="ED7" s="2">
        <v>0</v>
      </c>
      <c r="EE7" s="2">
        <v>0</v>
      </c>
      <c r="EF7" s="2">
        <v>0</v>
      </c>
      <c r="EG7" s="2">
        <v>1</v>
      </c>
      <c r="EH7" s="2">
        <v>0</v>
      </c>
      <c r="EI7" s="2">
        <v>0</v>
      </c>
      <c r="EJ7" s="2">
        <v>0</v>
      </c>
      <c r="EK7" s="2">
        <v>1</v>
      </c>
      <c r="EM7" s="1" t="s">
        <v>2097</v>
      </c>
      <c r="EN7" s="2">
        <v>0</v>
      </c>
      <c r="EO7" s="2">
        <v>0</v>
      </c>
      <c r="EP7" s="2">
        <v>0</v>
      </c>
      <c r="EQ7" s="2">
        <v>0</v>
      </c>
      <c r="ER7" s="2">
        <v>1</v>
      </c>
      <c r="ES7" s="2">
        <v>0</v>
      </c>
      <c r="ET7" s="2">
        <v>1</v>
      </c>
      <c r="EU7" s="2">
        <v>0</v>
      </c>
      <c r="EV7" s="2">
        <v>0</v>
      </c>
      <c r="EW7" s="2">
        <v>0</v>
      </c>
      <c r="EX7" s="2">
        <v>0</v>
      </c>
      <c r="EY7" s="2">
        <v>0</v>
      </c>
      <c r="EZ7" s="2">
        <v>0</v>
      </c>
      <c r="FB7" s="1" t="s">
        <v>1154</v>
      </c>
      <c r="GI7" s="1" t="s">
        <v>2120</v>
      </c>
      <c r="GJ7" s="2">
        <v>0</v>
      </c>
      <c r="GK7" s="2">
        <v>1</v>
      </c>
      <c r="GL7" s="2">
        <v>1</v>
      </c>
      <c r="GM7" s="2">
        <v>0</v>
      </c>
      <c r="GN7" s="2">
        <v>1</v>
      </c>
      <c r="GO7" s="2">
        <v>1</v>
      </c>
      <c r="GP7" s="2">
        <v>1</v>
      </c>
      <c r="GQ7" s="2">
        <v>1</v>
      </c>
      <c r="GR7" s="2">
        <v>1</v>
      </c>
      <c r="GS7" s="2">
        <v>0</v>
      </c>
      <c r="GT7" s="2">
        <v>1</v>
      </c>
      <c r="GU7" s="2">
        <v>0</v>
      </c>
      <c r="GV7" s="2">
        <v>0</v>
      </c>
      <c r="AVT7" s="1">
        <v>129364571</v>
      </c>
      <c r="AVU7" s="1" t="s">
        <v>2121</v>
      </c>
      <c r="AVW7" s="1">
        <v>128</v>
      </c>
      <c r="AVX7" s="56"/>
      <c r="AVY7" s="56"/>
      <c r="AVZ7" s="56"/>
      <c r="AWA7" s="56"/>
      <c r="AWB7" s="56"/>
      <c r="AWC7" s="56"/>
      <c r="AWD7" s="56"/>
      <c r="AWE7" s="56"/>
      <c r="AWF7" s="56"/>
      <c r="AWG7" s="56"/>
      <c r="AWH7" s="56"/>
      <c r="AWI7" s="56"/>
      <c r="AWJ7" s="56"/>
      <c r="AWK7" s="56"/>
      <c r="AWL7" s="56"/>
      <c r="AWM7" s="56"/>
      <c r="AWN7" s="56"/>
      <c r="AWO7" s="56"/>
      <c r="AWP7" s="56"/>
      <c r="AWQ7" s="56"/>
      <c r="AWR7" s="56"/>
      <c r="AWS7" s="56"/>
      <c r="AWT7" s="56"/>
      <c r="AWU7" s="56"/>
      <c r="AWV7" s="56"/>
      <c r="AWW7" s="56"/>
      <c r="AWX7" s="56"/>
      <c r="AWY7" s="56"/>
      <c r="AWZ7" s="56"/>
      <c r="AXA7" s="56"/>
      <c r="AXB7" s="56"/>
      <c r="AXC7" s="56"/>
      <c r="AXD7" s="56"/>
      <c r="AXE7" s="56"/>
      <c r="AXF7" s="56"/>
      <c r="AXG7" s="56"/>
      <c r="AXH7" s="56"/>
      <c r="AXI7" s="56"/>
      <c r="AXJ7" s="56"/>
      <c r="AXK7" s="56"/>
      <c r="AXL7" s="56"/>
      <c r="AXM7" s="56"/>
    </row>
    <row r="8" spans="1:1313" x14ac:dyDescent="0.3">
      <c r="A8" s="1" t="s">
        <v>2122</v>
      </c>
      <c r="B8" s="1" t="s">
        <v>2123</v>
      </c>
      <c r="C8" s="1" t="s">
        <v>2124</v>
      </c>
      <c r="D8" s="1" t="s">
        <v>1638</v>
      </c>
      <c r="E8" s="1" t="s">
        <v>2125</v>
      </c>
      <c r="F8" s="1" t="s">
        <v>1638</v>
      </c>
      <c r="I8" s="1" t="s">
        <v>2080</v>
      </c>
      <c r="J8" s="1" t="s">
        <v>2081</v>
      </c>
      <c r="K8" s="1" t="s">
        <v>2081</v>
      </c>
      <c r="N8" s="1" t="s">
        <v>1152</v>
      </c>
      <c r="O8" s="2">
        <v>1</v>
      </c>
      <c r="P8" s="2">
        <v>0</v>
      </c>
      <c r="Q8" s="2">
        <v>0</v>
      </c>
      <c r="R8" s="2">
        <v>0</v>
      </c>
      <c r="S8" s="2">
        <v>0</v>
      </c>
      <c r="U8" s="1" t="s">
        <v>1654</v>
      </c>
      <c r="W8" s="1" t="s">
        <v>1155</v>
      </c>
      <c r="X8" s="1" t="s">
        <v>1155</v>
      </c>
      <c r="AN8" s="1" t="s">
        <v>1179</v>
      </c>
      <c r="AO8" s="2">
        <v>40</v>
      </c>
      <c r="AP8" s="1" t="s">
        <v>1386</v>
      </c>
      <c r="AR8" s="1" t="s">
        <v>1642</v>
      </c>
      <c r="AS8" s="1" t="s">
        <v>1655</v>
      </c>
      <c r="AT8" s="1" t="s">
        <v>1154</v>
      </c>
      <c r="BO8" s="1" t="s">
        <v>1878</v>
      </c>
      <c r="BP8" s="2">
        <v>1</v>
      </c>
      <c r="BQ8" s="2">
        <v>0</v>
      </c>
      <c r="BR8" s="2">
        <v>0</v>
      </c>
      <c r="BS8" s="2">
        <v>0</v>
      </c>
      <c r="BT8" s="2">
        <v>0</v>
      </c>
      <c r="BU8" s="2">
        <v>1</v>
      </c>
      <c r="BV8" s="2">
        <v>0</v>
      </c>
      <c r="BW8" s="2">
        <v>0</v>
      </c>
      <c r="BX8" s="2">
        <v>0</v>
      </c>
      <c r="BY8" s="2">
        <v>0</v>
      </c>
      <c r="BZ8" s="2">
        <v>0</v>
      </c>
      <c r="CA8" s="2">
        <v>0</v>
      </c>
      <c r="CC8" s="1" t="s">
        <v>1154</v>
      </c>
      <c r="DQ8" s="1" t="s">
        <v>1167</v>
      </c>
      <c r="DR8" s="2">
        <v>0</v>
      </c>
      <c r="DS8" s="2">
        <v>1</v>
      </c>
      <c r="DT8" s="2">
        <v>0</v>
      </c>
      <c r="DU8" s="2">
        <v>0</v>
      </c>
      <c r="DV8" s="2">
        <v>0</v>
      </c>
      <c r="DX8" s="1" t="s">
        <v>1928</v>
      </c>
      <c r="DY8" s="2">
        <v>0</v>
      </c>
      <c r="DZ8" s="2">
        <v>0</v>
      </c>
      <c r="EA8" s="2">
        <v>1</v>
      </c>
      <c r="EB8" s="2">
        <v>0</v>
      </c>
      <c r="EC8" s="2">
        <v>0</v>
      </c>
      <c r="ED8" s="2">
        <v>0</v>
      </c>
      <c r="EE8" s="2">
        <v>0</v>
      </c>
      <c r="EF8" s="2">
        <v>0</v>
      </c>
      <c r="EG8" s="2">
        <v>0</v>
      </c>
      <c r="EH8" s="2">
        <v>0</v>
      </c>
      <c r="EI8" s="2">
        <v>0</v>
      </c>
      <c r="EJ8" s="2">
        <v>0</v>
      </c>
      <c r="EK8" s="2">
        <v>0</v>
      </c>
      <c r="EM8" s="1" t="s">
        <v>2097</v>
      </c>
      <c r="EN8" s="2">
        <v>0</v>
      </c>
      <c r="EO8" s="2">
        <v>0</v>
      </c>
      <c r="EP8" s="2">
        <v>0</v>
      </c>
      <c r="EQ8" s="2">
        <v>0</v>
      </c>
      <c r="ER8" s="2">
        <v>1</v>
      </c>
      <c r="ES8" s="2">
        <v>0</v>
      </c>
      <c r="ET8" s="2">
        <v>1</v>
      </c>
      <c r="EU8" s="2">
        <v>0</v>
      </c>
      <c r="EV8" s="2">
        <v>0</v>
      </c>
      <c r="EW8" s="2">
        <v>0</v>
      </c>
      <c r="EX8" s="2">
        <v>0</v>
      </c>
      <c r="EY8" s="2">
        <v>0</v>
      </c>
      <c r="EZ8" s="2">
        <v>0</v>
      </c>
      <c r="FB8" s="1" t="s">
        <v>1154</v>
      </c>
      <c r="GI8" s="1" t="s">
        <v>1947</v>
      </c>
      <c r="GJ8" s="2">
        <v>0</v>
      </c>
      <c r="GK8" s="2">
        <v>0</v>
      </c>
      <c r="GL8" s="2">
        <v>0</v>
      </c>
      <c r="GM8" s="2">
        <v>0</v>
      </c>
      <c r="GN8" s="2">
        <v>1</v>
      </c>
      <c r="GO8" s="2">
        <v>0</v>
      </c>
      <c r="GP8" s="2">
        <v>0</v>
      </c>
      <c r="GQ8" s="2">
        <v>0</v>
      </c>
      <c r="GR8" s="2">
        <v>0</v>
      </c>
      <c r="GS8" s="2">
        <v>0</v>
      </c>
      <c r="GT8" s="2">
        <v>0</v>
      </c>
      <c r="GU8" s="2">
        <v>0</v>
      </c>
      <c r="GV8" s="2">
        <v>0</v>
      </c>
      <c r="AVT8" s="1">
        <v>129365015</v>
      </c>
      <c r="AVU8" s="1" t="s">
        <v>2126</v>
      </c>
      <c r="AVW8" s="1">
        <v>129</v>
      </c>
      <c r="AVX8" s="56"/>
      <c r="AVY8" s="56"/>
      <c r="AVZ8" s="56"/>
      <c r="AWA8" s="56"/>
      <c r="AWB8" s="56"/>
      <c r="AWC8" s="56"/>
      <c r="AWD8" s="56"/>
      <c r="AWE8" s="56"/>
      <c r="AWF8" s="56"/>
      <c r="AWG8" s="56"/>
      <c r="AWH8" s="56"/>
      <c r="AWI8" s="56"/>
      <c r="AWJ8" s="56"/>
      <c r="AWK8" s="56"/>
      <c r="AWL8" s="56"/>
      <c r="AWM8" s="56"/>
      <c r="AWN8" s="56"/>
      <c r="AWO8" s="56"/>
      <c r="AWP8" s="56"/>
      <c r="AWQ8" s="56"/>
      <c r="AWR8" s="56"/>
      <c r="AWS8" s="56"/>
      <c r="AWT8" s="56"/>
      <c r="AWU8" s="56"/>
      <c r="AWV8" s="56"/>
      <c r="AWW8" s="56"/>
      <c r="AWX8" s="56"/>
      <c r="AWY8" s="56"/>
      <c r="AWZ8" s="56"/>
      <c r="AXA8" s="56"/>
      <c r="AXB8" s="56"/>
      <c r="AXC8" s="56"/>
      <c r="AXD8" s="56"/>
      <c r="AXE8" s="56"/>
      <c r="AXF8" s="56"/>
      <c r="AXG8" s="56"/>
      <c r="AXH8" s="56"/>
      <c r="AXI8" s="56"/>
      <c r="AXJ8" s="56"/>
      <c r="AXK8" s="56"/>
      <c r="AXL8" s="56"/>
      <c r="AXM8" s="56"/>
    </row>
    <row r="9" spans="1:1313" x14ac:dyDescent="0.3">
      <c r="A9" s="1" t="s">
        <v>2127</v>
      </c>
      <c r="B9" s="1" t="s">
        <v>2128</v>
      </c>
      <c r="C9" s="1" t="s">
        <v>2129</v>
      </c>
      <c r="D9" s="1" t="s">
        <v>2078</v>
      </c>
      <c r="E9" s="1" t="s">
        <v>2125</v>
      </c>
      <c r="F9" s="1" t="s">
        <v>2078</v>
      </c>
      <c r="I9" s="1" t="s">
        <v>2080</v>
      </c>
      <c r="J9" s="1" t="s">
        <v>2081</v>
      </c>
      <c r="K9" s="1" t="s">
        <v>2081</v>
      </c>
      <c r="N9" s="1" t="s">
        <v>1152</v>
      </c>
      <c r="O9" s="2">
        <v>1</v>
      </c>
      <c r="P9" s="2">
        <v>0</v>
      </c>
      <c r="Q9" s="2">
        <v>0</v>
      </c>
      <c r="R9" s="2">
        <v>0</v>
      </c>
      <c r="S9" s="2">
        <v>0</v>
      </c>
      <c r="U9" s="1" t="s">
        <v>1654</v>
      </c>
      <c r="W9" s="1" t="s">
        <v>1154</v>
      </c>
      <c r="X9" s="1" t="s">
        <v>1155</v>
      </c>
      <c r="AN9" s="1" t="s">
        <v>1179</v>
      </c>
      <c r="AO9" s="2">
        <v>400</v>
      </c>
      <c r="AP9" s="1" t="s">
        <v>1871</v>
      </c>
      <c r="AR9" s="1" t="s">
        <v>1649</v>
      </c>
      <c r="AS9" s="1" t="s">
        <v>1163</v>
      </c>
      <c r="AT9" s="1" t="s">
        <v>1154</v>
      </c>
      <c r="BO9" s="1" t="s">
        <v>1184</v>
      </c>
      <c r="BP9" s="2">
        <v>1</v>
      </c>
      <c r="BQ9" s="2">
        <v>0</v>
      </c>
      <c r="BR9" s="2">
        <v>0</v>
      </c>
      <c r="BS9" s="2">
        <v>0</v>
      </c>
      <c r="BT9" s="2">
        <v>0</v>
      </c>
      <c r="BU9" s="2">
        <v>0</v>
      </c>
      <c r="BV9" s="2">
        <v>0</v>
      </c>
      <c r="BW9" s="2">
        <v>0</v>
      </c>
      <c r="BX9" s="2">
        <v>0</v>
      </c>
      <c r="BY9" s="2">
        <v>0</v>
      </c>
      <c r="BZ9" s="2">
        <v>0</v>
      </c>
      <c r="CA9" s="2">
        <v>0</v>
      </c>
      <c r="CC9" s="1" t="s">
        <v>1154</v>
      </c>
      <c r="DQ9" s="1" t="s">
        <v>1163</v>
      </c>
      <c r="DR9" s="2">
        <v>0</v>
      </c>
      <c r="DS9" s="2">
        <v>0</v>
      </c>
      <c r="DT9" s="2">
        <v>0</v>
      </c>
      <c r="DU9" s="2">
        <v>0</v>
      </c>
      <c r="DV9" s="2">
        <v>1</v>
      </c>
      <c r="DX9" s="1" t="s">
        <v>1982</v>
      </c>
      <c r="DY9" s="2">
        <v>0</v>
      </c>
      <c r="DZ9" s="2">
        <v>1</v>
      </c>
      <c r="EA9" s="2">
        <v>1</v>
      </c>
      <c r="EB9" s="2">
        <v>0</v>
      </c>
      <c r="EC9" s="2">
        <v>0</v>
      </c>
      <c r="ED9" s="2">
        <v>0</v>
      </c>
      <c r="EE9" s="2">
        <v>0</v>
      </c>
      <c r="EF9" s="2">
        <v>0</v>
      </c>
      <c r="EG9" s="2">
        <v>0</v>
      </c>
      <c r="EH9" s="2">
        <v>0</v>
      </c>
      <c r="EI9" s="2">
        <v>0</v>
      </c>
      <c r="EJ9" s="2">
        <v>0</v>
      </c>
      <c r="EK9" s="2">
        <v>0</v>
      </c>
      <c r="EM9" s="1" t="s">
        <v>1652</v>
      </c>
      <c r="EN9" s="2">
        <v>0</v>
      </c>
      <c r="EO9" s="2">
        <v>1</v>
      </c>
      <c r="EP9" s="2">
        <v>0</v>
      </c>
      <c r="EQ9" s="2">
        <v>0</v>
      </c>
      <c r="ER9" s="2">
        <v>1</v>
      </c>
      <c r="ES9" s="2">
        <v>0</v>
      </c>
      <c r="ET9" s="2">
        <v>0</v>
      </c>
      <c r="EU9" s="2">
        <v>0</v>
      </c>
      <c r="EV9" s="2">
        <v>0</v>
      </c>
      <c r="EW9" s="2">
        <v>0</v>
      </c>
      <c r="EX9" s="2">
        <v>0</v>
      </c>
      <c r="EY9" s="2">
        <v>0</v>
      </c>
      <c r="EZ9" s="2">
        <v>0</v>
      </c>
      <c r="FB9" s="1" t="s">
        <v>1154</v>
      </c>
      <c r="GI9" s="1" t="s">
        <v>2130</v>
      </c>
      <c r="GJ9" s="2">
        <v>0</v>
      </c>
      <c r="GK9" s="2">
        <v>0</v>
      </c>
      <c r="GL9" s="2">
        <v>0</v>
      </c>
      <c r="GM9" s="2">
        <v>0</v>
      </c>
      <c r="GN9" s="2">
        <v>1</v>
      </c>
      <c r="GO9" s="2">
        <v>0</v>
      </c>
      <c r="GP9" s="2">
        <v>1</v>
      </c>
      <c r="GQ9" s="2">
        <v>0</v>
      </c>
      <c r="GR9" s="2">
        <v>1</v>
      </c>
      <c r="GS9" s="2">
        <v>0</v>
      </c>
      <c r="GT9" s="2">
        <v>0</v>
      </c>
      <c r="GU9" s="2">
        <v>0</v>
      </c>
      <c r="GV9" s="2">
        <v>0</v>
      </c>
      <c r="AVT9" s="1">
        <v>129365479</v>
      </c>
      <c r="AVU9" s="1" t="s">
        <v>2131</v>
      </c>
      <c r="AVW9" s="1">
        <v>130</v>
      </c>
      <c r="AVX9" s="56"/>
      <c r="AVY9" s="56"/>
      <c r="AVZ9" s="56"/>
      <c r="AWA9" s="56"/>
      <c r="AWB9" s="56"/>
      <c r="AWC9" s="56"/>
      <c r="AWD9" s="56"/>
      <c r="AWE9" s="56"/>
      <c r="AWF9" s="56"/>
      <c r="AWG9" s="56"/>
      <c r="AWH9" s="56"/>
      <c r="AWI9" s="56"/>
      <c r="AWJ9" s="56"/>
      <c r="AWK9" s="56"/>
      <c r="AWL9" s="56"/>
      <c r="AWM9" s="56"/>
      <c r="AWN9" s="56"/>
      <c r="AWO9" s="56"/>
      <c r="AWP9" s="56"/>
      <c r="AWQ9" s="56"/>
      <c r="AWR9" s="56"/>
      <c r="AWS9" s="56"/>
      <c r="AWT9" s="56"/>
      <c r="AWU9" s="56"/>
      <c r="AWV9" s="56"/>
      <c r="AWW9" s="56"/>
      <c r="AWX9" s="56"/>
      <c r="AWY9" s="56"/>
      <c r="AWZ9" s="56"/>
      <c r="AXA9" s="56"/>
      <c r="AXB9" s="56"/>
      <c r="AXC9" s="56"/>
      <c r="AXD9" s="56"/>
      <c r="AXE9" s="56"/>
      <c r="AXF9" s="56"/>
      <c r="AXG9" s="56"/>
      <c r="AXH9" s="56"/>
      <c r="AXI9" s="56"/>
      <c r="AXJ9" s="56"/>
      <c r="AXK9" s="56"/>
      <c r="AXL9" s="56"/>
      <c r="AXM9" s="56"/>
    </row>
    <row r="10" spans="1:1313" x14ac:dyDescent="0.3">
      <c r="A10" s="1" t="s">
        <v>2132</v>
      </c>
      <c r="B10" s="1" t="s">
        <v>2133</v>
      </c>
      <c r="C10" s="1" t="s">
        <v>2134</v>
      </c>
      <c r="D10" s="1" t="s">
        <v>2078</v>
      </c>
      <c r="E10" s="1" t="s">
        <v>2125</v>
      </c>
      <c r="F10" s="1" t="s">
        <v>2078</v>
      </c>
      <c r="I10" s="1" t="s">
        <v>2080</v>
      </c>
      <c r="J10" s="1" t="s">
        <v>2081</v>
      </c>
      <c r="K10" s="1" t="s">
        <v>2081</v>
      </c>
      <c r="N10" s="1" t="s">
        <v>1152</v>
      </c>
      <c r="O10" s="2">
        <v>1</v>
      </c>
      <c r="P10" s="2">
        <v>0</v>
      </c>
      <c r="Q10" s="2">
        <v>0</v>
      </c>
      <c r="R10" s="2">
        <v>0</v>
      </c>
      <c r="S10" s="2">
        <v>0</v>
      </c>
      <c r="U10" s="1" t="s">
        <v>1654</v>
      </c>
      <c r="W10" s="1" t="s">
        <v>1155</v>
      </c>
      <c r="X10" s="1" t="s">
        <v>1640</v>
      </c>
      <c r="Y10" s="1" t="s">
        <v>1181</v>
      </c>
      <c r="AA10" s="1" t="s">
        <v>1893</v>
      </c>
      <c r="AN10" s="1" t="s">
        <v>1179</v>
      </c>
      <c r="AO10" s="2">
        <v>700</v>
      </c>
      <c r="AP10" s="1" t="s">
        <v>1871</v>
      </c>
      <c r="AR10" s="1" t="s">
        <v>1642</v>
      </c>
      <c r="AS10" s="1" t="s">
        <v>1163</v>
      </c>
      <c r="AT10" s="1" t="s">
        <v>1155</v>
      </c>
      <c r="AU10" s="1" t="s">
        <v>1164</v>
      </c>
      <c r="BF10" s="1" t="s">
        <v>1948</v>
      </c>
      <c r="BG10" s="2">
        <v>0</v>
      </c>
      <c r="BH10" s="2">
        <v>0</v>
      </c>
      <c r="BI10" s="2">
        <v>1</v>
      </c>
      <c r="BJ10" s="2">
        <v>0</v>
      </c>
      <c r="BK10" s="2">
        <v>0</v>
      </c>
      <c r="BL10" s="2">
        <v>0</v>
      </c>
      <c r="BM10" s="2">
        <v>0</v>
      </c>
      <c r="BO10" s="1" t="s">
        <v>1157</v>
      </c>
      <c r="BP10" s="2">
        <v>0</v>
      </c>
      <c r="BQ10" s="2">
        <v>0</v>
      </c>
      <c r="BR10" s="2">
        <v>0</v>
      </c>
      <c r="BS10" s="2">
        <v>0</v>
      </c>
      <c r="BT10" s="2">
        <v>0</v>
      </c>
      <c r="BU10" s="2">
        <v>1</v>
      </c>
      <c r="BV10" s="2">
        <v>0</v>
      </c>
      <c r="BW10" s="2">
        <v>0</v>
      </c>
      <c r="BX10" s="2">
        <v>0</v>
      </c>
      <c r="BY10" s="2">
        <v>0</v>
      </c>
      <c r="BZ10" s="2">
        <v>0</v>
      </c>
      <c r="CA10" s="2">
        <v>0</v>
      </c>
      <c r="CC10" s="1" t="s">
        <v>1154</v>
      </c>
      <c r="DQ10" s="1" t="s">
        <v>1163</v>
      </c>
      <c r="DR10" s="2">
        <v>0</v>
      </c>
      <c r="DS10" s="2">
        <v>0</v>
      </c>
      <c r="DT10" s="2">
        <v>0</v>
      </c>
      <c r="DU10" s="2">
        <v>0</v>
      </c>
      <c r="DV10" s="2">
        <v>1</v>
      </c>
      <c r="DX10" s="1" t="s">
        <v>1950</v>
      </c>
      <c r="DY10" s="2">
        <v>0</v>
      </c>
      <c r="DZ10" s="2">
        <v>1</v>
      </c>
      <c r="EA10" s="2">
        <v>0</v>
      </c>
      <c r="EB10" s="2">
        <v>0</v>
      </c>
      <c r="EC10" s="2">
        <v>0</v>
      </c>
      <c r="ED10" s="2">
        <v>0</v>
      </c>
      <c r="EE10" s="2">
        <v>0</v>
      </c>
      <c r="EF10" s="2">
        <v>0</v>
      </c>
      <c r="EG10" s="2">
        <v>1</v>
      </c>
      <c r="EH10" s="2">
        <v>0</v>
      </c>
      <c r="EI10" s="2">
        <v>0</v>
      </c>
      <c r="EJ10" s="2">
        <v>0</v>
      </c>
      <c r="EK10" s="2">
        <v>1</v>
      </c>
      <c r="EM10" s="1" t="s">
        <v>2135</v>
      </c>
      <c r="EN10" s="2">
        <v>0</v>
      </c>
      <c r="EO10" s="2">
        <v>0</v>
      </c>
      <c r="EP10" s="2">
        <v>0</v>
      </c>
      <c r="EQ10" s="2">
        <v>1</v>
      </c>
      <c r="ER10" s="2">
        <v>1</v>
      </c>
      <c r="ES10" s="2">
        <v>0</v>
      </c>
      <c r="ET10" s="2">
        <v>0</v>
      </c>
      <c r="EU10" s="2">
        <v>0</v>
      </c>
      <c r="EV10" s="2">
        <v>0</v>
      </c>
      <c r="EW10" s="2">
        <v>0</v>
      </c>
      <c r="EX10" s="2">
        <v>0</v>
      </c>
      <c r="EY10" s="2">
        <v>0</v>
      </c>
      <c r="EZ10" s="2">
        <v>0</v>
      </c>
      <c r="FB10" s="1" t="s">
        <v>1154</v>
      </c>
      <c r="GI10" s="1" t="s">
        <v>2136</v>
      </c>
      <c r="GJ10" s="2">
        <v>0</v>
      </c>
      <c r="GK10" s="2">
        <v>0</v>
      </c>
      <c r="GL10" s="2">
        <v>1</v>
      </c>
      <c r="GM10" s="2">
        <v>0</v>
      </c>
      <c r="GN10" s="2">
        <v>0</v>
      </c>
      <c r="GO10" s="2">
        <v>0</v>
      </c>
      <c r="GP10" s="2">
        <v>1</v>
      </c>
      <c r="GQ10" s="2">
        <v>0</v>
      </c>
      <c r="GR10" s="2">
        <v>1</v>
      </c>
      <c r="GS10" s="2">
        <v>0</v>
      </c>
      <c r="GT10" s="2">
        <v>0</v>
      </c>
      <c r="GU10" s="2">
        <v>0</v>
      </c>
      <c r="GV10" s="2">
        <v>0</v>
      </c>
      <c r="AVT10" s="1">
        <v>129366004</v>
      </c>
      <c r="AVU10" s="1" t="s">
        <v>2137</v>
      </c>
      <c r="AVW10" s="1">
        <v>131</v>
      </c>
      <c r="AVX10" s="56"/>
      <c r="AVY10" s="56"/>
      <c r="AVZ10" s="56"/>
      <c r="AWA10" s="56"/>
      <c r="AWB10" s="56"/>
      <c r="AWC10" s="56"/>
      <c r="AWD10" s="56"/>
      <c r="AWE10" s="56"/>
      <c r="AWF10" s="56"/>
      <c r="AWG10" s="56"/>
      <c r="AWH10" s="56"/>
      <c r="AWI10" s="56"/>
      <c r="AWJ10" s="56"/>
      <c r="AWK10" s="56"/>
      <c r="AWL10" s="56"/>
      <c r="AWM10" s="56"/>
      <c r="AWN10" s="56"/>
      <c r="AWO10" s="56"/>
      <c r="AWP10" s="56"/>
      <c r="AWQ10" s="56"/>
      <c r="AWR10" s="56"/>
      <c r="AWS10" s="56"/>
      <c r="AWT10" s="56"/>
      <c r="AWU10" s="56"/>
      <c r="AWV10" s="56"/>
      <c r="AWW10" s="56"/>
      <c r="AWX10" s="56"/>
      <c r="AWY10" s="56"/>
      <c r="AWZ10" s="56"/>
      <c r="AXA10" s="56"/>
      <c r="AXB10" s="56"/>
      <c r="AXC10" s="56"/>
      <c r="AXD10" s="56"/>
      <c r="AXE10" s="56"/>
      <c r="AXF10" s="56"/>
      <c r="AXG10" s="56"/>
      <c r="AXH10" s="56"/>
      <c r="AXI10" s="56"/>
      <c r="AXJ10" s="56"/>
      <c r="AXK10" s="56"/>
      <c r="AXL10" s="56"/>
      <c r="AXM10" s="56"/>
    </row>
    <row r="11" spans="1:1313" x14ac:dyDescent="0.3">
      <c r="A11" s="1" t="s">
        <v>2138</v>
      </c>
      <c r="B11" s="1" t="s">
        <v>2139</v>
      </c>
      <c r="C11" s="1" t="s">
        <v>2140</v>
      </c>
      <c r="D11" s="1" t="s">
        <v>2078</v>
      </c>
      <c r="E11" s="1" t="s">
        <v>2125</v>
      </c>
      <c r="F11" s="1" t="s">
        <v>2078</v>
      </c>
      <c r="I11" s="1" t="s">
        <v>2080</v>
      </c>
      <c r="J11" s="1" t="s">
        <v>2081</v>
      </c>
      <c r="K11" s="1" t="s">
        <v>2081</v>
      </c>
      <c r="N11" s="1" t="s">
        <v>1152</v>
      </c>
      <c r="O11" s="2">
        <v>1</v>
      </c>
      <c r="P11" s="2">
        <v>0</v>
      </c>
      <c r="Q11" s="2">
        <v>0</v>
      </c>
      <c r="R11" s="2">
        <v>0</v>
      </c>
      <c r="S11" s="2">
        <v>0</v>
      </c>
      <c r="U11" s="1" t="s">
        <v>1654</v>
      </c>
      <c r="W11" s="1" t="s">
        <v>1155</v>
      </c>
      <c r="X11" s="1" t="s">
        <v>1154</v>
      </c>
      <c r="AB11" s="1" t="s">
        <v>1955</v>
      </c>
      <c r="AC11" s="2">
        <v>0</v>
      </c>
      <c r="AD11" s="2">
        <v>0</v>
      </c>
      <c r="AE11" s="2">
        <v>0</v>
      </c>
      <c r="AF11" s="2">
        <v>0</v>
      </c>
      <c r="AG11" s="2">
        <v>0</v>
      </c>
      <c r="AH11" s="2">
        <v>1</v>
      </c>
      <c r="AI11" s="2">
        <v>0</v>
      </c>
      <c r="AJ11" s="2">
        <v>0</v>
      </c>
      <c r="AK11" s="2">
        <v>0</v>
      </c>
      <c r="AM11" s="1" t="s">
        <v>1915</v>
      </c>
      <c r="BO11" s="1" t="s">
        <v>1157</v>
      </c>
      <c r="BP11" s="2">
        <v>0</v>
      </c>
      <c r="BQ11" s="2">
        <v>0</v>
      </c>
      <c r="BR11" s="2">
        <v>0</v>
      </c>
      <c r="BS11" s="2">
        <v>0</v>
      </c>
      <c r="BT11" s="2">
        <v>0</v>
      </c>
      <c r="BU11" s="2">
        <v>1</v>
      </c>
      <c r="BV11" s="2">
        <v>0</v>
      </c>
      <c r="BW11" s="2">
        <v>0</v>
      </c>
      <c r="BX11" s="2">
        <v>0</v>
      </c>
      <c r="BY11" s="2">
        <v>0</v>
      </c>
      <c r="BZ11" s="2">
        <v>0</v>
      </c>
      <c r="CA11" s="2">
        <v>0</v>
      </c>
      <c r="FB11" s="1" t="s">
        <v>1154</v>
      </c>
      <c r="GI11" s="1" t="s">
        <v>1943</v>
      </c>
      <c r="GJ11" s="2">
        <v>0</v>
      </c>
      <c r="GK11" s="2">
        <v>1</v>
      </c>
      <c r="GL11" s="2">
        <v>0</v>
      </c>
      <c r="GM11" s="2">
        <v>0</v>
      </c>
      <c r="GN11" s="2">
        <v>1</v>
      </c>
      <c r="GO11" s="2">
        <v>0</v>
      </c>
      <c r="GP11" s="2">
        <v>1</v>
      </c>
      <c r="GQ11" s="2">
        <v>0</v>
      </c>
      <c r="GR11" s="2">
        <v>0</v>
      </c>
      <c r="GS11" s="2">
        <v>0</v>
      </c>
      <c r="GT11" s="2">
        <v>0</v>
      </c>
      <c r="GU11" s="2">
        <v>0</v>
      </c>
      <c r="GV11" s="2">
        <v>0</v>
      </c>
      <c r="AVT11" s="1">
        <v>129366339</v>
      </c>
      <c r="AVU11" s="1" t="s">
        <v>2141</v>
      </c>
      <c r="AVW11" s="1">
        <v>132</v>
      </c>
      <c r="AVX11" s="56"/>
      <c r="AVY11" s="56"/>
      <c r="AVZ11" s="56"/>
      <c r="AWA11" s="56"/>
      <c r="AWB11" s="56"/>
      <c r="AWC11" s="56"/>
      <c r="AWD11" s="56"/>
      <c r="AWE11" s="56"/>
      <c r="AWF11" s="56"/>
      <c r="AWG11" s="56"/>
      <c r="AWH11" s="56"/>
      <c r="AWI11" s="56"/>
      <c r="AWJ11" s="56"/>
      <c r="AWK11" s="56"/>
      <c r="AWL11" s="56"/>
      <c r="AWM11" s="56"/>
      <c r="AWN11" s="56"/>
      <c r="AWO11" s="56"/>
      <c r="AWP11" s="56"/>
      <c r="AWQ11" s="56"/>
      <c r="AWR11" s="56"/>
      <c r="AWS11" s="56"/>
      <c r="AWT11" s="56"/>
      <c r="AWU11" s="56"/>
      <c r="AWV11" s="56"/>
      <c r="AWW11" s="56"/>
      <c r="AWX11" s="56"/>
      <c r="AWY11" s="56"/>
      <c r="AWZ11" s="56"/>
      <c r="AXA11" s="56"/>
      <c r="AXB11" s="56"/>
      <c r="AXC11" s="56"/>
      <c r="AXD11" s="56"/>
      <c r="AXE11" s="56"/>
      <c r="AXF11" s="56"/>
      <c r="AXG11" s="56"/>
      <c r="AXH11" s="56"/>
      <c r="AXI11" s="56"/>
      <c r="AXJ11" s="56"/>
      <c r="AXK11" s="56"/>
      <c r="AXL11" s="56"/>
      <c r="AXM11" s="56"/>
    </row>
    <row r="12" spans="1:1313" x14ac:dyDescent="0.3">
      <c r="A12" s="1" t="s">
        <v>2142</v>
      </c>
      <c r="B12" s="1" t="s">
        <v>2143</v>
      </c>
      <c r="C12" s="1" t="s">
        <v>2144</v>
      </c>
      <c r="D12" s="1" t="s">
        <v>2078</v>
      </c>
      <c r="E12" s="1" t="s">
        <v>2125</v>
      </c>
      <c r="F12" s="1" t="s">
        <v>2078</v>
      </c>
      <c r="I12" s="1" t="s">
        <v>2080</v>
      </c>
      <c r="J12" s="1" t="s">
        <v>2081</v>
      </c>
      <c r="K12" s="1" t="s">
        <v>2081</v>
      </c>
      <c r="N12" s="1" t="s">
        <v>1152</v>
      </c>
      <c r="O12" s="2">
        <v>1</v>
      </c>
      <c r="P12" s="2">
        <v>0</v>
      </c>
      <c r="Q12" s="2">
        <v>0</v>
      </c>
      <c r="R12" s="2">
        <v>0</v>
      </c>
      <c r="S12" s="2">
        <v>0</v>
      </c>
      <c r="U12" s="1" t="s">
        <v>1654</v>
      </c>
      <c r="W12" s="1" t="s">
        <v>1155</v>
      </c>
      <c r="X12" s="1" t="s">
        <v>1155</v>
      </c>
      <c r="AN12" s="1" t="s">
        <v>1179</v>
      </c>
      <c r="AO12" s="2"/>
      <c r="AP12" s="1" t="s">
        <v>1386</v>
      </c>
      <c r="AR12" s="1" t="s">
        <v>1649</v>
      </c>
      <c r="AS12" s="1" t="s">
        <v>1163</v>
      </c>
      <c r="AT12" s="1" t="s">
        <v>1154</v>
      </c>
      <c r="BO12" s="1" t="s">
        <v>1175</v>
      </c>
      <c r="BP12" s="2">
        <v>0</v>
      </c>
      <c r="BQ12" s="2">
        <v>0</v>
      </c>
      <c r="BR12" s="2">
        <v>0</v>
      </c>
      <c r="BS12" s="2">
        <v>0</v>
      </c>
      <c r="BT12" s="2">
        <v>0</v>
      </c>
      <c r="BU12" s="2">
        <v>0</v>
      </c>
      <c r="BV12" s="2">
        <v>0</v>
      </c>
      <c r="BW12" s="2">
        <v>0</v>
      </c>
      <c r="BX12" s="2">
        <v>0</v>
      </c>
      <c r="BY12" s="2">
        <v>0</v>
      </c>
      <c r="BZ12" s="2">
        <v>0</v>
      </c>
      <c r="CA12" s="2">
        <v>1</v>
      </c>
      <c r="CC12" s="1" t="s">
        <v>1154</v>
      </c>
      <c r="DQ12" s="1" t="s">
        <v>1682</v>
      </c>
      <c r="DR12" s="2">
        <v>0</v>
      </c>
      <c r="DS12" s="2">
        <v>0</v>
      </c>
      <c r="DT12" s="2">
        <v>1</v>
      </c>
      <c r="DU12" s="2">
        <v>0</v>
      </c>
      <c r="DV12" s="2">
        <v>0</v>
      </c>
      <c r="DX12" s="1" t="s">
        <v>1985</v>
      </c>
      <c r="DY12" s="2">
        <v>0</v>
      </c>
      <c r="DZ12" s="2">
        <v>1</v>
      </c>
      <c r="EA12" s="2">
        <v>0</v>
      </c>
      <c r="EB12" s="2">
        <v>0</v>
      </c>
      <c r="EC12" s="2">
        <v>0</v>
      </c>
      <c r="ED12" s="2">
        <v>0</v>
      </c>
      <c r="EE12" s="2">
        <v>0</v>
      </c>
      <c r="EF12" s="2">
        <v>0</v>
      </c>
      <c r="EG12" s="2">
        <v>1</v>
      </c>
      <c r="EH12" s="2">
        <v>0</v>
      </c>
      <c r="EI12" s="2">
        <v>0</v>
      </c>
      <c r="EJ12" s="2">
        <v>0</v>
      </c>
      <c r="EK12" s="2">
        <v>0</v>
      </c>
      <c r="EM12" s="1" t="s">
        <v>2145</v>
      </c>
      <c r="EN12" s="2">
        <v>0</v>
      </c>
      <c r="EO12" s="2">
        <v>1</v>
      </c>
      <c r="EP12" s="2">
        <v>0</v>
      </c>
      <c r="EQ12" s="2">
        <v>0</v>
      </c>
      <c r="ER12" s="2">
        <v>1</v>
      </c>
      <c r="ES12" s="2">
        <v>0</v>
      </c>
      <c r="ET12" s="2">
        <v>0</v>
      </c>
      <c r="EU12" s="2">
        <v>0</v>
      </c>
      <c r="EV12" s="2">
        <v>1</v>
      </c>
      <c r="EW12" s="2">
        <v>0</v>
      </c>
      <c r="EX12" s="2">
        <v>0</v>
      </c>
      <c r="EY12" s="2">
        <v>0</v>
      </c>
      <c r="EZ12" s="2">
        <v>0</v>
      </c>
      <c r="FB12" s="1" t="s">
        <v>1154</v>
      </c>
      <c r="GI12" s="1" t="s">
        <v>1984</v>
      </c>
      <c r="GJ12" s="2">
        <v>0</v>
      </c>
      <c r="GK12" s="2">
        <v>0</v>
      </c>
      <c r="GL12" s="2">
        <v>0</v>
      </c>
      <c r="GM12" s="2">
        <v>0</v>
      </c>
      <c r="GN12" s="2">
        <v>1</v>
      </c>
      <c r="GO12" s="2">
        <v>0</v>
      </c>
      <c r="GP12" s="2">
        <v>1</v>
      </c>
      <c r="GQ12" s="2">
        <v>0</v>
      </c>
      <c r="GR12" s="2">
        <v>0</v>
      </c>
      <c r="GS12" s="2">
        <v>0</v>
      </c>
      <c r="GT12" s="2">
        <v>0</v>
      </c>
      <c r="GU12" s="2">
        <v>0</v>
      </c>
      <c r="GV12" s="2">
        <v>0</v>
      </c>
      <c r="AVT12" s="1">
        <v>129366506</v>
      </c>
      <c r="AVU12" s="1" t="s">
        <v>2146</v>
      </c>
      <c r="AVW12" s="1">
        <v>133</v>
      </c>
      <c r="AVX12" s="56"/>
      <c r="AVY12" s="56"/>
      <c r="AVZ12" s="56"/>
      <c r="AWA12" s="56"/>
      <c r="AWB12" s="56"/>
      <c r="AWC12" s="56"/>
      <c r="AWD12" s="56"/>
      <c r="AWE12" s="56"/>
      <c r="AWF12" s="56"/>
      <c r="AWG12" s="56"/>
      <c r="AWH12" s="56"/>
      <c r="AWI12" s="56"/>
      <c r="AWJ12" s="56"/>
      <c r="AWK12" s="56"/>
      <c r="AWL12" s="56"/>
      <c r="AWM12" s="56"/>
      <c r="AWN12" s="56"/>
      <c r="AWO12" s="56"/>
      <c r="AWP12" s="56"/>
      <c r="AWQ12" s="56"/>
      <c r="AWR12" s="56"/>
      <c r="AWS12" s="56"/>
      <c r="AWT12" s="56"/>
      <c r="AWU12" s="56"/>
      <c r="AWV12" s="56"/>
      <c r="AWW12" s="56"/>
      <c r="AWX12" s="56"/>
      <c r="AWY12" s="56"/>
      <c r="AWZ12" s="56"/>
      <c r="AXA12" s="56"/>
      <c r="AXB12" s="56"/>
      <c r="AXC12" s="56"/>
      <c r="AXD12" s="56"/>
      <c r="AXE12" s="56"/>
      <c r="AXF12" s="56"/>
      <c r="AXG12" s="56"/>
      <c r="AXH12" s="56"/>
      <c r="AXI12" s="56"/>
      <c r="AXJ12" s="56"/>
      <c r="AXK12" s="56"/>
      <c r="AXL12" s="56"/>
      <c r="AXM12" s="56"/>
    </row>
    <row r="13" spans="1:1313" x14ac:dyDescent="0.3">
      <c r="A13" s="1" t="s">
        <v>2147</v>
      </c>
      <c r="B13" s="1" t="s">
        <v>2148</v>
      </c>
      <c r="C13" s="1" t="s">
        <v>2149</v>
      </c>
      <c r="D13" s="1" t="s">
        <v>2088</v>
      </c>
      <c r="E13" s="1" t="s">
        <v>2125</v>
      </c>
      <c r="F13" s="1" t="s">
        <v>2088</v>
      </c>
      <c r="I13" s="1" t="s">
        <v>2080</v>
      </c>
      <c r="J13" s="1" t="s">
        <v>2081</v>
      </c>
      <c r="K13" s="1" t="s">
        <v>2081</v>
      </c>
      <c r="N13" s="1" t="s">
        <v>1152</v>
      </c>
      <c r="O13" s="2">
        <v>1</v>
      </c>
      <c r="P13" s="2">
        <v>0</v>
      </c>
      <c r="Q13" s="2">
        <v>0</v>
      </c>
      <c r="R13" s="2">
        <v>0</v>
      </c>
      <c r="S13" s="2">
        <v>0</v>
      </c>
      <c r="U13" s="1" t="s">
        <v>1654</v>
      </c>
      <c r="W13" s="1" t="s">
        <v>1154</v>
      </c>
      <c r="X13" s="1" t="s">
        <v>1155</v>
      </c>
      <c r="AN13" s="1" t="s">
        <v>1187</v>
      </c>
      <c r="AO13" s="2">
        <v>200</v>
      </c>
      <c r="AP13" s="1" t="s">
        <v>1944</v>
      </c>
      <c r="AR13" s="1" t="s">
        <v>1649</v>
      </c>
      <c r="AS13" s="1" t="s">
        <v>1163</v>
      </c>
      <c r="AT13" s="1" t="s">
        <v>1155</v>
      </c>
      <c r="AU13" s="1" t="s">
        <v>1156</v>
      </c>
      <c r="AV13" s="1" t="s">
        <v>1186</v>
      </c>
      <c r="AW13" s="2">
        <v>1</v>
      </c>
      <c r="AX13" s="2">
        <v>0</v>
      </c>
      <c r="AY13" s="2">
        <v>0</v>
      </c>
      <c r="AZ13" s="2">
        <v>0</v>
      </c>
      <c r="BA13" s="2">
        <v>0</v>
      </c>
      <c r="BB13" s="2">
        <v>0</v>
      </c>
      <c r="BC13" s="2">
        <v>0</v>
      </c>
      <c r="BD13" s="2">
        <v>0</v>
      </c>
      <c r="BO13" s="1" t="s">
        <v>1157</v>
      </c>
      <c r="BP13" s="2">
        <v>0</v>
      </c>
      <c r="BQ13" s="2">
        <v>0</v>
      </c>
      <c r="BR13" s="2">
        <v>0</v>
      </c>
      <c r="BS13" s="2">
        <v>0</v>
      </c>
      <c r="BT13" s="2">
        <v>0</v>
      </c>
      <c r="BU13" s="2">
        <v>1</v>
      </c>
      <c r="BV13" s="2">
        <v>0</v>
      </c>
      <c r="BW13" s="2">
        <v>0</v>
      </c>
      <c r="BX13" s="2">
        <v>0</v>
      </c>
      <c r="BY13" s="2">
        <v>0</v>
      </c>
      <c r="BZ13" s="2">
        <v>0</v>
      </c>
      <c r="CA13" s="2">
        <v>0</v>
      </c>
      <c r="CC13" s="1" t="s">
        <v>1154</v>
      </c>
      <c r="DQ13" s="1" t="s">
        <v>1167</v>
      </c>
      <c r="DR13" s="2">
        <v>0</v>
      </c>
      <c r="DS13" s="2">
        <v>1</v>
      </c>
      <c r="DT13" s="2">
        <v>0</v>
      </c>
      <c r="DU13" s="2">
        <v>0</v>
      </c>
      <c r="DV13" s="2">
        <v>0</v>
      </c>
      <c r="DX13" s="1" t="s">
        <v>2150</v>
      </c>
      <c r="DY13" s="2">
        <v>0</v>
      </c>
      <c r="DZ13" s="2">
        <v>1</v>
      </c>
      <c r="EA13" s="2">
        <v>1</v>
      </c>
      <c r="EB13" s="2">
        <v>0</v>
      </c>
      <c r="EC13" s="2">
        <v>0</v>
      </c>
      <c r="ED13" s="2">
        <v>1</v>
      </c>
      <c r="EE13" s="2">
        <v>0</v>
      </c>
      <c r="EF13" s="2">
        <v>0</v>
      </c>
      <c r="EG13" s="2">
        <v>0</v>
      </c>
      <c r="EH13" s="2">
        <v>0</v>
      </c>
      <c r="EI13" s="2">
        <v>0</v>
      </c>
      <c r="EJ13" s="2">
        <v>0</v>
      </c>
      <c r="EK13" s="2">
        <v>0</v>
      </c>
      <c r="EM13" s="1" t="s">
        <v>2151</v>
      </c>
      <c r="EN13" s="2">
        <v>0</v>
      </c>
      <c r="EO13" s="2">
        <v>0</v>
      </c>
      <c r="EP13" s="2">
        <v>0</v>
      </c>
      <c r="EQ13" s="2">
        <v>1</v>
      </c>
      <c r="ER13" s="2">
        <v>1</v>
      </c>
      <c r="ES13" s="2">
        <v>0</v>
      </c>
      <c r="ET13" s="2">
        <v>1</v>
      </c>
      <c r="EU13" s="2">
        <v>0</v>
      </c>
      <c r="EV13" s="2">
        <v>0</v>
      </c>
      <c r="EW13" s="2">
        <v>0</v>
      </c>
      <c r="EX13" s="2">
        <v>0</v>
      </c>
      <c r="EY13" s="2">
        <v>0</v>
      </c>
      <c r="EZ13" s="2">
        <v>0</v>
      </c>
      <c r="FB13" s="1" t="s">
        <v>1154</v>
      </c>
      <c r="GI13" s="1" t="s">
        <v>2152</v>
      </c>
      <c r="GJ13" s="2">
        <v>0</v>
      </c>
      <c r="GK13" s="2">
        <v>1</v>
      </c>
      <c r="GL13" s="2">
        <v>0</v>
      </c>
      <c r="GM13" s="2">
        <v>0</v>
      </c>
      <c r="GN13" s="2">
        <v>1</v>
      </c>
      <c r="GO13" s="2">
        <v>0</v>
      </c>
      <c r="GP13" s="2">
        <v>1</v>
      </c>
      <c r="GQ13" s="2">
        <v>0</v>
      </c>
      <c r="GR13" s="2">
        <v>1</v>
      </c>
      <c r="GS13" s="2">
        <v>0</v>
      </c>
      <c r="GT13" s="2">
        <v>0</v>
      </c>
      <c r="GU13" s="2">
        <v>0</v>
      </c>
      <c r="GV13" s="2">
        <v>0</v>
      </c>
      <c r="AVT13" s="1">
        <v>129367092</v>
      </c>
      <c r="AVU13" s="1" t="s">
        <v>2153</v>
      </c>
      <c r="AVW13" s="1">
        <v>134</v>
      </c>
      <c r="AVX13" s="56"/>
      <c r="AVY13" s="56"/>
      <c r="AVZ13" s="56"/>
      <c r="AWA13" s="56"/>
      <c r="AWB13" s="56"/>
      <c r="AWC13" s="56"/>
      <c r="AWD13" s="56"/>
      <c r="AWE13" s="56"/>
      <c r="AWF13" s="56"/>
      <c r="AWG13" s="56"/>
      <c r="AWH13" s="56"/>
      <c r="AWI13" s="56"/>
      <c r="AWJ13" s="56"/>
      <c r="AWK13" s="56"/>
      <c r="AWL13" s="56"/>
      <c r="AWM13" s="56"/>
      <c r="AWN13" s="56"/>
      <c r="AWO13" s="56"/>
      <c r="AWP13" s="56"/>
      <c r="AWQ13" s="56"/>
      <c r="AWR13" s="56"/>
      <c r="AWS13" s="56"/>
      <c r="AWT13" s="56"/>
      <c r="AWU13" s="56"/>
      <c r="AWV13" s="56"/>
      <c r="AWW13" s="56"/>
      <c r="AWX13" s="56"/>
      <c r="AWY13" s="56"/>
      <c r="AWZ13" s="56"/>
      <c r="AXA13" s="56"/>
      <c r="AXB13" s="56"/>
      <c r="AXC13" s="56"/>
      <c r="AXD13" s="56"/>
      <c r="AXE13" s="56"/>
      <c r="AXF13" s="56"/>
      <c r="AXG13" s="56"/>
      <c r="AXH13" s="56"/>
      <c r="AXI13" s="56"/>
      <c r="AXJ13" s="56"/>
      <c r="AXK13" s="56"/>
      <c r="AXL13" s="56"/>
      <c r="AXM13" s="56"/>
    </row>
    <row r="14" spans="1:1313" x14ac:dyDescent="0.3">
      <c r="A14" s="1" t="s">
        <v>2154</v>
      </c>
      <c r="B14" s="1" t="s">
        <v>2155</v>
      </c>
      <c r="C14" s="1" t="s">
        <v>2156</v>
      </c>
      <c r="D14" s="1" t="s">
        <v>2088</v>
      </c>
      <c r="E14" s="1" t="s">
        <v>2125</v>
      </c>
      <c r="F14" s="1" t="s">
        <v>2088</v>
      </c>
      <c r="I14" s="1" t="s">
        <v>2080</v>
      </c>
      <c r="J14" s="1" t="s">
        <v>2081</v>
      </c>
      <c r="K14" s="1" t="s">
        <v>2081</v>
      </c>
      <c r="N14" s="1" t="s">
        <v>1152</v>
      </c>
      <c r="O14" s="2">
        <v>1</v>
      </c>
      <c r="P14" s="2">
        <v>0</v>
      </c>
      <c r="Q14" s="2">
        <v>0</v>
      </c>
      <c r="R14" s="2">
        <v>0</v>
      </c>
      <c r="S14" s="2">
        <v>0</v>
      </c>
      <c r="U14" s="1" t="s">
        <v>1654</v>
      </c>
      <c r="W14" s="1" t="s">
        <v>1155</v>
      </c>
      <c r="X14" s="1" t="s">
        <v>1154</v>
      </c>
      <c r="AB14" s="1" t="s">
        <v>1646</v>
      </c>
      <c r="AC14" s="2">
        <v>0</v>
      </c>
      <c r="AD14" s="2">
        <v>0</v>
      </c>
      <c r="AE14" s="2">
        <v>0</v>
      </c>
      <c r="AF14" s="2">
        <v>1</v>
      </c>
      <c r="AG14" s="2">
        <v>0</v>
      </c>
      <c r="AH14" s="2">
        <v>0</v>
      </c>
      <c r="AI14" s="2">
        <v>0</v>
      </c>
      <c r="AJ14" s="2">
        <v>0</v>
      </c>
      <c r="AK14" s="2">
        <v>0</v>
      </c>
      <c r="AM14" s="1" t="s">
        <v>1893</v>
      </c>
      <c r="BO14" s="1" t="s">
        <v>1962</v>
      </c>
      <c r="BP14" s="2">
        <v>0</v>
      </c>
      <c r="BQ14" s="2">
        <v>0</v>
      </c>
      <c r="BR14" s="2">
        <v>0</v>
      </c>
      <c r="BS14" s="2">
        <v>0</v>
      </c>
      <c r="BT14" s="2">
        <v>1</v>
      </c>
      <c r="BU14" s="2">
        <v>1</v>
      </c>
      <c r="BV14" s="2">
        <v>0</v>
      </c>
      <c r="BW14" s="2">
        <v>0</v>
      </c>
      <c r="BX14" s="2">
        <v>0</v>
      </c>
      <c r="BY14" s="2">
        <v>0</v>
      </c>
      <c r="BZ14" s="2">
        <v>0</v>
      </c>
      <c r="CA14" s="2">
        <v>0</v>
      </c>
      <c r="FB14" s="1" t="s">
        <v>1154</v>
      </c>
      <c r="GI14" s="1" t="s">
        <v>2157</v>
      </c>
      <c r="GJ14" s="2">
        <v>0</v>
      </c>
      <c r="GK14" s="2">
        <v>1</v>
      </c>
      <c r="GL14" s="2">
        <v>1</v>
      </c>
      <c r="GM14" s="2">
        <v>0</v>
      </c>
      <c r="GN14" s="2">
        <v>0</v>
      </c>
      <c r="GO14" s="2">
        <v>0</v>
      </c>
      <c r="GP14" s="2">
        <v>1</v>
      </c>
      <c r="GQ14" s="2">
        <v>1</v>
      </c>
      <c r="GR14" s="2">
        <v>0</v>
      </c>
      <c r="GS14" s="2">
        <v>0</v>
      </c>
      <c r="GT14" s="2">
        <v>0</v>
      </c>
      <c r="GU14" s="2">
        <v>0</v>
      </c>
      <c r="GV14" s="2">
        <v>0</v>
      </c>
      <c r="AVT14" s="1">
        <v>129367345</v>
      </c>
      <c r="AVU14" s="1" t="s">
        <v>2158</v>
      </c>
      <c r="AVW14" s="1">
        <v>135</v>
      </c>
      <c r="AVX14" s="56"/>
      <c r="AVY14" s="56"/>
      <c r="AVZ14" s="56"/>
      <c r="AWA14" s="56"/>
      <c r="AWB14" s="56"/>
      <c r="AWC14" s="56"/>
      <c r="AWD14" s="56"/>
      <c r="AWE14" s="56"/>
      <c r="AWF14" s="56"/>
      <c r="AWG14" s="56"/>
      <c r="AWH14" s="56"/>
      <c r="AWI14" s="56"/>
      <c r="AWJ14" s="56"/>
      <c r="AWK14" s="56"/>
      <c r="AWL14" s="56"/>
      <c r="AWM14" s="56"/>
      <c r="AWN14" s="56"/>
      <c r="AWO14" s="56"/>
      <c r="AWP14" s="56"/>
      <c r="AWQ14" s="56"/>
      <c r="AWR14" s="56"/>
      <c r="AWS14" s="56"/>
      <c r="AWT14" s="56"/>
      <c r="AWU14" s="56"/>
      <c r="AWV14" s="56"/>
      <c r="AWW14" s="56"/>
      <c r="AWX14" s="56"/>
      <c r="AWY14" s="56"/>
      <c r="AWZ14" s="56"/>
      <c r="AXA14" s="56"/>
      <c r="AXB14" s="56"/>
      <c r="AXC14" s="56"/>
      <c r="AXD14" s="56"/>
      <c r="AXE14" s="56"/>
      <c r="AXF14" s="56"/>
      <c r="AXG14" s="56"/>
      <c r="AXH14" s="56"/>
      <c r="AXI14" s="56"/>
      <c r="AXJ14" s="56"/>
      <c r="AXK14" s="56"/>
      <c r="AXL14" s="56"/>
      <c r="AXM14" s="56"/>
    </row>
    <row r="15" spans="1:1313" x14ac:dyDescent="0.3">
      <c r="A15" s="1" t="s">
        <v>2159</v>
      </c>
      <c r="B15" s="1" t="s">
        <v>2160</v>
      </c>
      <c r="C15" s="1" t="s">
        <v>2161</v>
      </c>
      <c r="D15" s="1" t="s">
        <v>2088</v>
      </c>
      <c r="E15" s="1" t="s">
        <v>2125</v>
      </c>
      <c r="F15" s="1" t="s">
        <v>2088</v>
      </c>
      <c r="I15" s="1" t="s">
        <v>2080</v>
      </c>
      <c r="J15" s="1" t="s">
        <v>2081</v>
      </c>
      <c r="K15" s="1" t="s">
        <v>2081</v>
      </c>
      <c r="N15" s="1" t="s">
        <v>1152</v>
      </c>
      <c r="O15" s="2">
        <v>1</v>
      </c>
      <c r="P15" s="2">
        <v>0</v>
      </c>
      <c r="Q15" s="2">
        <v>0</v>
      </c>
      <c r="R15" s="2">
        <v>0</v>
      </c>
      <c r="S15" s="2">
        <v>0</v>
      </c>
      <c r="U15" s="1" t="s">
        <v>1654</v>
      </c>
      <c r="W15" s="1" t="s">
        <v>1154</v>
      </c>
      <c r="X15" s="1" t="s">
        <v>1154</v>
      </c>
      <c r="AB15" s="1" t="s">
        <v>2162</v>
      </c>
      <c r="AC15" s="2">
        <v>0</v>
      </c>
      <c r="AD15" s="2">
        <v>0</v>
      </c>
      <c r="AE15" s="2">
        <v>0</v>
      </c>
      <c r="AF15" s="2">
        <v>1</v>
      </c>
      <c r="AG15" s="2">
        <v>0</v>
      </c>
      <c r="AH15" s="2">
        <v>0</v>
      </c>
      <c r="AI15" s="2">
        <v>1</v>
      </c>
      <c r="AJ15" s="2">
        <v>0</v>
      </c>
      <c r="AK15" s="2">
        <v>0</v>
      </c>
      <c r="AM15" s="1" t="s">
        <v>1637</v>
      </c>
      <c r="BO15" s="1" t="s">
        <v>1161</v>
      </c>
      <c r="BP15" s="2">
        <v>0</v>
      </c>
      <c r="BQ15" s="2">
        <v>0</v>
      </c>
      <c r="BR15" s="2">
        <v>0</v>
      </c>
      <c r="BS15" s="2">
        <v>0</v>
      </c>
      <c r="BT15" s="2">
        <v>0</v>
      </c>
      <c r="BU15" s="2">
        <v>0</v>
      </c>
      <c r="BV15" s="2">
        <v>0</v>
      </c>
      <c r="BW15" s="2">
        <v>1</v>
      </c>
      <c r="BX15" s="2">
        <v>0</v>
      </c>
      <c r="BY15" s="2">
        <v>0</v>
      </c>
      <c r="BZ15" s="2">
        <v>0</v>
      </c>
      <c r="CA15" s="2">
        <v>0</v>
      </c>
      <c r="FB15" s="1" t="s">
        <v>1154</v>
      </c>
      <c r="GI15" s="1" t="s">
        <v>2163</v>
      </c>
      <c r="GJ15" s="2">
        <v>0</v>
      </c>
      <c r="GK15" s="2">
        <v>0</v>
      </c>
      <c r="GL15" s="2">
        <v>1</v>
      </c>
      <c r="GM15" s="2">
        <v>0</v>
      </c>
      <c r="GN15" s="2">
        <v>1</v>
      </c>
      <c r="GO15" s="2">
        <v>0</v>
      </c>
      <c r="GP15" s="2">
        <v>1</v>
      </c>
      <c r="GQ15" s="2">
        <v>0</v>
      </c>
      <c r="GR15" s="2">
        <v>1</v>
      </c>
      <c r="GS15" s="2">
        <v>0</v>
      </c>
      <c r="GT15" s="2">
        <v>0</v>
      </c>
      <c r="GU15" s="2">
        <v>0</v>
      </c>
      <c r="GV15" s="2">
        <v>0</v>
      </c>
      <c r="AVT15" s="1">
        <v>129367681</v>
      </c>
      <c r="AVU15" s="1" t="s">
        <v>2164</v>
      </c>
      <c r="AVW15" s="1">
        <v>136</v>
      </c>
      <c r="AVX15" s="56"/>
      <c r="AVY15" s="56"/>
      <c r="AVZ15" s="56"/>
      <c r="AWA15" s="56"/>
      <c r="AWB15" s="56"/>
      <c r="AWC15" s="56"/>
      <c r="AWD15" s="56"/>
      <c r="AWE15" s="56"/>
      <c r="AWF15" s="56"/>
      <c r="AWG15" s="56"/>
      <c r="AWH15" s="56"/>
      <c r="AWI15" s="56"/>
      <c r="AWJ15" s="56"/>
      <c r="AWK15" s="56"/>
      <c r="AWL15" s="56"/>
      <c r="AWM15" s="56"/>
      <c r="AWN15" s="56"/>
      <c r="AWO15" s="56"/>
      <c r="AWP15" s="56"/>
      <c r="AWQ15" s="56"/>
      <c r="AWR15" s="56"/>
      <c r="AWS15" s="56"/>
      <c r="AWT15" s="56"/>
      <c r="AWU15" s="56"/>
      <c r="AWV15" s="56"/>
      <c r="AWW15" s="56"/>
      <c r="AWX15" s="56"/>
      <c r="AWY15" s="56"/>
      <c r="AWZ15" s="56"/>
      <c r="AXA15" s="56"/>
      <c r="AXB15" s="56"/>
      <c r="AXC15" s="56"/>
      <c r="AXD15" s="56"/>
      <c r="AXE15" s="56"/>
      <c r="AXF15" s="56"/>
      <c r="AXG15" s="56"/>
      <c r="AXH15" s="56"/>
      <c r="AXI15" s="56"/>
      <c r="AXJ15" s="56"/>
      <c r="AXK15" s="56"/>
      <c r="AXL15" s="56"/>
      <c r="AXM15" s="56"/>
    </row>
    <row r="16" spans="1:1313" x14ac:dyDescent="0.3">
      <c r="A16" s="1" t="s">
        <v>2165</v>
      </c>
      <c r="B16" s="1" t="s">
        <v>2166</v>
      </c>
      <c r="C16" s="1" t="s">
        <v>2167</v>
      </c>
      <c r="D16" s="1" t="s">
        <v>2088</v>
      </c>
      <c r="E16" s="1" t="s">
        <v>2125</v>
      </c>
      <c r="F16" s="1" t="s">
        <v>2088</v>
      </c>
      <c r="I16" s="1" t="s">
        <v>2080</v>
      </c>
      <c r="J16" s="1" t="s">
        <v>2081</v>
      </c>
      <c r="K16" s="1" t="s">
        <v>2081</v>
      </c>
      <c r="N16" s="1" t="s">
        <v>1152</v>
      </c>
      <c r="O16" s="2">
        <v>1</v>
      </c>
      <c r="P16" s="2">
        <v>0</v>
      </c>
      <c r="Q16" s="2">
        <v>0</v>
      </c>
      <c r="R16" s="2">
        <v>0</v>
      </c>
      <c r="S16" s="2">
        <v>0</v>
      </c>
      <c r="U16" s="1" t="s">
        <v>1654</v>
      </c>
      <c r="W16" s="1" t="s">
        <v>1154</v>
      </c>
      <c r="X16" s="1" t="s">
        <v>1155</v>
      </c>
      <c r="AN16" s="1" t="s">
        <v>1179</v>
      </c>
      <c r="AO16" s="2">
        <v>220</v>
      </c>
      <c r="AP16" s="1" t="s">
        <v>1871</v>
      </c>
      <c r="AR16" s="1" t="s">
        <v>1649</v>
      </c>
      <c r="AS16" s="1" t="s">
        <v>1653</v>
      </c>
      <c r="AT16" s="1" t="s">
        <v>1155</v>
      </c>
      <c r="AU16" s="1" t="s">
        <v>1156</v>
      </c>
      <c r="AV16" s="1" t="s">
        <v>1919</v>
      </c>
      <c r="AW16" s="2">
        <v>1</v>
      </c>
      <c r="AX16" s="2">
        <v>0</v>
      </c>
      <c r="AY16" s="2">
        <v>1</v>
      </c>
      <c r="AZ16" s="2">
        <v>0</v>
      </c>
      <c r="BA16" s="2">
        <v>0</v>
      </c>
      <c r="BB16" s="2">
        <v>0</v>
      </c>
      <c r="BC16" s="2">
        <v>0</v>
      </c>
      <c r="BD16" s="2">
        <v>0</v>
      </c>
      <c r="BO16" s="1" t="s">
        <v>1157</v>
      </c>
      <c r="BP16" s="2">
        <v>0</v>
      </c>
      <c r="BQ16" s="2">
        <v>0</v>
      </c>
      <c r="BR16" s="2">
        <v>0</v>
      </c>
      <c r="BS16" s="2">
        <v>0</v>
      </c>
      <c r="BT16" s="2">
        <v>0</v>
      </c>
      <c r="BU16" s="2">
        <v>1</v>
      </c>
      <c r="BV16" s="2">
        <v>0</v>
      </c>
      <c r="BW16" s="2">
        <v>0</v>
      </c>
      <c r="BX16" s="2">
        <v>0</v>
      </c>
      <c r="BY16" s="2">
        <v>0</v>
      </c>
      <c r="BZ16" s="2">
        <v>0</v>
      </c>
      <c r="CA16" s="2">
        <v>0</v>
      </c>
      <c r="CC16" s="1" t="s">
        <v>1154</v>
      </c>
      <c r="DQ16" s="1" t="s">
        <v>1167</v>
      </c>
      <c r="DR16" s="2">
        <v>0</v>
      </c>
      <c r="DS16" s="2">
        <v>1</v>
      </c>
      <c r="DT16" s="2">
        <v>0</v>
      </c>
      <c r="DU16" s="2">
        <v>0</v>
      </c>
      <c r="DV16" s="2">
        <v>0</v>
      </c>
      <c r="DX16" s="1" t="s">
        <v>2168</v>
      </c>
      <c r="DY16" s="2">
        <v>1</v>
      </c>
      <c r="DZ16" s="2">
        <v>0</v>
      </c>
      <c r="EA16" s="2">
        <v>1</v>
      </c>
      <c r="EB16" s="2">
        <v>0</v>
      </c>
      <c r="EC16" s="2">
        <v>0</v>
      </c>
      <c r="ED16" s="2">
        <v>0</v>
      </c>
      <c r="EE16" s="2">
        <v>0</v>
      </c>
      <c r="EF16" s="2">
        <v>0</v>
      </c>
      <c r="EG16" s="2">
        <v>1</v>
      </c>
      <c r="EH16" s="2">
        <v>0</v>
      </c>
      <c r="EI16" s="2">
        <v>0</v>
      </c>
      <c r="EJ16" s="2">
        <v>0</v>
      </c>
      <c r="EK16" s="2">
        <v>0</v>
      </c>
      <c r="EM16" s="1" t="s">
        <v>2097</v>
      </c>
      <c r="EN16" s="2">
        <v>0</v>
      </c>
      <c r="EO16" s="2">
        <v>0</v>
      </c>
      <c r="EP16" s="2">
        <v>0</v>
      </c>
      <c r="EQ16" s="2">
        <v>0</v>
      </c>
      <c r="ER16" s="2">
        <v>1</v>
      </c>
      <c r="ES16" s="2">
        <v>0</v>
      </c>
      <c r="ET16" s="2">
        <v>1</v>
      </c>
      <c r="EU16" s="2">
        <v>0</v>
      </c>
      <c r="EV16" s="2">
        <v>0</v>
      </c>
      <c r="EW16" s="2">
        <v>0</v>
      </c>
      <c r="EX16" s="2">
        <v>0</v>
      </c>
      <c r="EY16" s="2">
        <v>0</v>
      </c>
      <c r="EZ16" s="2">
        <v>0</v>
      </c>
      <c r="FB16" s="1" t="s">
        <v>1154</v>
      </c>
      <c r="GI16" s="1" t="s">
        <v>2163</v>
      </c>
      <c r="GJ16" s="2">
        <v>0</v>
      </c>
      <c r="GK16" s="2">
        <v>0</v>
      </c>
      <c r="GL16" s="2">
        <v>1</v>
      </c>
      <c r="GM16" s="2">
        <v>0</v>
      </c>
      <c r="GN16" s="2">
        <v>1</v>
      </c>
      <c r="GO16" s="2">
        <v>0</v>
      </c>
      <c r="GP16" s="2">
        <v>1</v>
      </c>
      <c r="GQ16" s="2">
        <v>0</v>
      </c>
      <c r="GR16" s="2">
        <v>1</v>
      </c>
      <c r="GS16" s="2">
        <v>0</v>
      </c>
      <c r="GT16" s="2">
        <v>0</v>
      </c>
      <c r="GU16" s="2">
        <v>0</v>
      </c>
      <c r="GV16" s="2">
        <v>0</v>
      </c>
      <c r="AVT16" s="1">
        <v>129368233</v>
      </c>
      <c r="AVU16" s="1" t="s">
        <v>2169</v>
      </c>
      <c r="AVW16" s="1">
        <v>137</v>
      </c>
      <c r="AVX16" s="56"/>
      <c r="AVY16" s="56"/>
      <c r="AVZ16" s="56"/>
      <c r="AWA16" s="56"/>
      <c r="AWB16" s="56"/>
      <c r="AWC16" s="56"/>
      <c r="AWD16" s="56"/>
      <c r="AWE16" s="56"/>
      <c r="AWF16" s="56"/>
      <c r="AWG16" s="56"/>
      <c r="AWH16" s="56"/>
      <c r="AWI16" s="56"/>
      <c r="AWJ16" s="56"/>
      <c r="AWK16" s="56"/>
      <c r="AWL16" s="56"/>
      <c r="AWM16" s="56"/>
      <c r="AWN16" s="56"/>
      <c r="AWO16" s="56"/>
      <c r="AWP16" s="56"/>
      <c r="AWQ16" s="56"/>
      <c r="AWR16" s="56"/>
      <c r="AWS16" s="56"/>
      <c r="AWT16" s="56"/>
      <c r="AWU16" s="56"/>
      <c r="AWV16" s="56"/>
      <c r="AWW16" s="56"/>
      <c r="AWX16" s="56"/>
      <c r="AWY16" s="56"/>
      <c r="AWZ16" s="56"/>
      <c r="AXA16" s="56"/>
      <c r="AXB16" s="56"/>
      <c r="AXC16" s="56"/>
      <c r="AXD16" s="56"/>
      <c r="AXE16" s="56"/>
      <c r="AXF16" s="56"/>
      <c r="AXG16" s="56"/>
      <c r="AXH16" s="56"/>
      <c r="AXI16" s="56"/>
      <c r="AXJ16" s="56"/>
      <c r="AXK16" s="56"/>
      <c r="AXL16" s="56"/>
      <c r="AXM16" s="56"/>
    </row>
    <row r="17" spans="1:1313" x14ac:dyDescent="0.3">
      <c r="A17" s="1" t="s">
        <v>2170</v>
      </c>
      <c r="B17" s="1" t="s">
        <v>2171</v>
      </c>
      <c r="C17" s="1" t="s">
        <v>2172</v>
      </c>
      <c r="D17" s="1" t="s">
        <v>1638</v>
      </c>
      <c r="E17" s="1" t="s">
        <v>2173</v>
      </c>
      <c r="F17" s="1" t="s">
        <v>1638</v>
      </c>
      <c r="I17" s="1" t="s">
        <v>2080</v>
      </c>
      <c r="J17" s="1" t="s">
        <v>2081</v>
      </c>
      <c r="K17" s="1" t="s">
        <v>2081</v>
      </c>
      <c r="N17" s="1" t="s">
        <v>1152</v>
      </c>
      <c r="O17" s="2">
        <v>1</v>
      </c>
      <c r="P17" s="2">
        <v>0</v>
      </c>
      <c r="Q17" s="2">
        <v>0</v>
      </c>
      <c r="R17" s="2">
        <v>0</v>
      </c>
      <c r="S17" s="2">
        <v>0</v>
      </c>
      <c r="U17" s="1" t="s">
        <v>1654</v>
      </c>
      <c r="W17" s="1" t="s">
        <v>1154</v>
      </c>
      <c r="X17" s="1" t="s">
        <v>1640</v>
      </c>
      <c r="Y17" s="1" t="s">
        <v>1181</v>
      </c>
      <c r="AA17" s="1" t="s">
        <v>1893</v>
      </c>
      <c r="AN17" s="1" t="s">
        <v>1187</v>
      </c>
      <c r="AO17" s="2">
        <v>200</v>
      </c>
      <c r="AP17" s="1" t="s">
        <v>1871</v>
      </c>
      <c r="AR17" s="1" t="s">
        <v>1649</v>
      </c>
      <c r="AS17" s="1" t="s">
        <v>1653</v>
      </c>
      <c r="AT17" s="1" t="s">
        <v>1155</v>
      </c>
      <c r="AU17" s="1" t="s">
        <v>1164</v>
      </c>
      <c r="BF17" s="1" t="s">
        <v>1188</v>
      </c>
      <c r="BG17" s="2">
        <v>0</v>
      </c>
      <c r="BH17" s="2">
        <v>1</v>
      </c>
      <c r="BI17" s="2">
        <v>0</v>
      </c>
      <c r="BJ17" s="2">
        <v>0</v>
      </c>
      <c r="BK17" s="2">
        <v>0</v>
      </c>
      <c r="BL17" s="2">
        <v>0</v>
      </c>
      <c r="BM17" s="2">
        <v>0</v>
      </c>
      <c r="BO17" s="1" t="s">
        <v>1157</v>
      </c>
      <c r="BP17" s="2">
        <v>0</v>
      </c>
      <c r="BQ17" s="2">
        <v>0</v>
      </c>
      <c r="BR17" s="2">
        <v>0</v>
      </c>
      <c r="BS17" s="2">
        <v>0</v>
      </c>
      <c r="BT17" s="2">
        <v>0</v>
      </c>
      <c r="BU17" s="2">
        <v>1</v>
      </c>
      <c r="BV17" s="2">
        <v>0</v>
      </c>
      <c r="BW17" s="2">
        <v>0</v>
      </c>
      <c r="BX17" s="2">
        <v>0</v>
      </c>
      <c r="BY17" s="2">
        <v>0</v>
      </c>
      <c r="BZ17" s="2">
        <v>0</v>
      </c>
      <c r="CA17" s="2">
        <v>0</v>
      </c>
      <c r="CC17" s="1" t="s">
        <v>1154</v>
      </c>
      <c r="DQ17" s="1" t="s">
        <v>1163</v>
      </c>
      <c r="DR17" s="2">
        <v>0</v>
      </c>
      <c r="DS17" s="2">
        <v>0</v>
      </c>
      <c r="DT17" s="2">
        <v>0</v>
      </c>
      <c r="DU17" s="2">
        <v>0</v>
      </c>
      <c r="DV17" s="2">
        <v>1</v>
      </c>
      <c r="DX17" s="1" t="s">
        <v>1941</v>
      </c>
      <c r="DY17" s="2">
        <v>0</v>
      </c>
      <c r="DZ17" s="2">
        <v>0</v>
      </c>
      <c r="EA17" s="2">
        <v>1</v>
      </c>
      <c r="EB17" s="2">
        <v>0</v>
      </c>
      <c r="EC17" s="2">
        <v>0</v>
      </c>
      <c r="ED17" s="2">
        <v>0</v>
      </c>
      <c r="EE17" s="2">
        <v>0</v>
      </c>
      <c r="EF17" s="2">
        <v>0</v>
      </c>
      <c r="EG17" s="2">
        <v>0</v>
      </c>
      <c r="EH17" s="2">
        <v>0</v>
      </c>
      <c r="EI17" s="2">
        <v>0</v>
      </c>
      <c r="EJ17" s="2">
        <v>0</v>
      </c>
      <c r="EK17" s="2">
        <v>1</v>
      </c>
      <c r="EM17" s="1" t="s">
        <v>1163</v>
      </c>
      <c r="EN17" s="2">
        <v>0</v>
      </c>
      <c r="EO17" s="2">
        <v>0</v>
      </c>
      <c r="EP17" s="2">
        <v>0</v>
      </c>
      <c r="EQ17" s="2">
        <v>0</v>
      </c>
      <c r="ER17" s="2">
        <v>0</v>
      </c>
      <c r="ES17" s="2">
        <v>0</v>
      </c>
      <c r="ET17" s="2">
        <v>0</v>
      </c>
      <c r="EU17" s="2">
        <v>0</v>
      </c>
      <c r="EV17" s="2">
        <v>0</v>
      </c>
      <c r="EW17" s="2">
        <v>1</v>
      </c>
      <c r="EX17" s="2">
        <v>0</v>
      </c>
      <c r="EY17" s="2">
        <v>0</v>
      </c>
      <c r="EZ17" s="2">
        <v>0</v>
      </c>
      <c r="FB17" s="1" t="s">
        <v>1154</v>
      </c>
      <c r="GI17" s="1" t="s">
        <v>2174</v>
      </c>
      <c r="GJ17" s="2">
        <v>0</v>
      </c>
      <c r="GK17" s="2">
        <v>0</v>
      </c>
      <c r="GL17" s="2">
        <v>1</v>
      </c>
      <c r="GM17" s="2">
        <v>0</v>
      </c>
      <c r="GN17" s="2">
        <v>1</v>
      </c>
      <c r="GO17" s="2">
        <v>0</v>
      </c>
      <c r="GP17" s="2">
        <v>1</v>
      </c>
      <c r="GQ17" s="2">
        <v>0</v>
      </c>
      <c r="GR17" s="2">
        <v>0</v>
      </c>
      <c r="GS17" s="2">
        <v>0</v>
      </c>
      <c r="GT17" s="2">
        <v>0</v>
      </c>
      <c r="GU17" s="2">
        <v>0</v>
      </c>
      <c r="GV17" s="2">
        <v>0</v>
      </c>
      <c r="AVT17" s="1">
        <v>129369775</v>
      </c>
      <c r="AVU17" s="1" t="s">
        <v>2175</v>
      </c>
      <c r="AVW17" s="1">
        <v>138</v>
      </c>
      <c r="AVX17" s="56"/>
      <c r="AVY17" s="56"/>
      <c r="AVZ17" s="56"/>
      <c r="AWA17" s="56"/>
      <c r="AWB17" s="56"/>
      <c r="AWC17" s="56"/>
      <c r="AWD17" s="56"/>
      <c r="AWE17" s="56"/>
      <c r="AWF17" s="56"/>
      <c r="AWG17" s="56"/>
      <c r="AWH17" s="56"/>
      <c r="AWI17" s="56"/>
      <c r="AWJ17" s="56"/>
      <c r="AWK17" s="56"/>
      <c r="AWL17" s="56"/>
      <c r="AWM17" s="56"/>
      <c r="AWN17" s="56"/>
      <c r="AWO17" s="56"/>
      <c r="AWP17" s="56"/>
      <c r="AWQ17" s="56"/>
      <c r="AWR17" s="56"/>
      <c r="AWS17" s="56"/>
      <c r="AWT17" s="56"/>
      <c r="AWU17" s="56"/>
      <c r="AWV17" s="56"/>
      <c r="AWW17" s="56"/>
      <c r="AWX17" s="56"/>
      <c r="AWY17" s="56"/>
      <c r="AWZ17" s="56"/>
      <c r="AXA17" s="56"/>
      <c r="AXB17" s="56"/>
      <c r="AXC17" s="56"/>
      <c r="AXD17" s="56"/>
      <c r="AXE17" s="56"/>
      <c r="AXF17" s="56"/>
      <c r="AXG17" s="56"/>
      <c r="AXH17" s="56"/>
      <c r="AXI17" s="56"/>
      <c r="AXJ17" s="56"/>
      <c r="AXK17" s="56"/>
      <c r="AXL17" s="56"/>
      <c r="AXM17" s="56"/>
    </row>
    <row r="18" spans="1:1313" x14ac:dyDescent="0.3">
      <c r="A18" s="1" t="s">
        <v>2176</v>
      </c>
      <c r="B18" s="1" t="s">
        <v>2177</v>
      </c>
      <c r="C18" s="1" t="s">
        <v>2178</v>
      </c>
      <c r="D18" s="1" t="s">
        <v>2078</v>
      </c>
      <c r="E18" s="1" t="s">
        <v>2173</v>
      </c>
      <c r="F18" s="1" t="s">
        <v>2078</v>
      </c>
      <c r="I18" s="1" t="s">
        <v>2080</v>
      </c>
      <c r="J18" s="1" t="s">
        <v>2081</v>
      </c>
      <c r="K18" s="1" t="s">
        <v>2081</v>
      </c>
      <c r="N18" s="1" t="s">
        <v>1152</v>
      </c>
      <c r="O18" s="2">
        <v>1</v>
      </c>
      <c r="P18" s="2">
        <v>0</v>
      </c>
      <c r="Q18" s="2">
        <v>0</v>
      </c>
      <c r="R18" s="2">
        <v>0</v>
      </c>
      <c r="S18" s="2">
        <v>0</v>
      </c>
      <c r="U18" s="1" t="s">
        <v>1654</v>
      </c>
      <c r="W18" s="1" t="s">
        <v>1155</v>
      </c>
      <c r="X18" s="1" t="s">
        <v>1640</v>
      </c>
      <c r="Y18" s="1" t="s">
        <v>1892</v>
      </c>
      <c r="AA18" s="1" t="s">
        <v>1641</v>
      </c>
      <c r="AN18" s="1" t="s">
        <v>1179</v>
      </c>
      <c r="AO18" s="2">
        <v>120</v>
      </c>
      <c r="AP18" s="1" t="s">
        <v>1190</v>
      </c>
      <c r="AR18" s="1" t="s">
        <v>1649</v>
      </c>
      <c r="AS18" s="1" t="s">
        <v>1655</v>
      </c>
      <c r="AT18" s="1" t="s">
        <v>1155</v>
      </c>
      <c r="AU18" s="1" t="s">
        <v>1160</v>
      </c>
      <c r="BF18" s="1" t="s">
        <v>1188</v>
      </c>
      <c r="BG18" s="2">
        <v>0</v>
      </c>
      <c r="BH18" s="2">
        <v>1</v>
      </c>
      <c r="BI18" s="2">
        <v>0</v>
      </c>
      <c r="BJ18" s="2">
        <v>0</v>
      </c>
      <c r="BK18" s="2">
        <v>0</v>
      </c>
      <c r="BL18" s="2">
        <v>0</v>
      </c>
      <c r="BM18" s="2">
        <v>0</v>
      </c>
      <c r="BO18" s="1" t="s">
        <v>1157</v>
      </c>
      <c r="BP18" s="2">
        <v>0</v>
      </c>
      <c r="BQ18" s="2">
        <v>0</v>
      </c>
      <c r="BR18" s="2">
        <v>0</v>
      </c>
      <c r="BS18" s="2">
        <v>0</v>
      </c>
      <c r="BT18" s="2">
        <v>0</v>
      </c>
      <c r="BU18" s="2">
        <v>1</v>
      </c>
      <c r="BV18" s="2">
        <v>0</v>
      </c>
      <c r="BW18" s="2">
        <v>0</v>
      </c>
      <c r="BX18" s="2">
        <v>0</v>
      </c>
      <c r="BY18" s="2">
        <v>0</v>
      </c>
      <c r="BZ18" s="2">
        <v>0</v>
      </c>
      <c r="CA18" s="2">
        <v>0</v>
      </c>
      <c r="CC18" s="1" t="s">
        <v>1155</v>
      </c>
      <c r="CD18" s="1" t="s">
        <v>1979</v>
      </c>
      <c r="CF18" s="2">
        <v>100</v>
      </c>
      <c r="CG18" s="1" t="s">
        <v>1154</v>
      </c>
      <c r="CY18" s="1" t="s">
        <v>1388</v>
      </c>
      <c r="CZ18" s="2">
        <v>0</v>
      </c>
      <c r="DA18" s="2">
        <v>0</v>
      </c>
      <c r="DB18" s="2">
        <v>0</v>
      </c>
      <c r="DC18" s="2">
        <v>0</v>
      </c>
      <c r="DD18" s="2">
        <v>1</v>
      </c>
      <c r="DE18" s="2">
        <v>0</v>
      </c>
      <c r="DF18" s="2">
        <v>0</v>
      </c>
      <c r="DG18" s="2">
        <v>0</v>
      </c>
      <c r="DI18" s="1" t="s">
        <v>1154</v>
      </c>
      <c r="DQ18" s="1" t="s">
        <v>1163</v>
      </c>
      <c r="DR18" s="2">
        <v>0</v>
      </c>
      <c r="DS18" s="2">
        <v>0</v>
      </c>
      <c r="DT18" s="2">
        <v>0</v>
      </c>
      <c r="DU18" s="2">
        <v>0</v>
      </c>
      <c r="DV18" s="2">
        <v>1</v>
      </c>
      <c r="DX18" s="1" t="s">
        <v>1946</v>
      </c>
      <c r="DY18" s="2">
        <v>1</v>
      </c>
      <c r="DZ18" s="2">
        <v>0</v>
      </c>
      <c r="EA18" s="2">
        <v>0</v>
      </c>
      <c r="EB18" s="2">
        <v>0</v>
      </c>
      <c r="EC18" s="2">
        <v>0</v>
      </c>
      <c r="ED18" s="2">
        <v>0</v>
      </c>
      <c r="EE18" s="2">
        <v>0</v>
      </c>
      <c r="EF18" s="2">
        <v>0</v>
      </c>
      <c r="EG18" s="2">
        <v>0</v>
      </c>
      <c r="EH18" s="2">
        <v>0</v>
      </c>
      <c r="EI18" s="2">
        <v>0</v>
      </c>
      <c r="EJ18" s="2">
        <v>0</v>
      </c>
      <c r="EK18" s="2">
        <v>1</v>
      </c>
      <c r="EM18" s="1" t="s">
        <v>1163</v>
      </c>
      <c r="EN18" s="2">
        <v>0</v>
      </c>
      <c r="EO18" s="2">
        <v>0</v>
      </c>
      <c r="EP18" s="2">
        <v>0</v>
      </c>
      <c r="EQ18" s="2">
        <v>0</v>
      </c>
      <c r="ER18" s="2">
        <v>0</v>
      </c>
      <c r="ES18" s="2">
        <v>0</v>
      </c>
      <c r="ET18" s="2">
        <v>0</v>
      </c>
      <c r="EU18" s="2">
        <v>0</v>
      </c>
      <c r="EV18" s="2">
        <v>0</v>
      </c>
      <c r="EW18" s="2">
        <v>1</v>
      </c>
      <c r="EX18" s="2">
        <v>0</v>
      </c>
      <c r="EY18" s="2">
        <v>0</v>
      </c>
      <c r="EZ18" s="2">
        <v>0</v>
      </c>
      <c r="FB18" s="1" t="s">
        <v>1154</v>
      </c>
      <c r="GI18" s="1" t="s">
        <v>2179</v>
      </c>
      <c r="GJ18" s="2">
        <v>1</v>
      </c>
      <c r="GK18" s="2">
        <v>0</v>
      </c>
      <c r="GL18" s="2">
        <v>0</v>
      </c>
      <c r="GM18" s="2">
        <v>0</v>
      </c>
      <c r="GN18" s="2">
        <v>1</v>
      </c>
      <c r="GO18" s="2">
        <v>0</v>
      </c>
      <c r="GP18" s="2">
        <v>0</v>
      </c>
      <c r="GQ18" s="2">
        <v>0</v>
      </c>
      <c r="GR18" s="2">
        <v>0</v>
      </c>
      <c r="GS18" s="2">
        <v>0</v>
      </c>
      <c r="GT18" s="2">
        <v>0</v>
      </c>
      <c r="GU18" s="2">
        <v>0</v>
      </c>
      <c r="GV18" s="2">
        <v>0</v>
      </c>
      <c r="AVT18" s="1">
        <v>129370050</v>
      </c>
      <c r="AVU18" s="1" t="s">
        <v>2180</v>
      </c>
      <c r="AVW18" s="1">
        <v>139</v>
      </c>
      <c r="AVX18" s="56"/>
      <c r="AVY18" s="56"/>
      <c r="AVZ18" s="56"/>
      <c r="AWA18" s="56"/>
      <c r="AWB18" s="56"/>
      <c r="AWC18" s="56"/>
      <c r="AWD18" s="56"/>
      <c r="AWE18" s="56"/>
      <c r="AWF18" s="56"/>
      <c r="AWG18" s="56"/>
      <c r="AWH18" s="56"/>
      <c r="AWI18" s="56"/>
      <c r="AWJ18" s="56"/>
      <c r="AWK18" s="56"/>
      <c r="AWL18" s="56"/>
      <c r="AWM18" s="56"/>
      <c r="AWN18" s="56"/>
      <c r="AWO18" s="56"/>
      <c r="AWP18" s="56"/>
      <c r="AWQ18" s="56"/>
      <c r="AWR18" s="56"/>
      <c r="AWS18" s="56"/>
      <c r="AWT18" s="56"/>
      <c r="AWU18" s="56"/>
      <c r="AWV18" s="56"/>
      <c r="AWW18" s="56"/>
      <c r="AWX18" s="56"/>
      <c r="AWY18" s="56"/>
      <c r="AWZ18" s="56"/>
      <c r="AXA18" s="56"/>
      <c r="AXB18" s="56"/>
      <c r="AXC18" s="56"/>
      <c r="AXD18" s="56"/>
      <c r="AXE18" s="56"/>
      <c r="AXF18" s="56"/>
      <c r="AXG18" s="56"/>
      <c r="AXH18" s="56"/>
      <c r="AXI18" s="56"/>
      <c r="AXJ18" s="56"/>
      <c r="AXK18" s="56"/>
      <c r="AXL18" s="56"/>
      <c r="AXM18" s="56"/>
    </row>
    <row r="19" spans="1:1313" x14ac:dyDescent="0.3">
      <c r="A19" s="1" t="s">
        <v>2181</v>
      </c>
      <c r="B19" s="1" t="s">
        <v>2182</v>
      </c>
      <c r="C19" s="1" t="s">
        <v>2183</v>
      </c>
      <c r="D19" s="1" t="s">
        <v>2078</v>
      </c>
      <c r="E19" s="1" t="s">
        <v>2173</v>
      </c>
      <c r="F19" s="1" t="s">
        <v>2078</v>
      </c>
      <c r="I19" s="1" t="s">
        <v>2080</v>
      </c>
      <c r="J19" s="1" t="s">
        <v>2081</v>
      </c>
      <c r="K19" s="1" t="s">
        <v>2081</v>
      </c>
      <c r="N19" s="1" t="s">
        <v>1152</v>
      </c>
      <c r="O19" s="2">
        <v>1</v>
      </c>
      <c r="P19" s="2">
        <v>0</v>
      </c>
      <c r="Q19" s="2">
        <v>0</v>
      </c>
      <c r="R19" s="2">
        <v>0</v>
      </c>
      <c r="S19" s="2">
        <v>0</v>
      </c>
      <c r="U19" s="1" t="s">
        <v>1654</v>
      </c>
      <c r="W19" s="1" t="s">
        <v>1154</v>
      </c>
      <c r="X19" s="1" t="s">
        <v>1155</v>
      </c>
      <c r="AN19" s="1" t="s">
        <v>1179</v>
      </c>
      <c r="AO19" s="2">
        <v>380</v>
      </c>
      <c r="AP19" s="1" t="s">
        <v>1190</v>
      </c>
      <c r="AR19" s="1" t="s">
        <v>1649</v>
      </c>
      <c r="AS19" s="1" t="s">
        <v>1655</v>
      </c>
      <c r="AT19" s="1" t="s">
        <v>1155</v>
      </c>
      <c r="AU19" s="1" t="s">
        <v>1156</v>
      </c>
      <c r="AV19" s="1" t="s">
        <v>2184</v>
      </c>
      <c r="AW19" s="2">
        <v>0</v>
      </c>
      <c r="AX19" s="2">
        <v>1</v>
      </c>
      <c r="AY19" s="2">
        <v>0</v>
      </c>
      <c r="AZ19" s="2">
        <v>1</v>
      </c>
      <c r="BA19" s="2">
        <v>0</v>
      </c>
      <c r="BB19" s="2">
        <v>0</v>
      </c>
      <c r="BC19" s="2">
        <v>0</v>
      </c>
      <c r="BD19" s="2">
        <v>0</v>
      </c>
      <c r="BO19" s="1" t="s">
        <v>1184</v>
      </c>
      <c r="BP19" s="2">
        <v>1</v>
      </c>
      <c r="BQ19" s="2">
        <v>0</v>
      </c>
      <c r="BR19" s="2">
        <v>0</v>
      </c>
      <c r="BS19" s="2">
        <v>0</v>
      </c>
      <c r="BT19" s="2">
        <v>0</v>
      </c>
      <c r="BU19" s="2">
        <v>0</v>
      </c>
      <c r="BV19" s="2">
        <v>0</v>
      </c>
      <c r="BW19" s="2">
        <v>0</v>
      </c>
      <c r="BX19" s="2">
        <v>0</v>
      </c>
      <c r="BY19" s="2">
        <v>0</v>
      </c>
      <c r="BZ19" s="2">
        <v>0</v>
      </c>
      <c r="CA19" s="2">
        <v>0</v>
      </c>
      <c r="CC19" s="1" t="s">
        <v>1154</v>
      </c>
      <c r="DQ19" s="1" t="s">
        <v>1385</v>
      </c>
      <c r="DR19" s="2">
        <v>1</v>
      </c>
      <c r="DS19" s="2">
        <v>0</v>
      </c>
      <c r="DT19" s="2">
        <v>0</v>
      </c>
      <c r="DU19" s="2">
        <v>0</v>
      </c>
      <c r="DV19" s="2">
        <v>0</v>
      </c>
      <c r="DW19" s="1" t="s">
        <v>2185</v>
      </c>
      <c r="DX19" s="1" t="s">
        <v>1922</v>
      </c>
      <c r="DY19" s="2">
        <v>0</v>
      </c>
      <c r="DZ19" s="2">
        <v>1</v>
      </c>
      <c r="EA19" s="2">
        <v>0</v>
      </c>
      <c r="EB19" s="2">
        <v>0</v>
      </c>
      <c r="EC19" s="2">
        <v>0</v>
      </c>
      <c r="ED19" s="2">
        <v>0</v>
      </c>
      <c r="EE19" s="2">
        <v>0</v>
      </c>
      <c r="EF19" s="2">
        <v>0</v>
      </c>
      <c r="EG19" s="2">
        <v>0</v>
      </c>
      <c r="EH19" s="2">
        <v>0</v>
      </c>
      <c r="EI19" s="2">
        <v>0</v>
      </c>
      <c r="EJ19" s="2">
        <v>0</v>
      </c>
      <c r="EK19" s="2">
        <v>0</v>
      </c>
      <c r="EM19" s="1" t="s">
        <v>1923</v>
      </c>
      <c r="EN19" s="2">
        <v>0</v>
      </c>
      <c r="EO19" s="2">
        <v>0</v>
      </c>
      <c r="EP19" s="2">
        <v>0</v>
      </c>
      <c r="EQ19" s="2">
        <v>0</v>
      </c>
      <c r="ER19" s="2">
        <v>0</v>
      </c>
      <c r="ES19" s="2">
        <v>1</v>
      </c>
      <c r="ET19" s="2">
        <v>0</v>
      </c>
      <c r="EU19" s="2">
        <v>0</v>
      </c>
      <c r="EV19" s="2">
        <v>0</v>
      </c>
      <c r="EW19" s="2">
        <v>0</v>
      </c>
      <c r="EX19" s="2">
        <v>0</v>
      </c>
      <c r="EY19" s="2">
        <v>0</v>
      </c>
      <c r="EZ19" s="2">
        <v>0</v>
      </c>
      <c r="FB19" s="1" t="s">
        <v>1155</v>
      </c>
      <c r="FC19" s="1" t="s">
        <v>1938</v>
      </c>
      <c r="FD19" s="2">
        <v>1</v>
      </c>
      <c r="FE19" s="2">
        <v>0</v>
      </c>
      <c r="FF19" s="2">
        <v>0</v>
      </c>
      <c r="FG19" s="2">
        <v>0</v>
      </c>
      <c r="FH19" s="2">
        <v>0</v>
      </c>
      <c r="FI19" s="2">
        <v>0</v>
      </c>
      <c r="FJ19" s="2">
        <v>0</v>
      </c>
      <c r="FL19" s="1" t="s">
        <v>1191</v>
      </c>
      <c r="FM19" s="2">
        <v>0</v>
      </c>
      <c r="FN19" s="2">
        <v>1</v>
      </c>
      <c r="FO19" s="2">
        <v>0</v>
      </c>
      <c r="FP19" s="2">
        <v>0</v>
      </c>
      <c r="FQ19" s="2">
        <v>0</v>
      </c>
      <c r="FR19" s="2">
        <v>0</v>
      </c>
      <c r="FS19" s="2">
        <v>0</v>
      </c>
      <c r="FT19" s="2">
        <v>0</v>
      </c>
      <c r="FU19" s="2">
        <v>0</v>
      </c>
      <c r="FV19" s="2">
        <v>0</v>
      </c>
      <c r="FW19" s="2">
        <v>0</v>
      </c>
      <c r="FX19" s="2">
        <v>0</v>
      </c>
      <c r="FY19" s="2">
        <v>0</v>
      </c>
      <c r="GA19" s="1" t="s">
        <v>1154</v>
      </c>
      <c r="GB19" s="1" t="s">
        <v>1981</v>
      </c>
      <c r="GC19" s="2">
        <v>0</v>
      </c>
      <c r="GD19" s="2">
        <v>0</v>
      </c>
      <c r="GE19" s="2">
        <v>1</v>
      </c>
      <c r="GF19" s="2">
        <v>0</v>
      </c>
      <c r="GG19" s="2">
        <v>0</v>
      </c>
      <c r="GI19" s="1" t="s">
        <v>2186</v>
      </c>
      <c r="GJ19" s="2">
        <v>0</v>
      </c>
      <c r="GK19" s="2">
        <v>1</v>
      </c>
      <c r="GL19" s="2">
        <v>0</v>
      </c>
      <c r="GM19" s="2">
        <v>0</v>
      </c>
      <c r="GN19" s="2">
        <v>0</v>
      </c>
      <c r="GO19" s="2">
        <v>0</v>
      </c>
      <c r="GP19" s="2">
        <v>0</v>
      </c>
      <c r="GQ19" s="2">
        <v>0</v>
      </c>
      <c r="GR19" s="2">
        <v>0</v>
      </c>
      <c r="GS19" s="2">
        <v>0</v>
      </c>
      <c r="GT19" s="2">
        <v>1</v>
      </c>
      <c r="GU19" s="2">
        <v>0</v>
      </c>
      <c r="GV19" s="2">
        <v>0</v>
      </c>
      <c r="AVT19" s="1">
        <v>129370104</v>
      </c>
      <c r="AVU19" s="1" t="s">
        <v>2187</v>
      </c>
      <c r="AVW19" s="1">
        <v>140</v>
      </c>
      <c r="AVX19" s="56"/>
      <c r="AVY19" s="56"/>
      <c r="AVZ19" s="56"/>
      <c r="AWA19" s="56"/>
      <c r="AWB19" s="56"/>
      <c r="AWC19" s="56"/>
      <c r="AWD19" s="56"/>
      <c r="AWE19" s="56"/>
      <c r="AWF19" s="56"/>
      <c r="AWG19" s="56"/>
      <c r="AWH19" s="56"/>
      <c r="AWI19" s="56"/>
      <c r="AWJ19" s="56"/>
      <c r="AWK19" s="56"/>
      <c r="AWL19" s="56"/>
      <c r="AWM19" s="56"/>
      <c r="AWN19" s="56"/>
      <c r="AWO19" s="56"/>
      <c r="AWP19" s="56"/>
      <c r="AWQ19" s="56"/>
      <c r="AWR19" s="56"/>
      <c r="AWS19" s="56"/>
      <c r="AWT19" s="56"/>
      <c r="AWU19" s="56"/>
      <c r="AWV19" s="56"/>
      <c r="AWW19" s="56"/>
      <c r="AWX19" s="56"/>
      <c r="AWY19" s="56"/>
      <c r="AWZ19" s="56"/>
      <c r="AXA19" s="56"/>
      <c r="AXB19" s="56"/>
      <c r="AXC19" s="56"/>
      <c r="AXD19" s="56"/>
      <c r="AXE19" s="56"/>
      <c r="AXF19" s="56"/>
      <c r="AXG19" s="56"/>
      <c r="AXH19" s="56"/>
      <c r="AXI19" s="56"/>
      <c r="AXJ19" s="56"/>
      <c r="AXK19" s="56"/>
      <c r="AXL19" s="56"/>
      <c r="AXM19" s="56"/>
    </row>
    <row r="20" spans="1:1313" x14ac:dyDescent="0.3">
      <c r="A20" s="1" t="s">
        <v>2188</v>
      </c>
      <c r="B20" s="1" t="s">
        <v>2189</v>
      </c>
      <c r="C20" s="1" t="s">
        <v>2190</v>
      </c>
      <c r="D20" s="1" t="s">
        <v>2078</v>
      </c>
      <c r="E20" s="1" t="s">
        <v>2173</v>
      </c>
      <c r="F20" s="1" t="s">
        <v>2078</v>
      </c>
      <c r="I20" s="1" t="s">
        <v>2080</v>
      </c>
      <c r="J20" s="1" t="s">
        <v>2081</v>
      </c>
      <c r="K20" s="1" t="s">
        <v>2081</v>
      </c>
      <c r="N20" s="1" t="s">
        <v>1152</v>
      </c>
      <c r="O20" s="2">
        <v>1</v>
      </c>
      <c r="P20" s="2">
        <v>0</v>
      </c>
      <c r="Q20" s="2">
        <v>0</v>
      </c>
      <c r="R20" s="2">
        <v>0</v>
      </c>
      <c r="S20" s="2">
        <v>0</v>
      </c>
      <c r="U20" s="1" t="s">
        <v>1654</v>
      </c>
      <c r="W20" s="1" t="s">
        <v>1155</v>
      </c>
      <c r="X20" s="1" t="s">
        <v>1155</v>
      </c>
      <c r="AN20" s="1" t="s">
        <v>1179</v>
      </c>
      <c r="AO20" s="2">
        <v>714</v>
      </c>
      <c r="AP20" s="1" t="s">
        <v>1871</v>
      </c>
      <c r="AR20" s="1" t="s">
        <v>1649</v>
      </c>
      <c r="AS20" s="1" t="s">
        <v>1655</v>
      </c>
      <c r="AT20" s="1" t="s">
        <v>1155</v>
      </c>
      <c r="AU20" s="1" t="s">
        <v>1164</v>
      </c>
      <c r="BF20" s="1" t="s">
        <v>1188</v>
      </c>
      <c r="BG20" s="2">
        <v>0</v>
      </c>
      <c r="BH20" s="2">
        <v>1</v>
      </c>
      <c r="BI20" s="2">
        <v>0</v>
      </c>
      <c r="BJ20" s="2">
        <v>0</v>
      </c>
      <c r="BK20" s="2">
        <v>0</v>
      </c>
      <c r="BL20" s="2">
        <v>0</v>
      </c>
      <c r="BM20" s="2">
        <v>0</v>
      </c>
      <c r="BO20" s="1" t="s">
        <v>1184</v>
      </c>
      <c r="BP20" s="2">
        <v>1</v>
      </c>
      <c r="BQ20" s="2">
        <v>0</v>
      </c>
      <c r="BR20" s="2">
        <v>0</v>
      </c>
      <c r="BS20" s="2">
        <v>0</v>
      </c>
      <c r="BT20" s="2">
        <v>0</v>
      </c>
      <c r="BU20" s="2">
        <v>0</v>
      </c>
      <c r="BV20" s="2">
        <v>0</v>
      </c>
      <c r="BW20" s="2">
        <v>0</v>
      </c>
      <c r="BX20" s="2">
        <v>0</v>
      </c>
      <c r="BY20" s="2">
        <v>0</v>
      </c>
      <c r="BZ20" s="2">
        <v>0</v>
      </c>
      <c r="CA20" s="2">
        <v>0</v>
      </c>
      <c r="CC20" s="1" t="s">
        <v>1155</v>
      </c>
      <c r="CD20" s="1" t="s">
        <v>1979</v>
      </c>
      <c r="CF20" s="2">
        <v>100</v>
      </c>
      <c r="CG20" s="1" t="s">
        <v>1154</v>
      </c>
      <c r="CY20" s="1" t="s">
        <v>1388</v>
      </c>
      <c r="CZ20" s="2">
        <v>0</v>
      </c>
      <c r="DA20" s="2">
        <v>0</v>
      </c>
      <c r="DB20" s="2">
        <v>0</v>
      </c>
      <c r="DC20" s="2">
        <v>0</v>
      </c>
      <c r="DD20" s="2">
        <v>1</v>
      </c>
      <c r="DE20" s="2">
        <v>0</v>
      </c>
      <c r="DF20" s="2">
        <v>0</v>
      </c>
      <c r="DG20" s="2">
        <v>0</v>
      </c>
      <c r="DI20" s="1" t="s">
        <v>1154</v>
      </c>
      <c r="DQ20" s="1" t="s">
        <v>1167</v>
      </c>
      <c r="DR20" s="2">
        <v>0</v>
      </c>
      <c r="DS20" s="2">
        <v>1</v>
      </c>
      <c r="DT20" s="2">
        <v>0</v>
      </c>
      <c r="DU20" s="2">
        <v>0</v>
      </c>
      <c r="DV20" s="2">
        <v>0</v>
      </c>
      <c r="DX20" s="1" t="s">
        <v>1946</v>
      </c>
      <c r="DY20" s="2">
        <v>1</v>
      </c>
      <c r="DZ20" s="2">
        <v>0</v>
      </c>
      <c r="EA20" s="2">
        <v>0</v>
      </c>
      <c r="EB20" s="2">
        <v>0</v>
      </c>
      <c r="EC20" s="2">
        <v>0</v>
      </c>
      <c r="ED20" s="2">
        <v>0</v>
      </c>
      <c r="EE20" s="2">
        <v>0</v>
      </c>
      <c r="EF20" s="2">
        <v>0</v>
      </c>
      <c r="EG20" s="2">
        <v>0</v>
      </c>
      <c r="EH20" s="2">
        <v>0</v>
      </c>
      <c r="EI20" s="2">
        <v>0</v>
      </c>
      <c r="EJ20" s="2">
        <v>0</v>
      </c>
      <c r="EK20" s="2">
        <v>1</v>
      </c>
      <c r="EM20" s="1" t="s">
        <v>1189</v>
      </c>
      <c r="EN20" s="2">
        <v>0</v>
      </c>
      <c r="EO20" s="2">
        <v>0</v>
      </c>
      <c r="EP20" s="2">
        <v>0</v>
      </c>
      <c r="EQ20" s="2">
        <v>0</v>
      </c>
      <c r="ER20" s="2">
        <v>1</v>
      </c>
      <c r="ES20" s="2">
        <v>0</v>
      </c>
      <c r="ET20" s="2">
        <v>0</v>
      </c>
      <c r="EU20" s="2">
        <v>0</v>
      </c>
      <c r="EV20" s="2">
        <v>0</v>
      </c>
      <c r="EW20" s="2">
        <v>0</v>
      </c>
      <c r="EX20" s="2">
        <v>0</v>
      </c>
      <c r="EY20" s="2">
        <v>0</v>
      </c>
      <c r="EZ20" s="2">
        <v>0</v>
      </c>
      <c r="FB20" s="1" t="s">
        <v>1155</v>
      </c>
      <c r="FC20" s="1" t="s">
        <v>1157</v>
      </c>
      <c r="FD20" s="2">
        <v>0</v>
      </c>
      <c r="FE20" s="2">
        <v>0</v>
      </c>
      <c r="FF20" s="2">
        <v>0</v>
      </c>
      <c r="FG20" s="2">
        <v>0</v>
      </c>
      <c r="FH20" s="2">
        <v>1</v>
      </c>
      <c r="FI20" s="2">
        <v>0</v>
      </c>
      <c r="FJ20" s="2">
        <v>0</v>
      </c>
      <c r="FL20" s="1" t="s">
        <v>1191</v>
      </c>
      <c r="FM20" s="2">
        <v>0</v>
      </c>
      <c r="FN20" s="2">
        <v>1</v>
      </c>
      <c r="FO20" s="2">
        <v>0</v>
      </c>
      <c r="FP20" s="2">
        <v>0</v>
      </c>
      <c r="FQ20" s="2">
        <v>0</v>
      </c>
      <c r="FR20" s="2">
        <v>0</v>
      </c>
      <c r="FS20" s="2">
        <v>0</v>
      </c>
      <c r="FT20" s="2">
        <v>0</v>
      </c>
      <c r="FU20" s="2">
        <v>0</v>
      </c>
      <c r="FV20" s="2">
        <v>0</v>
      </c>
      <c r="FW20" s="2">
        <v>0</v>
      </c>
      <c r="FX20" s="2">
        <v>0</v>
      </c>
      <c r="FY20" s="2">
        <v>0</v>
      </c>
      <c r="GA20" s="1" t="s">
        <v>1155</v>
      </c>
      <c r="GI20" s="1" t="s">
        <v>1389</v>
      </c>
      <c r="GJ20" s="2">
        <v>0</v>
      </c>
      <c r="GK20" s="2">
        <v>0</v>
      </c>
      <c r="GL20" s="2">
        <v>0</v>
      </c>
      <c r="GM20" s="2">
        <v>0</v>
      </c>
      <c r="GN20" s="2">
        <v>0</v>
      </c>
      <c r="GO20" s="2">
        <v>0</v>
      </c>
      <c r="GP20" s="2">
        <v>0</v>
      </c>
      <c r="GQ20" s="2">
        <v>1</v>
      </c>
      <c r="GR20" s="2">
        <v>0</v>
      </c>
      <c r="GS20" s="2">
        <v>0</v>
      </c>
      <c r="GT20" s="2">
        <v>0</v>
      </c>
      <c r="GU20" s="2">
        <v>0</v>
      </c>
      <c r="GV20" s="2">
        <v>0</v>
      </c>
      <c r="AVT20" s="1">
        <v>129370133</v>
      </c>
      <c r="AVU20" s="1" t="s">
        <v>2191</v>
      </c>
      <c r="AVW20" s="1">
        <v>141</v>
      </c>
      <c r="AVX20" s="56"/>
      <c r="AVY20" s="56"/>
      <c r="AVZ20" s="56"/>
      <c r="AWA20" s="56"/>
      <c r="AWB20" s="56"/>
      <c r="AWC20" s="56"/>
      <c r="AWD20" s="56"/>
      <c r="AWE20" s="56"/>
      <c r="AWF20" s="56"/>
      <c r="AWG20" s="56"/>
      <c r="AWH20" s="56"/>
      <c r="AWI20" s="56"/>
      <c r="AWJ20" s="56"/>
      <c r="AWK20" s="56"/>
      <c r="AWL20" s="56"/>
      <c r="AWM20" s="56"/>
      <c r="AWN20" s="56"/>
      <c r="AWO20" s="56"/>
      <c r="AWP20" s="56"/>
      <c r="AWQ20" s="56"/>
      <c r="AWR20" s="56"/>
      <c r="AWS20" s="56"/>
      <c r="AWT20" s="56"/>
      <c r="AWU20" s="56"/>
      <c r="AWV20" s="56"/>
      <c r="AWW20" s="56"/>
      <c r="AWX20" s="56"/>
      <c r="AWY20" s="56"/>
      <c r="AWZ20" s="56"/>
      <c r="AXA20" s="56"/>
      <c r="AXB20" s="56"/>
      <c r="AXC20" s="56"/>
      <c r="AXD20" s="56"/>
      <c r="AXE20" s="56"/>
      <c r="AXF20" s="56"/>
      <c r="AXG20" s="56"/>
      <c r="AXH20" s="56"/>
      <c r="AXI20" s="56"/>
      <c r="AXJ20" s="56"/>
      <c r="AXK20" s="56"/>
      <c r="AXL20" s="56"/>
      <c r="AXM20" s="56"/>
    </row>
    <row r="21" spans="1:1313" x14ac:dyDescent="0.3">
      <c r="A21" s="1" t="s">
        <v>2192</v>
      </c>
      <c r="B21" s="1" t="s">
        <v>2193</v>
      </c>
      <c r="C21" s="1" t="s">
        <v>2194</v>
      </c>
      <c r="D21" s="1" t="s">
        <v>2088</v>
      </c>
      <c r="E21" s="1" t="s">
        <v>2173</v>
      </c>
      <c r="F21" s="1" t="s">
        <v>2088</v>
      </c>
      <c r="I21" s="1" t="s">
        <v>2080</v>
      </c>
      <c r="J21" s="1" t="s">
        <v>2081</v>
      </c>
      <c r="K21" s="1" t="s">
        <v>2081</v>
      </c>
      <c r="N21" s="1" t="s">
        <v>1168</v>
      </c>
      <c r="O21" s="2">
        <v>0</v>
      </c>
      <c r="P21" s="2">
        <v>0</v>
      </c>
      <c r="Q21" s="2">
        <v>1</v>
      </c>
      <c r="R21" s="2">
        <v>0</v>
      </c>
      <c r="S21" s="2">
        <v>0</v>
      </c>
      <c r="ZS21" s="1" t="s">
        <v>2195</v>
      </c>
      <c r="ZT21" s="1" t="s">
        <v>1935</v>
      </c>
      <c r="ZV21" s="1" t="s">
        <v>1170</v>
      </c>
      <c r="ZX21" s="1" t="s">
        <v>1515</v>
      </c>
      <c r="ZY21" s="1" t="s">
        <v>2196</v>
      </c>
      <c r="ZZ21" s="2">
        <v>0</v>
      </c>
      <c r="AAA21" s="2">
        <v>1</v>
      </c>
      <c r="AAB21" s="2">
        <v>0</v>
      </c>
      <c r="AAC21" s="2">
        <v>0</v>
      </c>
      <c r="AAD21" s="2">
        <v>0</v>
      </c>
      <c r="AAE21" s="2">
        <v>1</v>
      </c>
      <c r="AAF21" s="2">
        <v>0</v>
      </c>
      <c r="AAG21" s="2">
        <v>0</v>
      </c>
      <c r="AAI21" s="1" t="s">
        <v>1641</v>
      </c>
      <c r="ABE21" s="1" t="s">
        <v>2197</v>
      </c>
      <c r="ABF21" s="2">
        <v>1</v>
      </c>
      <c r="ABG21" s="2">
        <v>1</v>
      </c>
      <c r="ABH21" s="2">
        <v>0</v>
      </c>
      <c r="ABI21" s="2">
        <v>0</v>
      </c>
      <c r="ABJ21" s="2">
        <v>0</v>
      </c>
      <c r="ABL21" s="1" t="s">
        <v>1962</v>
      </c>
      <c r="ABM21" s="2">
        <v>0</v>
      </c>
      <c r="ABN21" s="2">
        <v>0</v>
      </c>
      <c r="ABO21" s="2">
        <v>0</v>
      </c>
      <c r="ABP21" s="2">
        <v>0</v>
      </c>
      <c r="ABQ21" s="2">
        <v>1</v>
      </c>
      <c r="ABR21" s="2">
        <v>1</v>
      </c>
      <c r="ABS21" s="2">
        <v>0</v>
      </c>
      <c r="ABT21" s="2">
        <v>0</v>
      </c>
      <c r="ABU21" s="2">
        <v>0</v>
      </c>
      <c r="ABV21" s="2">
        <v>0</v>
      </c>
      <c r="ABW21" s="2">
        <v>0</v>
      </c>
      <c r="ABX21" s="2">
        <v>0</v>
      </c>
      <c r="ABZ21" s="2">
        <v>13</v>
      </c>
      <c r="ACA21" s="1" t="s">
        <v>1155</v>
      </c>
      <c r="ACB21" s="2">
        <v>10</v>
      </c>
      <c r="ACC21" s="1" t="s">
        <v>1155</v>
      </c>
      <c r="ACD21" s="2">
        <v>4</v>
      </c>
      <c r="ACE21" s="2">
        <v>6</v>
      </c>
      <c r="ACF21" s="2">
        <v>4</v>
      </c>
      <c r="ACG21" s="2">
        <v>8</v>
      </c>
      <c r="ACI21" s="1" t="s">
        <v>1155</v>
      </c>
      <c r="ACJ21" s="1" t="s">
        <v>1155</v>
      </c>
      <c r="ACK21" s="1" t="s">
        <v>1654</v>
      </c>
      <c r="ACM21" s="1" t="s">
        <v>1154</v>
      </c>
      <c r="ACN21" s="2">
        <v>1200</v>
      </c>
      <c r="ACO21" s="2">
        <v>720</v>
      </c>
      <c r="ACP21" s="2">
        <v>480</v>
      </c>
      <c r="ACQ21" s="2">
        <v>480</v>
      </c>
      <c r="ACR21" s="2">
        <v>1200</v>
      </c>
      <c r="ACT21" s="2">
        <v>7</v>
      </c>
      <c r="ACU21" s="2">
        <v>14</v>
      </c>
      <c r="ACV21" s="1" t="s">
        <v>1155</v>
      </c>
      <c r="ACW21" s="1" t="s">
        <v>1160</v>
      </c>
      <c r="ADG21" s="1" t="s">
        <v>1948</v>
      </c>
      <c r="ADH21" s="2">
        <v>1</v>
      </c>
      <c r="ADI21" s="2">
        <v>0</v>
      </c>
      <c r="ADJ21" s="2">
        <v>0</v>
      </c>
      <c r="ADK21" s="2">
        <v>0</v>
      </c>
      <c r="ADL21" s="2">
        <v>0</v>
      </c>
      <c r="ADM21" s="2">
        <v>0</v>
      </c>
      <c r="ADN21" s="2">
        <v>0</v>
      </c>
      <c r="ADO21" s="2">
        <v>0</v>
      </c>
      <c r="ADP21" s="1" t="s">
        <v>2198</v>
      </c>
      <c r="ADQ21" s="2">
        <v>13</v>
      </c>
      <c r="ADR21" s="2">
        <v>3</v>
      </c>
      <c r="ADS21" s="2">
        <v>10</v>
      </c>
      <c r="ADT21" s="2">
        <v>10</v>
      </c>
      <c r="ADU21" s="2">
        <v>13</v>
      </c>
      <c r="ADW21" s="1" t="s">
        <v>1155</v>
      </c>
      <c r="ADX21" s="1" t="s">
        <v>1160</v>
      </c>
      <c r="AEG21" s="1" t="s">
        <v>2199</v>
      </c>
      <c r="AEH21" s="2">
        <v>1</v>
      </c>
      <c r="AEI21" s="2">
        <v>1</v>
      </c>
      <c r="AEJ21" s="2">
        <v>0</v>
      </c>
      <c r="AEK21" s="2">
        <v>0</v>
      </c>
      <c r="AEL21" s="2">
        <v>0</v>
      </c>
      <c r="AEM21" s="2">
        <v>0</v>
      </c>
      <c r="AEO21" s="2">
        <v>2</v>
      </c>
      <c r="AEP21" s="2">
        <v>1</v>
      </c>
      <c r="AEQ21" s="2">
        <v>1</v>
      </c>
      <c r="AER21" s="2">
        <v>1</v>
      </c>
      <c r="AES21" s="2">
        <v>2</v>
      </c>
      <c r="AEU21" s="1" t="s">
        <v>1155</v>
      </c>
      <c r="AEV21" s="1" t="s">
        <v>1160</v>
      </c>
      <c r="AFD21" s="1" t="s">
        <v>1961</v>
      </c>
      <c r="AFE21" s="2">
        <v>1</v>
      </c>
      <c r="AFF21" s="2">
        <v>0</v>
      </c>
      <c r="AFG21" s="2">
        <v>0</v>
      </c>
      <c r="AFH21" s="2">
        <v>0</v>
      </c>
      <c r="AFI21" s="2">
        <v>0</v>
      </c>
      <c r="AFJ21" s="2">
        <v>0</v>
      </c>
      <c r="AFL21" s="2">
        <v>10</v>
      </c>
      <c r="AFM21" s="2">
        <v>1</v>
      </c>
      <c r="AFN21" s="2">
        <v>9</v>
      </c>
      <c r="AFO21" s="2">
        <v>9</v>
      </c>
      <c r="AFP21" s="2">
        <v>10</v>
      </c>
      <c r="AFR21" s="1" t="s">
        <v>1155</v>
      </c>
      <c r="AFS21" s="1" t="s">
        <v>1160</v>
      </c>
      <c r="AGA21" s="1" t="s">
        <v>2200</v>
      </c>
      <c r="AGB21" s="2">
        <v>1</v>
      </c>
      <c r="AGC21" s="2">
        <v>1</v>
      </c>
      <c r="AGD21" s="2">
        <v>0</v>
      </c>
      <c r="AGE21" s="2">
        <v>0</v>
      </c>
      <c r="AGF21" s="2">
        <v>0</v>
      </c>
      <c r="AGH21" s="1" t="s">
        <v>1155</v>
      </c>
      <c r="AGI21" s="1" t="s">
        <v>1183</v>
      </c>
      <c r="AGJ21" s="1" t="s">
        <v>1154</v>
      </c>
      <c r="AHQ21" s="1" t="s">
        <v>1161</v>
      </c>
      <c r="AHR21" s="2">
        <v>0</v>
      </c>
      <c r="AHS21" s="2">
        <v>0</v>
      </c>
      <c r="AHT21" s="2">
        <v>1</v>
      </c>
      <c r="AHU21" s="2">
        <v>0</v>
      </c>
      <c r="AHV21" s="2">
        <v>0</v>
      </c>
      <c r="AHX21" s="1" t="s">
        <v>2201</v>
      </c>
      <c r="AHY21" s="2">
        <v>1</v>
      </c>
      <c r="AHZ21" s="2">
        <v>0</v>
      </c>
      <c r="AIA21" s="2">
        <v>1</v>
      </c>
      <c r="AIB21" s="2">
        <v>0</v>
      </c>
      <c r="AIC21" s="2">
        <v>0</v>
      </c>
      <c r="AID21" s="2">
        <v>0</v>
      </c>
      <c r="AIE21" s="2">
        <v>0</v>
      </c>
      <c r="AIF21" s="2">
        <v>0</v>
      </c>
      <c r="AIG21" s="2">
        <v>0</v>
      </c>
      <c r="AIH21" s="2">
        <v>0</v>
      </c>
      <c r="AII21" s="2">
        <v>0</v>
      </c>
      <c r="AIK21" s="1" t="s">
        <v>1163</v>
      </c>
      <c r="AIL21" s="2">
        <v>0</v>
      </c>
      <c r="AIM21" s="2">
        <v>0</v>
      </c>
      <c r="AIN21" s="2">
        <v>0</v>
      </c>
      <c r="AIO21" s="2">
        <v>0</v>
      </c>
      <c r="AIP21" s="2">
        <v>0</v>
      </c>
      <c r="AIQ21" s="2">
        <v>0</v>
      </c>
      <c r="AIR21" s="2">
        <v>0</v>
      </c>
      <c r="AIS21" s="2">
        <v>0</v>
      </c>
      <c r="AIT21" s="2">
        <v>0</v>
      </c>
      <c r="AIU21" s="2">
        <v>1</v>
      </c>
      <c r="AIV21" s="2">
        <v>0</v>
      </c>
      <c r="AIW21" s="2">
        <v>0</v>
      </c>
      <c r="AIX21" s="2">
        <v>0</v>
      </c>
      <c r="AIZ21" s="1" t="s">
        <v>1154</v>
      </c>
      <c r="AKF21" s="1" t="s">
        <v>2202</v>
      </c>
      <c r="AKG21" s="2">
        <v>1</v>
      </c>
      <c r="AKH21" s="2">
        <v>0</v>
      </c>
      <c r="AKI21" s="2">
        <v>0</v>
      </c>
      <c r="AKJ21" s="2">
        <v>0</v>
      </c>
      <c r="AKK21" s="2">
        <v>0</v>
      </c>
      <c r="AKL21" s="2">
        <v>0</v>
      </c>
      <c r="AKM21" s="2">
        <v>1</v>
      </c>
      <c r="AKN21" s="2">
        <v>0</v>
      </c>
      <c r="AKO21" s="2">
        <v>0</v>
      </c>
      <c r="AKP21" s="2">
        <v>1</v>
      </c>
      <c r="AKQ21" s="2">
        <v>0</v>
      </c>
      <c r="AKR21" s="2">
        <v>0</v>
      </c>
      <c r="AVT21" s="1">
        <v>129370515</v>
      </c>
      <c r="AVU21" s="1" t="s">
        <v>2203</v>
      </c>
      <c r="AVW21" s="1">
        <v>142</v>
      </c>
      <c r="AVX21" s="56"/>
      <c r="AVY21" s="56"/>
      <c r="AVZ21" s="56"/>
      <c r="AWA21" s="56"/>
      <c r="AWB21" s="56"/>
      <c r="AWC21" s="56"/>
      <c r="AWD21" s="56"/>
      <c r="AWE21" s="56"/>
      <c r="AWF21" s="56"/>
      <c r="AWG21" s="56"/>
      <c r="AWH21" s="56"/>
      <c r="AWI21" s="56"/>
      <c r="AWJ21" s="56"/>
      <c r="AWK21" s="56"/>
      <c r="AWL21" s="56"/>
      <c r="AWM21" s="56"/>
      <c r="AWN21" s="56"/>
      <c r="AWO21" s="56"/>
      <c r="AWP21" s="56"/>
      <c r="AWQ21" s="56"/>
      <c r="AWR21" s="56"/>
      <c r="AWS21" s="56"/>
      <c r="AWT21" s="56"/>
      <c r="AWU21" s="56"/>
      <c r="AWV21" s="56"/>
      <c r="AWW21" s="56"/>
      <c r="AWX21" s="56"/>
      <c r="AWY21" s="56"/>
      <c r="AWZ21" s="56"/>
      <c r="AXA21" s="56"/>
      <c r="AXB21" s="56"/>
      <c r="AXC21" s="56"/>
      <c r="AXD21" s="56"/>
      <c r="AXE21" s="56"/>
      <c r="AXF21" s="56"/>
      <c r="AXG21" s="56"/>
      <c r="AXH21" s="56"/>
      <c r="AXI21" s="56"/>
      <c r="AXJ21" s="56"/>
      <c r="AXK21" s="56"/>
      <c r="AXL21" s="56"/>
      <c r="AXM21" s="56"/>
    </row>
    <row r="22" spans="1:1313" x14ac:dyDescent="0.3">
      <c r="A22" s="1" t="s">
        <v>2204</v>
      </c>
      <c r="B22" s="1" t="s">
        <v>2205</v>
      </c>
      <c r="C22" s="1" t="s">
        <v>2206</v>
      </c>
      <c r="D22" s="1" t="s">
        <v>2088</v>
      </c>
      <c r="E22" s="1" t="s">
        <v>2173</v>
      </c>
      <c r="F22" s="1" t="s">
        <v>2088</v>
      </c>
      <c r="I22" s="1" t="s">
        <v>2080</v>
      </c>
      <c r="J22" s="1" t="s">
        <v>2081</v>
      </c>
      <c r="K22" s="1" t="s">
        <v>2081</v>
      </c>
      <c r="N22" s="1" t="s">
        <v>1152</v>
      </c>
      <c r="O22" s="2">
        <v>1</v>
      </c>
      <c r="P22" s="2">
        <v>0</v>
      </c>
      <c r="Q22" s="2">
        <v>0</v>
      </c>
      <c r="R22" s="2">
        <v>0</v>
      </c>
      <c r="S22" s="2">
        <v>0</v>
      </c>
      <c r="U22" s="1" t="s">
        <v>1654</v>
      </c>
      <c r="W22" s="1" t="s">
        <v>1154</v>
      </c>
      <c r="X22" s="1" t="s">
        <v>1155</v>
      </c>
      <c r="AN22" s="1" t="s">
        <v>1179</v>
      </c>
      <c r="AO22" s="2">
        <v>600</v>
      </c>
      <c r="AP22" s="1" t="s">
        <v>1871</v>
      </c>
      <c r="AR22" s="1" t="s">
        <v>1642</v>
      </c>
      <c r="AS22" s="1" t="s">
        <v>1653</v>
      </c>
      <c r="AT22" s="1" t="s">
        <v>1155</v>
      </c>
      <c r="AU22" s="1" t="s">
        <v>1164</v>
      </c>
      <c r="BF22" s="1" t="s">
        <v>1188</v>
      </c>
      <c r="BG22" s="2">
        <v>0</v>
      </c>
      <c r="BH22" s="2">
        <v>1</v>
      </c>
      <c r="BI22" s="2">
        <v>0</v>
      </c>
      <c r="BJ22" s="2">
        <v>0</v>
      </c>
      <c r="BK22" s="2">
        <v>0</v>
      </c>
      <c r="BL22" s="2">
        <v>0</v>
      </c>
      <c r="BM22" s="2">
        <v>0</v>
      </c>
      <c r="BO22" s="1" t="s">
        <v>1161</v>
      </c>
      <c r="BP22" s="2">
        <v>0</v>
      </c>
      <c r="BQ22" s="2">
        <v>0</v>
      </c>
      <c r="BR22" s="2">
        <v>0</v>
      </c>
      <c r="BS22" s="2">
        <v>0</v>
      </c>
      <c r="BT22" s="2">
        <v>0</v>
      </c>
      <c r="BU22" s="2">
        <v>0</v>
      </c>
      <c r="BV22" s="2">
        <v>0</v>
      </c>
      <c r="BW22" s="2">
        <v>1</v>
      </c>
      <c r="BX22" s="2">
        <v>0</v>
      </c>
      <c r="BY22" s="2">
        <v>0</v>
      </c>
      <c r="BZ22" s="2">
        <v>0</v>
      </c>
      <c r="CA22" s="2">
        <v>0</v>
      </c>
      <c r="CC22" s="1" t="s">
        <v>1154</v>
      </c>
      <c r="DQ22" s="1" t="s">
        <v>1167</v>
      </c>
      <c r="DR22" s="2">
        <v>0</v>
      </c>
      <c r="DS22" s="2">
        <v>1</v>
      </c>
      <c r="DT22" s="2">
        <v>0</v>
      </c>
      <c r="DU22" s="2">
        <v>0</v>
      </c>
      <c r="DV22" s="2">
        <v>0</v>
      </c>
      <c r="DX22" s="1" t="s">
        <v>1163</v>
      </c>
      <c r="DY22" s="2">
        <v>0</v>
      </c>
      <c r="DZ22" s="2">
        <v>0</v>
      </c>
      <c r="EA22" s="2">
        <v>0</v>
      </c>
      <c r="EB22" s="2">
        <v>0</v>
      </c>
      <c r="EC22" s="2">
        <v>0</v>
      </c>
      <c r="ED22" s="2">
        <v>0</v>
      </c>
      <c r="EE22" s="2">
        <v>0</v>
      </c>
      <c r="EF22" s="2">
        <v>0</v>
      </c>
      <c r="EG22" s="2">
        <v>0</v>
      </c>
      <c r="EH22" s="2">
        <v>1</v>
      </c>
      <c r="EI22" s="2">
        <v>0</v>
      </c>
      <c r="EJ22" s="2">
        <v>0</v>
      </c>
      <c r="EK22" s="2">
        <v>0</v>
      </c>
      <c r="EM22" s="1" t="s">
        <v>1189</v>
      </c>
      <c r="EN22" s="2">
        <v>0</v>
      </c>
      <c r="EO22" s="2">
        <v>0</v>
      </c>
      <c r="EP22" s="2">
        <v>0</v>
      </c>
      <c r="EQ22" s="2">
        <v>0</v>
      </c>
      <c r="ER22" s="2">
        <v>1</v>
      </c>
      <c r="ES22" s="2">
        <v>0</v>
      </c>
      <c r="ET22" s="2">
        <v>0</v>
      </c>
      <c r="EU22" s="2">
        <v>0</v>
      </c>
      <c r="EV22" s="2">
        <v>0</v>
      </c>
      <c r="EW22" s="2">
        <v>0</v>
      </c>
      <c r="EX22" s="2">
        <v>0</v>
      </c>
      <c r="EY22" s="2">
        <v>0</v>
      </c>
      <c r="EZ22" s="2">
        <v>0</v>
      </c>
      <c r="FB22" s="1" t="s">
        <v>1154</v>
      </c>
      <c r="GI22" s="1" t="s">
        <v>1958</v>
      </c>
      <c r="GJ22" s="2">
        <v>0</v>
      </c>
      <c r="GK22" s="2">
        <v>1</v>
      </c>
      <c r="GL22" s="2">
        <v>1</v>
      </c>
      <c r="GM22" s="2">
        <v>0</v>
      </c>
      <c r="GN22" s="2">
        <v>0</v>
      </c>
      <c r="GO22" s="2">
        <v>1</v>
      </c>
      <c r="GP22" s="2">
        <v>0</v>
      </c>
      <c r="GQ22" s="2">
        <v>0</v>
      </c>
      <c r="GR22" s="2">
        <v>0</v>
      </c>
      <c r="GS22" s="2">
        <v>0</v>
      </c>
      <c r="GT22" s="2">
        <v>0</v>
      </c>
      <c r="GU22" s="2">
        <v>0</v>
      </c>
      <c r="GV22" s="2">
        <v>0</v>
      </c>
      <c r="AVT22" s="1">
        <v>129370583</v>
      </c>
      <c r="AVU22" s="1" t="s">
        <v>2207</v>
      </c>
      <c r="AVW22" s="1">
        <v>143</v>
      </c>
      <c r="AVX22" s="56"/>
      <c r="AVY22" s="56"/>
      <c r="AVZ22" s="56"/>
      <c r="AWA22" s="56"/>
      <c r="AWB22" s="56"/>
      <c r="AWC22" s="56"/>
      <c r="AWD22" s="56"/>
      <c r="AWE22" s="56"/>
      <c r="AWF22" s="56"/>
      <c r="AWG22" s="56"/>
      <c r="AWH22" s="56"/>
      <c r="AWI22" s="56"/>
      <c r="AWJ22" s="56"/>
      <c r="AWK22" s="56"/>
      <c r="AWL22" s="56"/>
      <c r="AWM22" s="56"/>
      <c r="AWN22" s="56"/>
      <c r="AWO22" s="56"/>
      <c r="AWP22" s="56"/>
      <c r="AWQ22" s="56"/>
      <c r="AWR22" s="56"/>
      <c r="AWS22" s="56"/>
      <c r="AWT22" s="56"/>
      <c r="AWU22" s="56"/>
      <c r="AWV22" s="56"/>
      <c r="AWW22" s="56"/>
      <c r="AWX22" s="56"/>
      <c r="AWY22" s="56"/>
      <c r="AWZ22" s="56"/>
      <c r="AXA22" s="56"/>
      <c r="AXB22" s="56"/>
      <c r="AXC22" s="56"/>
      <c r="AXD22" s="56"/>
      <c r="AXE22" s="56"/>
      <c r="AXF22" s="56"/>
      <c r="AXG22" s="56"/>
      <c r="AXH22" s="56"/>
      <c r="AXI22" s="56"/>
      <c r="AXJ22" s="56"/>
      <c r="AXK22" s="56"/>
      <c r="AXL22" s="56"/>
      <c r="AXM22" s="56"/>
    </row>
    <row r="23" spans="1:1313" x14ac:dyDescent="0.3">
      <c r="A23" s="1" t="s">
        <v>2208</v>
      </c>
      <c r="B23" s="1" t="s">
        <v>2209</v>
      </c>
      <c r="C23" s="1" t="s">
        <v>2210</v>
      </c>
      <c r="D23" s="1" t="s">
        <v>1638</v>
      </c>
      <c r="E23" s="1" t="s">
        <v>2211</v>
      </c>
      <c r="F23" s="1" t="s">
        <v>1638</v>
      </c>
      <c r="I23" s="1" t="s">
        <v>2080</v>
      </c>
      <c r="J23" s="1" t="s">
        <v>2081</v>
      </c>
      <c r="K23" s="1" t="s">
        <v>2081</v>
      </c>
      <c r="N23" s="1" t="s">
        <v>1152</v>
      </c>
      <c r="O23" s="2">
        <v>1</v>
      </c>
      <c r="P23" s="2">
        <v>0</v>
      </c>
      <c r="Q23" s="2">
        <v>0</v>
      </c>
      <c r="R23" s="2">
        <v>0</v>
      </c>
      <c r="S23" s="2">
        <v>0</v>
      </c>
      <c r="U23" s="1" t="s">
        <v>1874</v>
      </c>
      <c r="W23" s="1" t="s">
        <v>1154</v>
      </c>
      <c r="X23" s="1" t="s">
        <v>1155</v>
      </c>
      <c r="AN23" s="1" t="s">
        <v>1187</v>
      </c>
      <c r="AO23" s="2">
        <v>169</v>
      </c>
      <c r="AP23" s="1" t="s">
        <v>1871</v>
      </c>
      <c r="AR23" s="1" t="s">
        <v>1891</v>
      </c>
      <c r="AS23" s="1" t="s">
        <v>1163</v>
      </c>
      <c r="AT23" s="1" t="s">
        <v>1155</v>
      </c>
      <c r="AU23" s="1" t="s">
        <v>1156</v>
      </c>
      <c r="AV23" s="1" t="s">
        <v>2212</v>
      </c>
      <c r="AW23" s="2">
        <v>0</v>
      </c>
      <c r="AX23" s="2">
        <v>1</v>
      </c>
      <c r="AY23" s="2">
        <v>0</v>
      </c>
      <c r="AZ23" s="2">
        <v>0</v>
      </c>
      <c r="BA23" s="2">
        <v>1</v>
      </c>
      <c r="BB23" s="2">
        <v>0</v>
      </c>
      <c r="BC23" s="2">
        <v>0</v>
      </c>
      <c r="BD23" s="2">
        <v>0</v>
      </c>
      <c r="BO23" s="1" t="s">
        <v>1157</v>
      </c>
      <c r="BP23" s="2">
        <v>0</v>
      </c>
      <c r="BQ23" s="2">
        <v>0</v>
      </c>
      <c r="BR23" s="2">
        <v>0</v>
      </c>
      <c r="BS23" s="2">
        <v>0</v>
      </c>
      <c r="BT23" s="2">
        <v>0</v>
      </c>
      <c r="BU23" s="2">
        <v>1</v>
      </c>
      <c r="BV23" s="2">
        <v>0</v>
      </c>
      <c r="BW23" s="2">
        <v>0</v>
      </c>
      <c r="BX23" s="2">
        <v>0</v>
      </c>
      <c r="BY23" s="2">
        <v>0</v>
      </c>
      <c r="BZ23" s="2">
        <v>0</v>
      </c>
      <c r="CA23" s="2">
        <v>0</v>
      </c>
      <c r="CC23" s="1" t="s">
        <v>1154</v>
      </c>
      <c r="DQ23" s="1" t="s">
        <v>1385</v>
      </c>
      <c r="DR23" s="2">
        <v>1</v>
      </c>
      <c r="DS23" s="2">
        <v>0</v>
      </c>
      <c r="DT23" s="2">
        <v>0</v>
      </c>
      <c r="DU23" s="2">
        <v>0</v>
      </c>
      <c r="DV23" s="2">
        <v>0</v>
      </c>
      <c r="DX23" s="1" t="s">
        <v>2213</v>
      </c>
      <c r="DY23" s="2">
        <v>0</v>
      </c>
      <c r="DZ23" s="2">
        <v>0</v>
      </c>
      <c r="EA23" s="2">
        <v>0</v>
      </c>
      <c r="EB23" s="2">
        <v>1</v>
      </c>
      <c r="EC23" s="2">
        <v>0</v>
      </c>
      <c r="ED23" s="2">
        <v>0</v>
      </c>
      <c r="EE23" s="2">
        <v>0</v>
      </c>
      <c r="EF23" s="2">
        <v>1</v>
      </c>
      <c r="EG23" s="2">
        <v>1</v>
      </c>
      <c r="EH23" s="2">
        <v>0</v>
      </c>
      <c r="EI23" s="2">
        <v>0</v>
      </c>
      <c r="EJ23" s="2">
        <v>0</v>
      </c>
      <c r="EK23" s="2">
        <v>0</v>
      </c>
      <c r="EM23" s="1" t="s">
        <v>2214</v>
      </c>
      <c r="EN23" s="2">
        <v>0</v>
      </c>
      <c r="EO23" s="2">
        <v>0</v>
      </c>
      <c r="EP23" s="2">
        <v>1</v>
      </c>
      <c r="EQ23" s="2">
        <v>0</v>
      </c>
      <c r="ER23" s="2">
        <v>1</v>
      </c>
      <c r="ES23" s="2">
        <v>0</v>
      </c>
      <c r="ET23" s="2">
        <v>0</v>
      </c>
      <c r="EU23" s="2">
        <v>0</v>
      </c>
      <c r="EV23" s="2">
        <v>0</v>
      </c>
      <c r="EW23" s="2">
        <v>0</v>
      </c>
      <c r="EX23" s="2">
        <v>0</v>
      </c>
      <c r="EY23" s="2">
        <v>0</v>
      </c>
      <c r="EZ23" s="2">
        <v>0</v>
      </c>
      <c r="FB23" s="1" t="s">
        <v>1154</v>
      </c>
      <c r="GI23" s="1" t="s">
        <v>1161</v>
      </c>
      <c r="GJ23" s="2">
        <v>0</v>
      </c>
      <c r="GK23" s="2">
        <v>0</v>
      </c>
      <c r="GL23" s="2">
        <v>0</v>
      </c>
      <c r="GM23" s="2">
        <v>0</v>
      </c>
      <c r="GN23" s="2">
        <v>0</v>
      </c>
      <c r="GO23" s="2">
        <v>0</v>
      </c>
      <c r="GP23" s="2">
        <v>0</v>
      </c>
      <c r="GQ23" s="2">
        <v>0</v>
      </c>
      <c r="GR23" s="2">
        <v>0</v>
      </c>
      <c r="GS23" s="2">
        <v>0</v>
      </c>
      <c r="GT23" s="2">
        <v>0</v>
      </c>
      <c r="GU23" s="2">
        <v>1</v>
      </c>
      <c r="GV23" s="2">
        <v>0</v>
      </c>
      <c r="AVT23" s="1">
        <v>129373558</v>
      </c>
      <c r="AVU23" s="1" t="s">
        <v>2215</v>
      </c>
      <c r="AVW23" s="1">
        <v>144</v>
      </c>
      <c r="AVX23" s="56"/>
      <c r="AVY23" s="56"/>
      <c r="AVZ23" s="56"/>
      <c r="AWA23" s="56"/>
      <c r="AWB23" s="56"/>
      <c r="AWC23" s="56"/>
      <c r="AWD23" s="56"/>
      <c r="AWE23" s="56"/>
      <c r="AWF23" s="56"/>
      <c r="AWG23" s="56"/>
      <c r="AWH23" s="56"/>
      <c r="AWI23" s="56"/>
      <c r="AWJ23" s="56"/>
      <c r="AWK23" s="56"/>
      <c r="AWL23" s="56"/>
      <c r="AWM23" s="56"/>
      <c r="AWN23" s="56"/>
      <c r="AWO23" s="56"/>
      <c r="AWP23" s="56"/>
      <c r="AWQ23" s="56"/>
      <c r="AWR23" s="56"/>
      <c r="AWS23" s="56"/>
      <c r="AWT23" s="56"/>
      <c r="AWU23" s="56"/>
      <c r="AWV23" s="56"/>
      <c r="AWW23" s="56"/>
      <c r="AWX23" s="56"/>
      <c r="AWY23" s="56"/>
      <c r="AWZ23" s="56"/>
      <c r="AXA23" s="56"/>
      <c r="AXB23" s="56"/>
      <c r="AXC23" s="56"/>
      <c r="AXD23" s="56"/>
      <c r="AXE23" s="56"/>
      <c r="AXF23" s="56"/>
      <c r="AXG23" s="56"/>
      <c r="AXH23" s="56"/>
      <c r="AXI23" s="56"/>
      <c r="AXJ23" s="56"/>
      <c r="AXK23" s="56"/>
      <c r="AXL23" s="56"/>
      <c r="AXM23" s="56"/>
    </row>
    <row r="24" spans="1:1313" x14ac:dyDescent="0.3">
      <c r="A24" s="1" t="s">
        <v>2216</v>
      </c>
      <c r="B24" s="1" t="s">
        <v>2217</v>
      </c>
      <c r="C24" s="1" t="s">
        <v>2218</v>
      </c>
      <c r="D24" s="1" t="s">
        <v>2078</v>
      </c>
      <c r="E24" s="1" t="s">
        <v>2211</v>
      </c>
      <c r="F24" s="1" t="s">
        <v>2078</v>
      </c>
      <c r="I24" s="1" t="s">
        <v>2080</v>
      </c>
      <c r="J24" s="1" t="s">
        <v>2081</v>
      </c>
      <c r="K24" s="1" t="s">
        <v>2081</v>
      </c>
      <c r="N24" s="1" t="s">
        <v>1152</v>
      </c>
      <c r="O24" s="2">
        <v>1</v>
      </c>
      <c r="P24" s="2">
        <v>0</v>
      </c>
      <c r="Q24" s="2">
        <v>0</v>
      </c>
      <c r="R24" s="2">
        <v>0</v>
      </c>
      <c r="S24" s="2">
        <v>0</v>
      </c>
      <c r="U24" s="1" t="s">
        <v>1885</v>
      </c>
      <c r="W24" s="1" t="s">
        <v>1155</v>
      </c>
      <c r="X24" s="1" t="s">
        <v>1155</v>
      </c>
      <c r="AN24" s="1" t="s">
        <v>1179</v>
      </c>
      <c r="AO24" s="2">
        <v>250</v>
      </c>
      <c r="AP24" s="1" t="s">
        <v>1871</v>
      </c>
      <c r="AR24" s="1" t="s">
        <v>1649</v>
      </c>
      <c r="AS24" s="1" t="s">
        <v>1655</v>
      </c>
      <c r="AT24" s="1" t="s">
        <v>1155</v>
      </c>
      <c r="AU24" s="1" t="s">
        <v>1156</v>
      </c>
      <c r="AV24" s="1" t="s">
        <v>1888</v>
      </c>
      <c r="AW24" s="2">
        <v>0</v>
      </c>
      <c r="AX24" s="2">
        <v>0</v>
      </c>
      <c r="AY24" s="2">
        <v>1</v>
      </c>
      <c r="AZ24" s="2">
        <v>1</v>
      </c>
      <c r="BA24" s="2">
        <v>0</v>
      </c>
      <c r="BB24" s="2">
        <v>1</v>
      </c>
      <c r="BC24" s="2">
        <v>0</v>
      </c>
      <c r="BD24" s="2">
        <v>0</v>
      </c>
      <c r="BO24" s="1" t="s">
        <v>1157</v>
      </c>
      <c r="BP24" s="2">
        <v>0</v>
      </c>
      <c r="BQ24" s="2">
        <v>0</v>
      </c>
      <c r="BR24" s="2">
        <v>0</v>
      </c>
      <c r="BS24" s="2">
        <v>0</v>
      </c>
      <c r="BT24" s="2">
        <v>0</v>
      </c>
      <c r="BU24" s="2">
        <v>1</v>
      </c>
      <c r="BV24" s="2">
        <v>0</v>
      </c>
      <c r="BW24" s="2">
        <v>0</v>
      </c>
      <c r="BX24" s="2">
        <v>0</v>
      </c>
      <c r="BY24" s="2">
        <v>0</v>
      </c>
      <c r="BZ24" s="2">
        <v>0</v>
      </c>
      <c r="CA24" s="2">
        <v>0</v>
      </c>
      <c r="CC24" s="1" t="s">
        <v>1154</v>
      </c>
      <c r="DQ24" s="1" t="s">
        <v>1167</v>
      </c>
      <c r="DR24" s="2">
        <v>0</v>
      </c>
      <c r="DS24" s="2">
        <v>1</v>
      </c>
      <c r="DT24" s="2">
        <v>0</v>
      </c>
      <c r="DU24" s="2">
        <v>0</v>
      </c>
      <c r="DV24" s="2">
        <v>0</v>
      </c>
      <c r="DX24" s="1" t="s">
        <v>2219</v>
      </c>
      <c r="DY24" s="2">
        <v>0</v>
      </c>
      <c r="DZ24" s="2">
        <v>1</v>
      </c>
      <c r="EA24" s="2">
        <v>0</v>
      </c>
      <c r="EB24" s="2">
        <v>0</v>
      </c>
      <c r="EC24" s="2">
        <v>0</v>
      </c>
      <c r="ED24" s="2">
        <v>1</v>
      </c>
      <c r="EE24" s="2">
        <v>0</v>
      </c>
      <c r="EF24" s="2">
        <v>0</v>
      </c>
      <c r="EG24" s="2">
        <v>1</v>
      </c>
      <c r="EH24" s="2">
        <v>0</v>
      </c>
      <c r="EI24" s="2">
        <v>0</v>
      </c>
      <c r="EJ24" s="2">
        <v>0</v>
      </c>
      <c r="EK24" s="2">
        <v>1</v>
      </c>
      <c r="EM24" s="1" t="s">
        <v>1784</v>
      </c>
      <c r="EN24" s="2">
        <v>0</v>
      </c>
      <c r="EO24" s="2">
        <v>0</v>
      </c>
      <c r="EP24" s="2">
        <v>0</v>
      </c>
      <c r="EQ24" s="2">
        <v>0</v>
      </c>
      <c r="ER24" s="2">
        <v>0</v>
      </c>
      <c r="ES24" s="2">
        <v>0</v>
      </c>
      <c r="ET24" s="2">
        <v>1</v>
      </c>
      <c r="EU24" s="2">
        <v>0</v>
      </c>
      <c r="EV24" s="2">
        <v>0</v>
      </c>
      <c r="EW24" s="2">
        <v>0</v>
      </c>
      <c r="EX24" s="2">
        <v>0</v>
      </c>
      <c r="EY24" s="2">
        <v>0</v>
      </c>
      <c r="EZ24" s="2">
        <v>0</v>
      </c>
      <c r="FB24" s="1" t="s">
        <v>1154</v>
      </c>
      <c r="GI24" s="1" t="s">
        <v>2114</v>
      </c>
      <c r="GJ24" s="2">
        <v>0</v>
      </c>
      <c r="GK24" s="2">
        <v>1</v>
      </c>
      <c r="GL24" s="2">
        <v>0</v>
      </c>
      <c r="GM24" s="2">
        <v>0</v>
      </c>
      <c r="GN24" s="2">
        <v>1</v>
      </c>
      <c r="GO24" s="2">
        <v>0</v>
      </c>
      <c r="GP24" s="2">
        <v>0</v>
      </c>
      <c r="GQ24" s="2">
        <v>1</v>
      </c>
      <c r="GR24" s="2">
        <v>0</v>
      </c>
      <c r="GS24" s="2">
        <v>0</v>
      </c>
      <c r="GT24" s="2">
        <v>1</v>
      </c>
      <c r="GU24" s="2">
        <v>0</v>
      </c>
      <c r="GV24" s="2">
        <v>0</v>
      </c>
      <c r="AVT24" s="1">
        <v>129373861</v>
      </c>
      <c r="AVU24" s="1" t="s">
        <v>2220</v>
      </c>
      <c r="AVW24" s="1">
        <v>145</v>
      </c>
      <c r="AVX24" s="56"/>
      <c r="AVY24" s="56"/>
      <c r="AVZ24" s="56"/>
      <c r="AWA24" s="56"/>
      <c r="AWB24" s="56"/>
      <c r="AWC24" s="56"/>
      <c r="AWD24" s="56"/>
      <c r="AWE24" s="56"/>
      <c r="AWF24" s="56"/>
      <c r="AWG24" s="56"/>
      <c r="AWH24" s="56"/>
      <c r="AWI24" s="56"/>
      <c r="AWJ24" s="56"/>
      <c r="AWK24" s="56"/>
      <c r="AWL24" s="56"/>
      <c r="AWM24" s="56"/>
      <c r="AWN24" s="56"/>
      <c r="AWO24" s="56"/>
      <c r="AWP24" s="56"/>
      <c r="AWQ24" s="56"/>
      <c r="AWR24" s="56"/>
      <c r="AWS24" s="56"/>
      <c r="AWT24" s="56"/>
      <c r="AWU24" s="56"/>
      <c r="AWV24" s="56"/>
      <c r="AWW24" s="56"/>
      <c r="AWX24" s="56"/>
      <c r="AWY24" s="56"/>
      <c r="AWZ24" s="56"/>
      <c r="AXA24" s="56"/>
      <c r="AXB24" s="56"/>
      <c r="AXC24" s="56"/>
      <c r="AXD24" s="56"/>
      <c r="AXE24" s="56"/>
      <c r="AXF24" s="56"/>
      <c r="AXG24" s="56"/>
      <c r="AXH24" s="56"/>
      <c r="AXI24" s="56"/>
      <c r="AXJ24" s="56"/>
      <c r="AXK24" s="56"/>
      <c r="AXL24" s="56"/>
      <c r="AXM24" s="56"/>
    </row>
    <row r="25" spans="1:1313" x14ac:dyDescent="0.3">
      <c r="A25" s="1" t="s">
        <v>2221</v>
      </c>
      <c r="B25" s="1" t="s">
        <v>2222</v>
      </c>
      <c r="C25" s="1" t="s">
        <v>2223</v>
      </c>
      <c r="D25" s="1" t="s">
        <v>2088</v>
      </c>
      <c r="E25" s="1" t="s">
        <v>2211</v>
      </c>
      <c r="F25" s="1" t="s">
        <v>2088</v>
      </c>
      <c r="I25" s="1" t="s">
        <v>2080</v>
      </c>
      <c r="J25" s="1" t="s">
        <v>2081</v>
      </c>
      <c r="K25" s="1" t="s">
        <v>2081</v>
      </c>
      <c r="N25" s="1" t="s">
        <v>1152</v>
      </c>
      <c r="O25" s="2">
        <v>1</v>
      </c>
      <c r="P25" s="2">
        <v>0</v>
      </c>
      <c r="Q25" s="2">
        <v>0</v>
      </c>
      <c r="R25" s="2">
        <v>0</v>
      </c>
      <c r="S25" s="2">
        <v>0</v>
      </c>
      <c r="U25" s="1" t="s">
        <v>1654</v>
      </c>
      <c r="W25" s="1" t="s">
        <v>1155</v>
      </c>
      <c r="X25" s="1" t="s">
        <v>1155</v>
      </c>
      <c r="AN25" s="1" t="s">
        <v>1179</v>
      </c>
      <c r="AO25" s="2">
        <v>625</v>
      </c>
      <c r="AP25" s="1" t="s">
        <v>1386</v>
      </c>
      <c r="AR25" s="1" t="s">
        <v>1642</v>
      </c>
      <c r="AS25" s="1" t="s">
        <v>1655</v>
      </c>
      <c r="AT25" s="1" t="s">
        <v>1155</v>
      </c>
      <c r="AU25" s="1" t="s">
        <v>1164</v>
      </c>
      <c r="BF25" s="1" t="s">
        <v>1948</v>
      </c>
      <c r="BG25" s="2">
        <v>0</v>
      </c>
      <c r="BH25" s="2">
        <v>0</v>
      </c>
      <c r="BI25" s="2">
        <v>1</v>
      </c>
      <c r="BJ25" s="2">
        <v>0</v>
      </c>
      <c r="BK25" s="2">
        <v>0</v>
      </c>
      <c r="BL25" s="2">
        <v>0</v>
      </c>
      <c r="BM25" s="2">
        <v>0</v>
      </c>
      <c r="BO25" s="1" t="s">
        <v>1157</v>
      </c>
      <c r="BP25" s="2">
        <v>0</v>
      </c>
      <c r="BQ25" s="2">
        <v>0</v>
      </c>
      <c r="BR25" s="2">
        <v>0</v>
      </c>
      <c r="BS25" s="2">
        <v>0</v>
      </c>
      <c r="BT25" s="2">
        <v>0</v>
      </c>
      <c r="BU25" s="2">
        <v>1</v>
      </c>
      <c r="BV25" s="2">
        <v>0</v>
      </c>
      <c r="BW25" s="2">
        <v>0</v>
      </c>
      <c r="BX25" s="2">
        <v>0</v>
      </c>
      <c r="BY25" s="2">
        <v>0</v>
      </c>
      <c r="BZ25" s="2">
        <v>0</v>
      </c>
      <c r="CA25" s="2">
        <v>0</v>
      </c>
      <c r="CC25" s="1" t="s">
        <v>1155</v>
      </c>
      <c r="CD25" s="1" t="s">
        <v>1979</v>
      </c>
      <c r="CF25" s="2">
        <v>100</v>
      </c>
      <c r="CG25" s="1" t="s">
        <v>1154</v>
      </c>
      <c r="CY25" s="1" t="s">
        <v>1388</v>
      </c>
      <c r="CZ25" s="2">
        <v>0</v>
      </c>
      <c r="DA25" s="2">
        <v>0</v>
      </c>
      <c r="DB25" s="2">
        <v>0</v>
      </c>
      <c r="DC25" s="2">
        <v>0</v>
      </c>
      <c r="DD25" s="2">
        <v>1</v>
      </c>
      <c r="DE25" s="2">
        <v>0</v>
      </c>
      <c r="DF25" s="2">
        <v>0</v>
      </c>
      <c r="DG25" s="2">
        <v>0</v>
      </c>
      <c r="DI25" s="1" t="s">
        <v>1155</v>
      </c>
      <c r="DJ25" s="1" t="s">
        <v>2224</v>
      </c>
      <c r="DK25" s="2">
        <v>0</v>
      </c>
      <c r="DL25" s="2">
        <v>1</v>
      </c>
      <c r="DM25" s="2">
        <v>0</v>
      </c>
      <c r="DN25" s="2">
        <v>0</v>
      </c>
      <c r="DO25" s="2">
        <v>0</v>
      </c>
      <c r="DQ25" s="1" t="s">
        <v>1163</v>
      </c>
      <c r="DR25" s="2">
        <v>0</v>
      </c>
      <c r="DS25" s="2">
        <v>0</v>
      </c>
      <c r="DT25" s="2">
        <v>0</v>
      </c>
      <c r="DU25" s="2">
        <v>0</v>
      </c>
      <c r="DV25" s="2">
        <v>1</v>
      </c>
      <c r="DX25" s="1" t="s">
        <v>2225</v>
      </c>
      <c r="DY25" s="2">
        <v>0</v>
      </c>
      <c r="DZ25" s="2">
        <v>1</v>
      </c>
      <c r="EA25" s="2">
        <v>0</v>
      </c>
      <c r="EB25" s="2">
        <v>0</v>
      </c>
      <c r="EC25" s="2">
        <v>0</v>
      </c>
      <c r="ED25" s="2">
        <v>0</v>
      </c>
      <c r="EE25" s="2">
        <v>0</v>
      </c>
      <c r="EF25" s="2">
        <v>0</v>
      </c>
      <c r="EG25" s="2">
        <v>0</v>
      </c>
      <c r="EH25" s="2">
        <v>0</v>
      </c>
      <c r="EI25" s="2">
        <v>0</v>
      </c>
      <c r="EJ25" s="2">
        <v>0</v>
      </c>
      <c r="EK25" s="2">
        <v>1</v>
      </c>
      <c r="EM25" s="1" t="s">
        <v>2226</v>
      </c>
      <c r="EN25" s="2">
        <v>0</v>
      </c>
      <c r="EO25" s="2">
        <v>0</v>
      </c>
      <c r="EP25" s="2">
        <v>0</v>
      </c>
      <c r="EQ25" s="2">
        <v>0</v>
      </c>
      <c r="ER25" s="2">
        <v>0</v>
      </c>
      <c r="ES25" s="2">
        <v>0</v>
      </c>
      <c r="ET25" s="2">
        <v>1</v>
      </c>
      <c r="EU25" s="2">
        <v>0</v>
      </c>
      <c r="EV25" s="2">
        <v>1</v>
      </c>
      <c r="EW25" s="2">
        <v>0</v>
      </c>
      <c r="EX25" s="2">
        <v>0</v>
      </c>
      <c r="EY25" s="2">
        <v>0</v>
      </c>
      <c r="EZ25" s="2">
        <v>0</v>
      </c>
      <c r="FB25" s="1" t="s">
        <v>1155</v>
      </c>
      <c r="FC25" s="1" t="s">
        <v>1157</v>
      </c>
      <c r="FD25" s="2">
        <v>0</v>
      </c>
      <c r="FE25" s="2">
        <v>0</v>
      </c>
      <c r="FF25" s="2">
        <v>0</v>
      </c>
      <c r="FG25" s="2">
        <v>0</v>
      </c>
      <c r="FH25" s="2">
        <v>1</v>
      </c>
      <c r="FI25" s="2">
        <v>0</v>
      </c>
      <c r="FJ25" s="2">
        <v>0</v>
      </c>
      <c r="FL25" s="1" t="s">
        <v>2227</v>
      </c>
      <c r="FM25" s="2">
        <v>0</v>
      </c>
      <c r="FN25" s="2">
        <v>0</v>
      </c>
      <c r="FO25" s="2">
        <v>0</v>
      </c>
      <c r="FP25" s="2">
        <v>0</v>
      </c>
      <c r="FQ25" s="2">
        <v>0</v>
      </c>
      <c r="FR25" s="2">
        <v>0</v>
      </c>
      <c r="FS25" s="2">
        <v>0</v>
      </c>
      <c r="FT25" s="2">
        <v>0</v>
      </c>
      <c r="FU25" s="2">
        <v>0</v>
      </c>
      <c r="FV25" s="2">
        <v>1</v>
      </c>
      <c r="FW25" s="2">
        <v>1</v>
      </c>
      <c r="FX25" s="2">
        <v>0</v>
      </c>
      <c r="FY25" s="2">
        <v>0</v>
      </c>
      <c r="GA25" s="1" t="s">
        <v>1155</v>
      </c>
      <c r="GI25" s="1" t="s">
        <v>2228</v>
      </c>
      <c r="GJ25" s="2">
        <v>0</v>
      </c>
      <c r="GK25" s="2">
        <v>0</v>
      </c>
      <c r="GL25" s="2">
        <v>0</v>
      </c>
      <c r="GM25" s="2">
        <v>0</v>
      </c>
      <c r="GN25" s="2">
        <v>1</v>
      </c>
      <c r="GO25" s="2">
        <v>0</v>
      </c>
      <c r="GP25" s="2">
        <v>0</v>
      </c>
      <c r="GQ25" s="2">
        <v>0</v>
      </c>
      <c r="GR25" s="2">
        <v>0</v>
      </c>
      <c r="GS25" s="2">
        <v>0</v>
      </c>
      <c r="GT25" s="2">
        <v>1</v>
      </c>
      <c r="GU25" s="2">
        <v>0</v>
      </c>
      <c r="GV25" s="2">
        <v>0</v>
      </c>
      <c r="AVT25" s="1">
        <v>129374035</v>
      </c>
      <c r="AVU25" s="1" t="s">
        <v>2229</v>
      </c>
      <c r="AVW25" s="1">
        <v>146</v>
      </c>
      <c r="AVX25" s="56"/>
      <c r="AVY25" s="56"/>
      <c r="AVZ25" s="56"/>
      <c r="AWA25" s="56"/>
      <c r="AWB25" s="56"/>
      <c r="AWC25" s="56"/>
      <c r="AWD25" s="56"/>
      <c r="AWE25" s="56"/>
      <c r="AWF25" s="56"/>
      <c r="AWG25" s="56"/>
      <c r="AWH25" s="56"/>
      <c r="AWI25" s="56"/>
      <c r="AWJ25" s="56"/>
      <c r="AWK25" s="56"/>
      <c r="AWL25" s="56"/>
      <c r="AWM25" s="56"/>
      <c r="AWN25" s="56"/>
      <c r="AWO25" s="56"/>
      <c r="AWP25" s="56"/>
      <c r="AWQ25" s="56"/>
      <c r="AWR25" s="56"/>
      <c r="AWS25" s="56"/>
      <c r="AWT25" s="56"/>
      <c r="AWU25" s="56"/>
      <c r="AWV25" s="56"/>
      <c r="AWW25" s="56"/>
      <c r="AWX25" s="56"/>
      <c r="AWY25" s="56"/>
      <c r="AWZ25" s="56"/>
      <c r="AXA25" s="56"/>
      <c r="AXB25" s="56"/>
      <c r="AXC25" s="56"/>
      <c r="AXD25" s="56"/>
      <c r="AXE25" s="56"/>
      <c r="AXF25" s="56"/>
      <c r="AXG25" s="56"/>
      <c r="AXH25" s="56"/>
      <c r="AXI25" s="56"/>
      <c r="AXJ25" s="56"/>
      <c r="AXK25" s="56"/>
      <c r="AXL25" s="56"/>
      <c r="AXM25" s="56"/>
    </row>
    <row r="26" spans="1:1313" x14ac:dyDescent="0.3">
      <c r="A26" s="1" t="s">
        <v>2230</v>
      </c>
      <c r="B26" s="1" t="s">
        <v>2231</v>
      </c>
      <c r="C26" s="1" t="s">
        <v>2232</v>
      </c>
      <c r="D26" s="1" t="s">
        <v>2088</v>
      </c>
      <c r="E26" s="1" t="s">
        <v>2211</v>
      </c>
      <c r="F26" s="1" t="s">
        <v>2088</v>
      </c>
      <c r="I26" s="1" t="s">
        <v>2080</v>
      </c>
      <c r="J26" s="1" t="s">
        <v>2081</v>
      </c>
      <c r="K26" s="1" t="s">
        <v>2081</v>
      </c>
      <c r="N26" s="1" t="s">
        <v>1168</v>
      </c>
      <c r="O26" s="2">
        <v>0</v>
      </c>
      <c r="P26" s="2">
        <v>0</v>
      </c>
      <c r="Q26" s="2">
        <v>1</v>
      </c>
      <c r="R26" s="2">
        <v>0</v>
      </c>
      <c r="S26" s="2">
        <v>0</v>
      </c>
      <c r="ZS26" s="1" t="s">
        <v>2233</v>
      </c>
      <c r="ZT26" s="1" t="s">
        <v>1883</v>
      </c>
      <c r="ZV26" s="1" t="s">
        <v>1177</v>
      </c>
      <c r="ZX26" s="1" t="s">
        <v>1155</v>
      </c>
      <c r="ABE26" s="1" t="s">
        <v>1171</v>
      </c>
      <c r="ABF26" s="2">
        <v>1</v>
      </c>
      <c r="ABG26" s="2">
        <v>0</v>
      </c>
      <c r="ABH26" s="2">
        <v>0</v>
      </c>
      <c r="ABI26" s="2">
        <v>0</v>
      </c>
      <c r="ABJ26" s="2">
        <v>0</v>
      </c>
      <c r="ABL26" s="1" t="s">
        <v>1158</v>
      </c>
      <c r="ABM26" s="2">
        <v>0</v>
      </c>
      <c r="ABN26" s="2">
        <v>0</v>
      </c>
      <c r="ABO26" s="2">
        <v>1</v>
      </c>
      <c r="ABP26" s="2">
        <v>0</v>
      </c>
      <c r="ABQ26" s="2">
        <v>0</v>
      </c>
      <c r="ABR26" s="2">
        <v>0</v>
      </c>
      <c r="ABS26" s="2">
        <v>0</v>
      </c>
      <c r="ABT26" s="2">
        <v>0</v>
      </c>
      <c r="ABU26" s="2">
        <v>0</v>
      </c>
      <c r="ABV26" s="2">
        <v>0</v>
      </c>
      <c r="ABW26" s="2">
        <v>0</v>
      </c>
      <c r="ABX26" s="2">
        <v>0</v>
      </c>
      <c r="ABZ26" s="57" t="s">
        <v>1682</v>
      </c>
      <c r="ACA26" s="1" t="s">
        <v>1155</v>
      </c>
      <c r="ACB26" s="2">
        <v>3</v>
      </c>
      <c r="ACC26" s="1" t="s">
        <v>1155</v>
      </c>
      <c r="ACD26" s="2">
        <v>1</v>
      </c>
      <c r="ACE26" s="2">
        <v>2</v>
      </c>
      <c r="ACF26" s="2">
        <v>2</v>
      </c>
      <c r="ACG26" s="2">
        <v>3</v>
      </c>
      <c r="ACI26" s="1" t="s">
        <v>1155</v>
      </c>
      <c r="ACJ26" s="1" t="s">
        <v>1154</v>
      </c>
      <c r="ACM26" s="1" t="s">
        <v>1872</v>
      </c>
      <c r="ACN26" s="2">
        <v>366</v>
      </c>
      <c r="ACO26" s="2">
        <v>176</v>
      </c>
      <c r="ACP26" s="2">
        <v>190</v>
      </c>
      <c r="ACQ26" s="2">
        <v>190</v>
      </c>
      <c r="ACR26" s="2">
        <v>366</v>
      </c>
      <c r="ACT26" s="2">
        <v>9</v>
      </c>
      <c r="ACU26" s="2">
        <v>18</v>
      </c>
      <c r="ACV26" s="1" t="s">
        <v>1155</v>
      </c>
      <c r="ACW26" s="1" t="s">
        <v>1156</v>
      </c>
      <c r="ACX26" s="1" t="s">
        <v>1932</v>
      </c>
      <c r="ACY26" s="2">
        <v>0</v>
      </c>
      <c r="ACZ26" s="2">
        <v>1</v>
      </c>
      <c r="ADA26" s="2">
        <v>0</v>
      </c>
      <c r="ADB26" s="2">
        <v>0</v>
      </c>
      <c r="ADC26" s="2">
        <v>0</v>
      </c>
      <c r="ADD26" s="2">
        <v>0</v>
      </c>
      <c r="ADE26" s="2">
        <v>0</v>
      </c>
      <c r="ADQ26" s="2">
        <v>7</v>
      </c>
      <c r="ADR26" s="2">
        <v>1</v>
      </c>
      <c r="ADS26" s="2">
        <v>6</v>
      </c>
      <c r="ADT26" s="2">
        <v>6</v>
      </c>
      <c r="ADU26" s="2">
        <v>7</v>
      </c>
      <c r="ADW26" s="1" t="s">
        <v>1154</v>
      </c>
      <c r="AEO26" s="2">
        <v>7</v>
      </c>
      <c r="AEP26" s="2">
        <v>1</v>
      </c>
      <c r="AEQ26" s="2">
        <v>6</v>
      </c>
      <c r="AER26" s="2">
        <v>6</v>
      </c>
      <c r="AES26" s="2">
        <v>7</v>
      </c>
      <c r="AEU26" s="1" t="s">
        <v>1154</v>
      </c>
      <c r="AFL26" s="2">
        <v>7</v>
      </c>
      <c r="AFM26" s="2">
        <v>1</v>
      </c>
      <c r="AFN26" s="2">
        <v>6</v>
      </c>
      <c r="AFO26" s="2">
        <v>6</v>
      </c>
      <c r="AFP26" s="2">
        <v>7</v>
      </c>
      <c r="AFR26" s="1" t="s">
        <v>1154</v>
      </c>
      <c r="AGH26" s="1" t="s">
        <v>1172</v>
      </c>
      <c r="AGI26" s="1" t="s">
        <v>1172</v>
      </c>
      <c r="AGJ26" s="1" t="s">
        <v>1154</v>
      </c>
      <c r="AHQ26" s="1" t="s">
        <v>1163</v>
      </c>
      <c r="AHR26" s="2">
        <v>0</v>
      </c>
      <c r="AHS26" s="2">
        <v>0</v>
      </c>
      <c r="AHT26" s="2">
        <v>0</v>
      </c>
      <c r="AHU26" s="2">
        <v>0</v>
      </c>
      <c r="AHV26" s="2">
        <v>1</v>
      </c>
      <c r="AHX26" s="1" t="s">
        <v>2234</v>
      </c>
      <c r="AHY26" s="2">
        <v>0</v>
      </c>
      <c r="AHZ26" s="2">
        <v>0</v>
      </c>
      <c r="AIA26" s="2">
        <v>0</v>
      </c>
      <c r="AIB26" s="2">
        <v>1</v>
      </c>
      <c r="AIC26" s="2">
        <v>1</v>
      </c>
      <c r="AID26" s="2">
        <v>0</v>
      </c>
      <c r="AIE26" s="2">
        <v>0</v>
      </c>
      <c r="AIF26" s="2">
        <v>0</v>
      </c>
      <c r="AIG26" s="2">
        <v>0</v>
      </c>
      <c r="AIH26" s="2">
        <v>0</v>
      </c>
      <c r="AII26" s="2">
        <v>0</v>
      </c>
      <c r="AIK26" s="1" t="s">
        <v>2235</v>
      </c>
      <c r="AIL26" s="2">
        <v>1</v>
      </c>
      <c r="AIM26" s="2">
        <v>0</v>
      </c>
      <c r="AIN26" s="2">
        <v>0</v>
      </c>
      <c r="AIO26" s="2">
        <v>0</v>
      </c>
      <c r="AIP26" s="2">
        <v>1</v>
      </c>
      <c r="AIQ26" s="2">
        <v>0</v>
      </c>
      <c r="AIR26" s="2">
        <v>0</v>
      </c>
      <c r="AIS26" s="2">
        <v>0</v>
      </c>
      <c r="AIT26" s="2">
        <v>0</v>
      </c>
      <c r="AIU26" s="2">
        <v>0</v>
      </c>
      <c r="AIV26" s="2">
        <v>0</v>
      </c>
      <c r="AIW26" s="2">
        <v>0</v>
      </c>
      <c r="AIX26" s="2">
        <v>1</v>
      </c>
      <c r="AIZ26" s="1" t="s">
        <v>1155</v>
      </c>
      <c r="AJA26" s="1" t="s">
        <v>1157</v>
      </c>
      <c r="AJB26" s="2">
        <v>0</v>
      </c>
      <c r="AJC26" s="2">
        <v>0</v>
      </c>
      <c r="AJD26" s="2">
        <v>0</v>
      </c>
      <c r="AJE26" s="2">
        <v>0</v>
      </c>
      <c r="AJF26" s="2">
        <v>1</v>
      </c>
      <c r="AJG26" s="2">
        <v>0</v>
      </c>
      <c r="AJH26" s="2">
        <v>0</v>
      </c>
      <c r="AJJ26" s="1" t="s">
        <v>1934</v>
      </c>
      <c r="AJK26" s="2">
        <v>0</v>
      </c>
      <c r="AJL26" s="2">
        <v>0</v>
      </c>
      <c r="AJM26" s="2">
        <v>0</v>
      </c>
      <c r="AJN26" s="2">
        <v>0</v>
      </c>
      <c r="AJO26" s="2">
        <v>0</v>
      </c>
      <c r="AJP26" s="2">
        <v>1</v>
      </c>
      <c r="AJQ26" s="2">
        <v>0</v>
      </c>
      <c r="AJR26" s="2">
        <v>0</v>
      </c>
      <c r="AJS26" s="2">
        <v>0</v>
      </c>
      <c r="AJT26" s="2">
        <v>0</v>
      </c>
      <c r="AJU26" s="2">
        <v>0</v>
      </c>
      <c r="AJV26" s="2">
        <v>0</v>
      </c>
      <c r="AJX26" s="1" t="s">
        <v>1154</v>
      </c>
      <c r="AJY26" s="1" t="s">
        <v>1173</v>
      </c>
      <c r="AJZ26" s="2">
        <v>1</v>
      </c>
      <c r="AKA26" s="2">
        <v>1</v>
      </c>
      <c r="AKB26" s="2">
        <v>0</v>
      </c>
      <c r="AKC26" s="2">
        <v>0</v>
      </c>
      <c r="AKD26" s="2">
        <v>0</v>
      </c>
      <c r="AKF26" s="1" t="s">
        <v>2236</v>
      </c>
      <c r="AKG26" s="2">
        <v>0</v>
      </c>
      <c r="AKH26" s="2">
        <v>0</v>
      </c>
      <c r="AKI26" s="2">
        <v>0</v>
      </c>
      <c r="AKJ26" s="2">
        <v>1</v>
      </c>
      <c r="AKK26" s="2">
        <v>0</v>
      </c>
      <c r="AKL26" s="2">
        <v>1</v>
      </c>
      <c r="AKM26" s="2">
        <v>0</v>
      </c>
      <c r="AKN26" s="2">
        <v>0</v>
      </c>
      <c r="AKO26" s="2">
        <v>0</v>
      </c>
      <c r="AKP26" s="2">
        <v>1</v>
      </c>
      <c r="AKQ26" s="2">
        <v>0</v>
      </c>
      <c r="AKR26" s="2">
        <v>0</v>
      </c>
      <c r="AVT26" s="1">
        <v>129374136</v>
      </c>
      <c r="AVU26" s="1" t="s">
        <v>2237</v>
      </c>
      <c r="AVW26" s="1">
        <v>147</v>
      </c>
      <c r="AVX26" s="56"/>
      <c r="AVY26" s="56"/>
      <c r="AVZ26" s="56"/>
      <c r="AWA26" s="56"/>
      <c r="AWB26" s="56"/>
      <c r="AWC26" s="56"/>
      <c r="AWD26" s="56"/>
      <c r="AWE26" s="56"/>
      <c r="AWF26" s="56"/>
      <c r="AWG26" s="56"/>
      <c r="AWH26" s="56"/>
      <c r="AWI26" s="56"/>
      <c r="AWJ26" s="56"/>
      <c r="AWK26" s="56"/>
      <c r="AWL26" s="56"/>
      <c r="AWM26" s="56"/>
      <c r="AWN26" s="56"/>
      <c r="AWO26" s="56"/>
      <c r="AWP26" s="56"/>
      <c r="AWQ26" s="56"/>
      <c r="AWR26" s="56"/>
      <c r="AWS26" s="56"/>
      <c r="AWT26" s="56"/>
      <c r="AWU26" s="56"/>
      <c r="AWV26" s="56"/>
      <c r="AWW26" s="56"/>
      <c r="AWX26" s="56"/>
      <c r="AWY26" s="56"/>
      <c r="AWZ26" s="56"/>
      <c r="AXA26" s="56"/>
      <c r="AXB26" s="56"/>
      <c r="AXC26" s="56"/>
      <c r="AXD26" s="56"/>
      <c r="AXE26" s="56"/>
      <c r="AXF26" s="56"/>
      <c r="AXG26" s="56"/>
      <c r="AXH26" s="56"/>
      <c r="AXI26" s="56"/>
      <c r="AXJ26" s="56"/>
      <c r="AXK26" s="56"/>
      <c r="AXL26" s="56"/>
      <c r="AXM26" s="56"/>
    </row>
    <row r="27" spans="1:1313" x14ac:dyDescent="0.3">
      <c r="A27" s="1" t="s">
        <v>2238</v>
      </c>
      <c r="B27" s="1" t="s">
        <v>2239</v>
      </c>
      <c r="C27" s="1" t="s">
        <v>2240</v>
      </c>
      <c r="D27" s="1" t="s">
        <v>1638</v>
      </c>
      <c r="E27" s="1" t="s">
        <v>2241</v>
      </c>
      <c r="F27" s="1" t="s">
        <v>2078</v>
      </c>
      <c r="I27" s="1" t="s">
        <v>2080</v>
      </c>
      <c r="J27" s="1" t="s">
        <v>2081</v>
      </c>
      <c r="K27" s="1" t="s">
        <v>2081</v>
      </c>
      <c r="N27" s="1" t="s">
        <v>1152</v>
      </c>
      <c r="O27" s="2">
        <v>1</v>
      </c>
      <c r="P27" s="2">
        <v>0</v>
      </c>
      <c r="Q27" s="2">
        <v>0</v>
      </c>
      <c r="R27" s="2">
        <v>0</v>
      </c>
      <c r="S27" s="2">
        <v>0</v>
      </c>
      <c r="U27" s="1" t="s">
        <v>1654</v>
      </c>
      <c r="W27" s="1" t="s">
        <v>1154</v>
      </c>
      <c r="X27" s="1" t="s">
        <v>1154</v>
      </c>
      <c r="AB27" s="1" t="s">
        <v>2242</v>
      </c>
      <c r="AC27" s="2">
        <v>0</v>
      </c>
      <c r="AD27" s="2">
        <v>0</v>
      </c>
      <c r="AE27" s="2">
        <v>0</v>
      </c>
      <c r="AF27" s="2">
        <v>0</v>
      </c>
      <c r="AG27" s="2">
        <v>0</v>
      </c>
      <c r="AH27" s="2">
        <v>0</v>
      </c>
      <c r="AI27" s="2">
        <v>1</v>
      </c>
      <c r="AJ27" s="2">
        <v>0</v>
      </c>
      <c r="AK27" s="2">
        <v>0</v>
      </c>
      <c r="AM27" s="1" t="s">
        <v>1641</v>
      </c>
      <c r="BO27" s="1" t="s">
        <v>1975</v>
      </c>
      <c r="BP27" s="2">
        <v>1</v>
      </c>
      <c r="BQ27" s="2">
        <v>1</v>
      </c>
      <c r="BR27" s="2">
        <v>0</v>
      </c>
      <c r="BS27" s="2">
        <v>0</v>
      </c>
      <c r="BT27" s="2">
        <v>0</v>
      </c>
      <c r="BU27" s="2">
        <v>0</v>
      </c>
      <c r="BV27" s="2">
        <v>0</v>
      </c>
      <c r="BW27" s="2">
        <v>0</v>
      </c>
      <c r="BX27" s="2">
        <v>0</v>
      </c>
      <c r="BY27" s="2">
        <v>0</v>
      </c>
      <c r="BZ27" s="2">
        <v>0</v>
      </c>
      <c r="CA27" s="2">
        <v>0</v>
      </c>
      <c r="FB27" s="1" t="s">
        <v>1154</v>
      </c>
      <c r="GI27" s="1" t="s">
        <v>2243</v>
      </c>
      <c r="GJ27" s="2">
        <v>0</v>
      </c>
      <c r="GK27" s="2">
        <v>0</v>
      </c>
      <c r="GL27" s="2">
        <v>0</v>
      </c>
      <c r="GM27" s="2">
        <v>0</v>
      </c>
      <c r="GN27" s="2">
        <v>1</v>
      </c>
      <c r="GO27" s="2">
        <v>1</v>
      </c>
      <c r="GP27" s="2">
        <v>0</v>
      </c>
      <c r="GQ27" s="2">
        <v>0</v>
      </c>
      <c r="GR27" s="2">
        <v>0</v>
      </c>
      <c r="GS27" s="2">
        <v>0</v>
      </c>
      <c r="GT27" s="2">
        <v>0</v>
      </c>
      <c r="GU27" s="2">
        <v>0</v>
      </c>
      <c r="GV27" s="2">
        <v>0</v>
      </c>
      <c r="AVT27" s="1">
        <v>129374550</v>
      </c>
      <c r="AVU27" s="1" t="s">
        <v>2244</v>
      </c>
      <c r="AVW27" s="1">
        <v>148</v>
      </c>
      <c r="AVX27" s="56"/>
      <c r="AVY27" s="56"/>
      <c r="AVZ27" s="56"/>
      <c r="AWA27" s="56"/>
      <c r="AWB27" s="56"/>
      <c r="AWC27" s="56"/>
      <c r="AWD27" s="56"/>
      <c r="AWE27" s="56"/>
      <c r="AWF27" s="56"/>
      <c r="AWG27" s="56"/>
      <c r="AWH27" s="56"/>
      <c r="AWI27" s="56"/>
      <c r="AWJ27" s="56"/>
      <c r="AWK27" s="56"/>
      <c r="AWL27" s="56"/>
      <c r="AWM27" s="56"/>
      <c r="AWN27" s="56"/>
      <c r="AWO27" s="56"/>
      <c r="AWP27" s="56"/>
      <c r="AWQ27" s="56"/>
      <c r="AWR27" s="56"/>
      <c r="AWS27" s="56"/>
      <c r="AWT27" s="56"/>
      <c r="AWU27" s="56"/>
      <c r="AWV27" s="56"/>
      <c r="AWW27" s="56"/>
      <c r="AWX27" s="56"/>
      <c r="AWY27" s="56"/>
      <c r="AWZ27" s="56"/>
      <c r="AXA27" s="56"/>
      <c r="AXB27" s="56"/>
      <c r="AXC27" s="56"/>
      <c r="AXD27" s="56"/>
      <c r="AXE27" s="56"/>
      <c r="AXF27" s="56"/>
      <c r="AXG27" s="56"/>
      <c r="AXH27" s="56"/>
      <c r="AXI27" s="56"/>
      <c r="AXJ27" s="56"/>
      <c r="AXK27" s="56"/>
      <c r="AXL27" s="56"/>
      <c r="AXM27" s="56"/>
    </row>
    <row r="28" spans="1:1313" x14ac:dyDescent="0.3">
      <c r="A28" s="1" t="s">
        <v>2245</v>
      </c>
      <c r="B28" s="1" t="s">
        <v>2246</v>
      </c>
      <c r="C28" s="1" t="s">
        <v>2247</v>
      </c>
      <c r="D28" s="1" t="s">
        <v>2078</v>
      </c>
      <c r="E28" s="1" t="s">
        <v>2241</v>
      </c>
      <c r="F28" s="1" t="s">
        <v>2078</v>
      </c>
      <c r="I28" s="1" t="s">
        <v>2080</v>
      </c>
      <c r="J28" s="1" t="s">
        <v>2081</v>
      </c>
      <c r="K28" s="1" t="s">
        <v>2081</v>
      </c>
      <c r="N28" s="1" t="s">
        <v>1152</v>
      </c>
      <c r="O28" s="2">
        <v>1</v>
      </c>
      <c r="P28" s="2">
        <v>0</v>
      </c>
      <c r="Q28" s="2">
        <v>0</v>
      </c>
      <c r="R28" s="2">
        <v>0</v>
      </c>
      <c r="S28" s="2">
        <v>0</v>
      </c>
      <c r="U28" s="1" t="s">
        <v>1654</v>
      </c>
      <c r="W28" s="1" t="s">
        <v>1155</v>
      </c>
      <c r="X28" s="1" t="s">
        <v>1155</v>
      </c>
      <c r="AN28" s="1" t="s">
        <v>1179</v>
      </c>
      <c r="AO28" s="2">
        <v>160</v>
      </c>
      <c r="AP28" s="1" t="s">
        <v>1871</v>
      </c>
      <c r="AR28" s="1" t="s">
        <v>1642</v>
      </c>
      <c r="AS28" s="1" t="s">
        <v>1161</v>
      </c>
      <c r="AT28" s="1" t="s">
        <v>1155</v>
      </c>
      <c r="AU28" s="1" t="s">
        <v>1156</v>
      </c>
      <c r="AV28" s="1" t="s">
        <v>1186</v>
      </c>
      <c r="AW28" s="2">
        <v>1</v>
      </c>
      <c r="AX28" s="2">
        <v>0</v>
      </c>
      <c r="AY28" s="2">
        <v>0</v>
      </c>
      <c r="AZ28" s="2">
        <v>0</v>
      </c>
      <c r="BA28" s="2">
        <v>0</v>
      </c>
      <c r="BB28" s="2">
        <v>0</v>
      </c>
      <c r="BC28" s="2">
        <v>0</v>
      </c>
      <c r="BD28" s="2">
        <v>0</v>
      </c>
      <c r="BO28" s="1" t="s">
        <v>1161</v>
      </c>
      <c r="BP28" s="2">
        <v>0</v>
      </c>
      <c r="BQ28" s="2">
        <v>0</v>
      </c>
      <c r="BR28" s="2">
        <v>0</v>
      </c>
      <c r="BS28" s="2">
        <v>0</v>
      </c>
      <c r="BT28" s="2">
        <v>0</v>
      </c>
      <c r="BU28" s="2">
        <v>0</v>
      </c>
      <c r="BV28" s="2">
        <v>0</v>
      </c>
      <c r="BW28" s="2">
        <v>1</v>
      </c>
      <c r="BX28" s="2">
        <v>0</v>
      </c>
      <c r="BY28" s="2">
        <v>0</v>
      </c>
      <c r="BZ28" s="2">
        <v>0</v>
      </c>
      <c r="CA28" s="2">
        <v>0</v>
      </c>
      <c r="CC28" s="1" t="s">
        <v>1155</v>
      </c>
      <c r="CD28" s="1" t="s">
        <v>1979</v>
      </c>
      <c r="CF28" s="2">
        <v>100</v>
      </c>
      <c r="CG28" s="1" t="s">
        <v>1154</v>
      </c>
      <c r="CY28" s="1" t="s">
        <v>1158</v>
      </c>
      <c r="CZ28" s="2">
        <v>0</v>
      </c>
      <c r="DA28" s="2">
        <v>0</v>
      </c>
      <c r="DB28" s="2">
        <v>1</v>
      </c>
      <c r="DC28" s="2">
        <v>0</v>
      </c>
      <c r="DD28" s="2">
        <v>0</v>
      </c>
      <c r="DE28" s="2">
        <v>0</v>
      </c>
      <c r="DF28" s="2">
        <v>0</v>
      </c>
      <c r="DG28" s="2">
        <v>0</v>
      </c>
      <c r="DI28" s="1" t="s">
        <v>1161</v>
      </c>
      <c r="DQ28" s="1" t="s">
        <v>1163</v>
      </c>
      <c r="DR28" s="2">
        <v>0</v>
      </c>
      <c r="DS28" s="2">
        <v>0</v>
      </c>
      <c r="DT28" s="2">
        <v>0</v>
      </c>
      <c r="DU28" s="2">
        <v>0</v>
      </c>
      <c r="DV28" s="2">
        <v>1</v>
      </c>
      <c r="DX28" s="1" t="s">
        <v>1382</v>
      </c>
      <c r="DY28" s="2">
        <v>1</v>
      </c>
      <c r="DZ28" s="2">
        <v>0</v>
      </c>
      <c r="EA28" s="2">
        <v>0</v>
      </c>
      <c r="EB28" s="2">
        <v>0</v>
      </c>
      <c r="EC28" s="2">
        <v>0</v>
      </c>
      <c r="ED28" s="2">
        <v>0</v>
      </c>
      <c r="EE28" s="2">
        <v>0</v>
      </c>
      <c r="EF28" s="2">
        <v>0</v>
      </c>
      <c r="EG28" s="2">
        <v>0</v>
      </c>
      <c r="EH28" s="2">
        <v>0</v>
      </c>
      <c r="EI28" s="2">
        <v>0</v>
      </c>
      <c r="EJ28" s="2">
        <v>0</v>
      </c>
      <c r="EK28" s="2">
        <v>0</v>
      </c>
      <c r="EM28" s="1" t="s">
        <v>1784</v>
      </c>
      <c r="EN28" s="2">
        <v>0</v>
      </c>
      <c r="EO28" s="2">
        <v>0</v>
      </c>
      <c r="EP28" s="2">
        <v>0</v>
      </c>
      <c r="EQ28" s="2">
        <v>0</v>
      </c>
      <c r="ER28" s="2">
        <v>0</v>
      </c>
      <c r="ES28" s="2">
        <v>0</v>
      </c>
      <c r="ET28" s="2">
        <v>1</v>
      </c>
      <c r="EU28" s="2">
        <v>0</v>
      </c>
      <c r="EV28" s="2">
        <v>0</v>
      </c>
      <c r="EW28" s="2">
        <v>0</v>
      </c>
      <c r="EX28" s="2">
        <v>0</v>
      </c>
      <c r="EY28" s="2">
        <v>0</v>
      </c>
      <c r="EZ28" s="2">
        <v>0</v>
      </c>
      <c r="FB28" s="1" t="s">
        <v>1161</v>
      </c>
      <c r="GI28" s="1" t="s">
        <v>1947</v>
      </c>
      <c r="GJ28" s="2">
        <v>0</v>
      </c>
      <c r="GK28" s="2">
        <v>0</v>
      </c>
      <c r="GL28" s="2">
        <v>0</v>
      </c>
      <c r="GM28" s="2">
        <v>0</v>
      </c>
      <c r="GN28" s="2">
        <v>1</v>
      </c>
      <c r="GO28" s="2">
        <v>0</v>
      </c>
      <c r="GP28" s="2">
        <v>0</v>
      </c>
      <c r="GQ28" s="2">
        <v>0</v>
      </c>
      <c r="GR28" s="2">
        <v>0</v>
      </c>
      <c r="GS28" s="2">
        <v>0</v>
      </c>
      <c r="GT28" s="2">
        <v>0</v>
      </c>
      <c r="GU28" s="2">
        <v>0</v>
      </c>
      <c r="GV28" s="2">
        <v>0</v>
      </c>
      <c r="AVT28" s="1">
        <v>129375410</v>
      </c>
      <c r="AVU28" s="1" t="s">
        <v>2248</v>
      </c>
      <c r="AVW28" s="1">
        <v>149</v>
      </c>
      <c r="AVX28" s="56"/>
      <c r="AVY28" s="56"/>
      <c r="AVZ28" s="56"/>
      <c r="AWA28" s="56"/>
      <c r="AWB28" s="56"/>
      <c r="AWC28" s="56"/>
      <c r="AWD28" s="56"/>
      <c r="AWE28" s="56"/>
      <c r="AWF28" s="56"/>
      <c r="AWG28" s="56"/>
      <c r="AWH28" s="56"/>
      <c r="AWI28" s="56"/>
      <c r="AWJ28" s="56"/>
      <c r="AWK28" s="56"/>
      <c r="AWL28" s="56"/>
      <c r="AWM28" s="56"/>
      <c r="AWN28" s="56"/>
      <c r="AWO28" s="56"/>
      <c r="AWP28" s="56"/>
      <c r="AWQ28" s="56"/>
      <c r="AWR28" s="56"/>
      <c r="AWS28" s="56"/>
      <c r="AWT28" s="56"/>
      <c r="AWU28" s="56"/>
      <c r="AWV28" s="56"/>
      <c r="AWW28" s="56"/>
      <c r="AWX28" s="56"/>
      <c r="AWY28" s="56"/>
      <c r="AWZ28" s="56"/>
      <c r="AXA28" s="56"/>
      <c r="AXB28" s="56"/>
      <c r="AXC28" s="56"/>
      <c r="AXD28" s="56"/>
      <c r="AXE28" s="56"/>
      <c r="AXF28" s="56"/>
      <c r="AXG28" s="56"/>
      <c r="AXH28" s="56"/>
      <c r="AXI28" s="56"/>
      <c r="AXJ28" s="56"/>
      <c r="AXK28" s="56"/>
      <c r="AXL28" s="56"/>
      <c r="AXM28" s="56"/>
    </row>
    <row r="29" spans="1:1313" x14ac:dyDescent="0.3">
      <c r="A29" s="1" t="s">
        <v>2249</v>
      </c>
      <c r="B29" s="1" t="s">
        <v>2250</v>
      </c>
      <c r="C29" s="1" t="s">
        <v>2251</v>
      </c>
      <c r="D29" s="1" t="s">
        <v>2078</v>
      </c>
      <c r="E29" s="1" t="s">
        <v>2241</v>
      </c>
      <c r="F29" s="1" t="s">
        <v>2078</v>
      </c>
      <c r="I29" s="1" t="s">
        <v>2080</v>
      </c>
      <c r="J29" s="1" t="s">
        <v>2081</v>
      </c>
      <c r="K29" s="1" t="s">
        <v>2081</v>
      </c>
      <c r="N29" s="1" t="s">
        <v>1152</v>
      </c>
      <c r="O29" s="2">
        <v>1</v>
      </c>
      <c r="P29" s="2">
        <v>0</v>
      </c>
      <c r="Q29" s="2">
        <v>0</v>
      </c>
      <c r="R29" s="2">
        <v>0</v>
      </c>
      <c r="S29" s="2">
        <v>0</v>
      </c>
      <c r="U29" s="1" t="s">
        <v>1654</v>
      </c>
      <c r="W29" s="1" t="s">
        <v>1154</v>
      </c>
      <c r="X29" s="1" t="s">
        <v>1154</v>
      </c>
      <c r="AB29" s="1" t="s">
        <v>2252</v>
      </c>
      <c r="AC29" s="2">
        <v>1</v>
      </c>
      <c r="AD29" s="2">
        <v>0</v>
      </c>
      <c r="AE29" s="2">
        <v>0</v>
      </c>
      <c r="AF29" s="2">
        <v>1</v>
      </c>
      <c r="AG29" s="2">
        <v>0</v>
      </c>
      <c r="AH29" s="2">
        <v>0</v>
      </c>
      <c r="AI29" s="2">
        <v>0</v>
      </c>
      <c r="AJ29" s="2">
        <v>0</v>
      </c>
      <c r="AK29" s="2">
        <v>0</v>
      </c>
      <c r="AM29" s="1" t="s">
        <v>1641</v>
      </c>
      <c r="BO29" s="1" t="s">
        <v>1157</v>
      </c>
      <c r="BP29" s="2">
        <v>0</v>
      </c>
      <c r="BQ29" s="2">
        <v>0</v>
      </c>
      <c r="BR29" s="2">
        <v>0</v>
      </c>
      <c r="BS29" s="2">
        <v>0</v>
      </c>
      <c r="BT29" s="2">
        <v>0</v>
      </c>
      <c r="BU29" s="2">
        <v>1</v>
      </c>
      <c r="BV29" s="2">
        <v>0</v>
      </c>
      <c r="BW29" s="2">
        <v>0</v>
      </c>
      <c r="BX29" s="2">
        <v>0</v>
      </c>
      <c r="BY29" s="2">
        <v>0</v>
      </c>
      <c r="BZ29" s="2">
        <v>0</v>
      </c>
      <c r="CA29" s="2">
        <v>0</v>
      </c>
      <c r="FB29" s="1" t="s">
        <v>1154</v>
      </c>
      <c r="GI29" s="1" t="s">
        <v>1947</v>
      </c>
      <c r="GJ29" s="2">
        <v>0</v>
      </c>
      <c r="GK29" s="2">
        <v>0</v>
      </c>
      <c r="GL29" s="2">
        <v>0</v>
      </c>
      <c r="GM29" s="2">
        <v>0</v>
      </c>
      <c r="GN29" s="2">
        <v>1</v>
      </c>
      <c r="GO29" s="2">
        <v>0</v>
      </c>
      <c r="GP29" s="2">
        <v>0</v>
      </c>
      <c r="GQ29" s="2">
        <v>0</v>
      </c>
      <c r="GR29" s="2">
        <v>0</v>
      </c>
      <c r="GS29" s="2">
        <v>0</v>
      </c>
      <c r="GT29" s="2">
        <v>0</v>
      </c>
      <c r="GU29" s="2">
        <v>0</v>
      </c>
      <c r="GV29" s="2">
        <v>0</v>
      </c>
      <c r="AVT29" s="1">
        <v>129375432</v>
      </c>
      <c r="AVU29" s="1" t="s">
        <v>2253</v>
      </c>
      <c r="AVW29" s="1">
        <v>150</v>
      </c>
      <c r="AVX29" s="56"/>
      <c r="AVY29" s="56"/>
      <c r="AVZ29" s="56"/>
      <c r="AWA29" s="56"/>
      <c r="AWB29" s="56"/>
      <c r="AWC29" s="56"/>
      <c r="AWD29" s="56"/>
      <c r="AWE29" s="56"/>
      <c r="AWF29" s="56"/>
      <c r="AWG29" s="56"/>
      <c r="AWH29" s="56"/>
      <c r="AWI29" s="56"/>
      <c r="AWJ29" s="56"/>
      <c r="AWK29" s="56"/>
      <c r="AWL29" s="56"/>
      <c r="AWM29" s="56"/>
      <c r="AWN29" s="56"/>
      <c r="AWO29" s="56"/>
      <c r="AWP29" s="56"/>
      <c r="AWQ29" s="56"/>
      <c r="AWR29" s="56"/>
      <c r="AWS29" s="56"/>
      <c r="AWT29" s="56"/>
      <c r="AWU29" s="56"/>
      <c r="AWV29" s="56"/>
      <c r="AWW29" s="56"/>
      <c r="AWX29" s="56"/>
      <c r="AWY29" s="56"/>
      <c r="AWZ29" s="56"/>
      <c r="AXA29" s="56"/>
      <c r="AXB29" s="56"/>
      <c r="AXC29" s="56"/>
      <c r="AXD29" s="56"/>
      <c r="AXE29" s="56"/>
      <c r="AXF29" s="56"/>
      <c r="AXG29" s="56"/>
      <c r="AXH29" s="56"/>
      <c r="AXI29" s="56"/>
      <c r="AXJ29" s="56"/>
      <c r="AXK29" s="56"/>
      <c r="AXL29" s="56"/>
      <c r="AXM29" s="56"/>
    </row>
    <row r="30" spans="1:1313" x14ac:dyDescent="0.3">
      <c r="A30" s="1" t="s">
        <v>2254</v>
      </c>
      <c r="B30" s="1" t="s">
        <v>2255</v>
      </c>
      <c r="C30" s="1" t="s">
        <v>2256</v>
      </c>
      <c r="D30" s="1" t="s">
        <v>2088</v>
      </c>
      <c r="E30" s="1" t="s">
        <v>2241</v>
      </c>
      <c r="F30" s="1" t="s">
        <v>2088</v>
      </c>
      <c r="I30" s="1" t="s">
        <v>2080</v>
      </c>
      <c r="J30" s="1" t="s">
        <v>2081</v>
      </c>
      <c r="K30" s="1" t="s">
        <v>2081</v>
      </c>
      <c r="N30" s="1" t="s">
        <v>1152</v>
      </c>
      <c r="O30" s="2">
        <v>1</v>
      </c>
      <c r="P30" s="2">
        <v>0</v>
      </c>
      <c r="Q30" s="2">
        <v>0</v>
      </c>
      <c r="R30" s="2">
        <v>0</v>
      </c>
      <c r="S30" s="2">
        <v>0</v>
      </c>
      <c r="U30" s="1" t="s">
        <v>1654</v>
      </c>
      <c r="W30" s="1" t="s">
        <v>1155</v>
      </c>
      <c r="X30" s="1" t="s">
        <v>1155</v>
      </c>
      <c r="AN30" s="1" t="s">
        <v>1179</v>
      </c>
      <c r="AO30" s="2">
        <v>130</v>
      </c>
      <c r="AP30" s="1" t="s">
        <v>1871</v>
      </c>
      <c r="AR30" s="1" t="s">
        <v>1642</v>
      </c>
      <c r="AS30" s="1" t="s">
        <v>1653</v>
      </c>
      <c r="AT30" s="1" t="s">
        <v>1155</v>
      </c>
      <c r="AU30" s="1" t="s">
        <v>1164</v>
      </c>
      <c r="BF30" s="1" t="s">
        <v>1188</v>
      </c>
      <c r="BG30" s="2">
        <v>0</v>
      </c>
      <c r="BH30" s="2">
        <v>1</v>
      </c>
      <c r="BI30" s="2">
        <v>0</v>
      </c>
      <c r="BJ30" s="2">
        <v>0</v>
      </c>
      <c r="BK30" s="2">
        <v>0</v>
      </c>
      <c r="BL30" s="2">
        <v>0</v>
      </c>
      <c r="BM30" s="2">
        <v>0</v>
      </c>
      <c r="BO30" s="1" t="s">
        <v>1157</v>
      </c>
      <c r="BP30" s="2">
        <v>0</v>
      </c>
      <c r="BQ30" s="2">
        <v>0</v>
      </c>
      <c r="BR30" s="2">
        <v>0</v>
      </c>
      <c r="BS30" s="2">
        <v>0</v>
      </c>
      <c r="BT30" s="2">
        <v>0</v>
      </c>
      <c r="BU30" s="2">
        <v>1</v>
      </c>
      <c r="BV30" s="2">
        <v>0</v>
      </c>
      <c r="BW30" s="2">
        <v>0</v>
      </c>
      <c r="BX30" s="2">
        <v>0</v>
      </c>
      <c r="BY30" s="2">
        <v>0</v>
      </c>
      <c r="BZ30" s="2">
        <v>0</v>
      </c>
      <c r="CA30" s="2">
        <v>0</v>
      </c>
      <c r="CC30" s="1" t="s">
        <v>1154</v>
      </c>
      <c r="DQ30" s="1" t="s">
        <v>1163</v>
      </c>
      <c r="DR30" s="2">
        <v>0</v>
      </c>
      <c r="DS30" s="2">
        <v>0</v>
      </c>
      <c r="DT30" s="2">
        <v>0</v>
      </c>
      <c r="DU30" s="2">
        <v>0</v>
      </c>
      <c r="DV30" s="2">
        <v>1</v>
      </c>
      <c r="DX30" s="1" t="s">
        <v>1926</v>
      </c>
      <c r="DY30" s="2">
        <v>0</v>
      </c>
      <c r="DZ30" s="2">
        <v>0</v>
      </c>
      <c r="EA30" s="2">
        <v>0</v>
      </c>
      <c r="EB30" s="2">
        <v>0</v>
      </c>
      <c r="EC30" s="2">
        <v>0</v>
      </c>
      <c r="ED30" s="2">
        <v>1</v>
      </c>
      <c r="EE30" s="2">
        <v>0</v>
      </c>
      <c r="EF30" s="2">
        <v>0</v>
      </c>
      <c r="EG30" s="2">
        <v>0</v>
      </c>
      <c r="EH30" s="2">
        <v>0</v>
      </c>
      <c r="EI30" s="2">
        <v>0</v>
      </c>
      <c r="EJ30" s="2">
        <v>0</v>
      </c>
      <c r="EK30" s="2">
        <v>0</v>
      </c>
      <c r="EM30" s="1" t="s">
        <v>1784</v>
      </c>
      <c r="EN30" s="2">
        <v>0</v>
      </c>
      <c r="EO30" s="2">
        <v>0</v>
      </c>
      <c r="EP30" s="2">
        <v>0</v>
      </c>
      <c r="EQ30" s="2">
        <v>0</v>
      </c>
      <c r="ER30" s="2">
        <v>0</v>
      </c>
      <c r="ES30" s="2">
        <v>0</v>
      </c>
      <c r="ET30" s="2">
        <v>1</v>
      </c>
      <c r="EU30" s="2">
        <v>0</v>
      </c>
      <c r="EV30" s="2">
        <v>0</v>
      </c>
      <c r="EW30" s="2">
        <v>0</v>
      </c>
      <c r="EX30" s="2">
        <v>0</v>
      </c>
      <c r="EY30" s="2">
        <v>0</v>
      </c>
      <c r="EZ30" s="2">
        <v>0</v>
      </c>
      <c r="FB30" s="1" t="s">
        <v>1161</v>
      </c>
      <c r="GI30" s="1" t="s">
        <v>1947</v>
      </c>
      <c r="GJ30" s="2">
        <v>0</v>
      </c>
      <c r="GK30" s="2">
        <v>0</v>
      </c>
      <c r="GL30" s="2">
        <v>0</v>
      </c>
      <c r="GM30" s="2">
        <v>0</v>
      </c>
      <c r="GN30" s="2">
        <v>1</v>
      </c>
      <c r="GO30" s="2">
        <v>0</v>
      </c>
      <c r="GP30" s="2">
        <v>0</v>
      </c>
      <c r="GQ30" s="2">
        <v>0</v>
      </c>
      <c r="GR30" s="2">
        <v>0</v>
      </c>
      <c r="GS30" s="2">
        <v>0</v>
      </c>
      <c r="GT30" s="2">
        <v>0</v>
      </c>
      <c r="GU30" s="2">
        <v>0</v>
      </c>
      <c r="GV30" s="2">
        <v>0</v>
      </c>
      <c r="AVT30" s="1">
        <v>129375457</v>
      </c>
      <c r="AVU30" s="1" t="s">
        <v>2257</v>
      </c>
      <c r="AVW30" s="1">
        <v>151</v>
      </c>
      <c r="AVX30" s="56"/>
      <c r="AVY30" s="56"/>
      <c r="AVZ30" s="56"/>
      <c r="AWA30" s="56"/>
      <c r="AWB30" s="56"/>
      <c r="AWC30" s="56"/>
      <c r="AWD30" s="56"/>
      <c r="AWE30" s="56"/>
      <c r="AWF30" s="56"/>
      <c r="AWG30" s="56"/>
      <c r="AWH30" s="56"/>
      <c r="AWI30" s="56"/>
      <c r="AWJ30" s="56"/>
      <c r="AWK30" s="56"/>
      <c r="AWL30" s="56"/>
      <c r="AWM30" s="56"/>
      <c r="AWN30" s="56"/>
      <c r="AWO30" s="56"/>
      <c r="AWP30" s="56"/>
      <c r="AWQ30" s="56"/>
      <c r="AWR30" s="56"/>
      <c r="AWS30" s="56"/>
      <c r="AWT30" s="56"/>
      <c r="AWU30" s="56"/>
      <c r="AWV30" s="56"/>
      <c r="AWW30" s="56"/>
      <c r="AWX30" s="56"/>
      <c r="AWY30" s="56"/>
      <c r="AWZ30" s="56"/>
      <c r="AXA30" s="56"/>
      <c r="AXB30" s="56"/>
      <c r="AXC30" s="56"/>
      <c r="AXD30" s="56"/>
      <c r="AXE30" s="56"/>
      <c r="AXF30" s="56"/>
      <c r="AXG30" s="56"/>
      <c r="AXH30" s="56"/>
      <c r="AXI30" s="56"/>
      <c r="AXJ30" s="56"/>
      <c r="AXK30" s="56"/>
      <c r="AXL30" s="56"/>
      <c r="AXM30" s="56"/>
    </row>
    <row r="31" spans="1:1313" x14ac:dyDescent="0.3">
      <c r="A31" s="1" t="s">
        <v>2258</v>
      </c>
      <c r="B31" s="1" t="s">
        <v>2259</v>
      </c>
      <c r="C31" s="1" t="s">
        <v>2260</v>
      </c>
      <c r="D31" s="1" t="s">
        <v>1639</v>
      </c>
      <c r="E31" s="1" t="s">
        <v>2211</v>
      </c>
      <c r="F31" s="1" t="s">
        <v>1639</v>
      </c>
      <c r="I31" s="1" t="s">
        <v>2080</v>
      </c>
      <c r="J31" s="1" t="s">
        <v>2081</v>
      </c>
      <c r="K31" s="1" t="s">
        <v>2081</v>
      </c>
      <c r="N31" s="1" t="s">
        <v>1379</v>
      </c>
      <c r="O31" s="2">
        <v>0</v>
      </c>
      <c r="P31" s="2">
        <v>0</v>
      </c>
      <c r="Q31" s="2">
        <v>0</v>
      </c>
      <c r="R31" s="2">
        <v>1</v>
      </c>
      <c r="S31" s="2">
        <v>0</v>
      </c>
      <c r="OK31" s="1" t="s">
        <v>1953</v>
      </c>
      <c r="OM31" s="1" t="s">
        <v>2261</v>
      </c>
      <c r="ON31" s="1" t="s">
        <v>1155</v>
      </c>
      <c r="PL31" s="1" t="s">
        <v>1155</v>
      </c>
      <c r="PM31" s="2">
        <v>2</v>
      </c>
      <c r="PN31" s="1" t="s">
        <v>1155</v>
      </c>
      <c r="PO31" s="2">
        <v>1</v>
      </c>
      <c r="PP31" s="2">
        <v>1</v>
      </c>
      <c r="PQ31" s="1" t="s">
        <v>1155</v>
      </c>
      <c r="PR31" s="1" t="s">
        <v>1154</v>
      </c>
      <c r="PU31" s="1" t="s">
        <v>1154</v>
      </c>
      <c r="PX31" s="1" t="s">
        <v>1155</v>
      </c>
      <c r="PY31" s="1" t="s">
        <v>1939</v>
      </c>
      <c r="PZ31" s="1" t="s">
        <v>2262</v>
      </c>
      <c r="QA31" s="2">
        <v>1</v>
      </c>
      <c r="QB31" s="2">
        <v>1</v>
      </c>
      <c r="QC31" s="2">
        <v>0</v>
      </c>
      <c r="QD31" s="2">
        <v>0</v>
      </c>
      <c r="QE31" s="2">
        <v>0</v>
      </c>
      <c r="QF31" s="2">
        <v>1</v>
      </c>
      <c r="QG31" s="2">
        <v>0</v>
      </c>
      <c r="QH31" s="2">
        <v>0</v>
      </c>
      <c r="QI31" s="2">
        <v>0</v>
      </c>
      <c r="QJ31" s="2">
        <v>0</v>
      </c>
      <c r="QK31" s="2">
        <v>1</v>
      </c>
      <c r="QL31" s="2">
        <v>0</v>
      </c>
      <c r="QM31" s="2">
        <v>0</v>
      </c>
      <c r="QN31" s="2">
        <v>1</v>
      </c>
      <c r="QP31" s="1" t="s">
        <v>1154</v>
      </c>
      <c r="QY31" s="1" t="s">
        <v>1154</v>
      </c>
      <c r="RG31" s="2">
        <v>40</v>
      </c>
      <c r="RH31" s="1" t="s">
        <v>1155</v>
      </c>
      <c r="RI31" s="1" t="s">
        <v>1156</v>
      </c>
      <c r="RJ31" s="1" t="s">
        <v>2263</v>
      </c>
      <c r="RK31" s="2">
        <v>0</v>
      </c>
      <c r="RL31" s="2">
        <v>1</v>
      </c>
      <c r="RM31" s="2">
        <v>0</v>
      </c>
      <c r="RN31" s="2">
        <v>0</v>
      </c>
      <c r="RO31" s="2">
        <v>0</v>
      </c>
      <c r="RP31" s="2">
        <v>1</v>
      </c>
      <c r="RQ31" s="2">
        <v>0</v>
      </c>
      <c r="RR31" s="2">
        <v>0</v>
      </c>
      <c r="RS31" s="2">
        <v>0</v>
      </c>
      <c r="RT31" s="2">
        <v>0</v>
      </c>
      <c r="SE31" s="1" t="s">
        <v>1877</v>
      </c>
      <c r="SF31" s="2">
        <v>7</v>
      </c>
      <c r="SG31" s="2" t="s">
        <v>1161</v>
      </c>
      <c r="SH31" s="2" t="s">
        <v>1161</v>
      </c>
      <c r="SI31" s="2" t="s">
        <v>1161</v>
      </c>
      <c r="SJ31" s="2">
        <v>2</v>
      </c>
      <c r="SK31" s="2" t="s">
        <v>1161</v>
      </c>
      <c r="SL31" s="2">
        <v>6</v>
      </c>
      <c r="SM31" s="2" t="s">
        <v>1161</v>
      </c>
      <c r="SN31" s="1" t="s">
        <v>1157</v>
      </c>
      <c r="SO31" s="2">
        <v>0</v>
      </c>
      <c r="SP31" s="2">
        <v>0</v>
      </c>
      <c r="SQ31" s="2">
        <v>0</v>
      </c>
      <c r="SR31" s="2">
        <v>0</v>
      </c>
      <c r="SS31" s="2">
        <v>0</v>
      </c>
      <c r="ST31" s="2">
        <v>1</v>
      </c>
      <c r="SU31" s="2">
        <v>0</v>
      </c>
      <c r="SV31" s="2">
        <v>0</v>
      </c>
      <c r="SW31" s="2">
        <v>0</v>
      </c>
      <c r="SX31" s="2">
        <v>0</v>
      </c>
      <c r="SY31" s="2">
        <v>0</v>
      </c>
      <c r="SZ31" s="2">
        <v>0</v>
      </c>
      <c r="TB31" s="1" t="s">
        <v>1154</v>
      </c>
      <c r="TJ31" s="1" t="s">
        <v>1154</v>
      </c>
      <c r="UF31" s="1" t="s">
        <v>1153</v>
      </c>
      <c r="UG31" s="2">
        <v>0</v>
      </c>
      <c r="UH31" s="2">
        <v>0</v>
      </c>
      <c r="UI31" s="2">
        <v>0</v>
      </c>
      <c r="UJ31" s="2">
        <v>1</v>
      </c>
      <c r="UK31" s="2">
        <v>0</v>
      </c>
      <c r="UL31" s="1" t="s">
        <v>2264</v>
      </c>
      <c r="UM31" s="1" t="s">
        <v>1169</v>
      </c>
      <c r="UO31" s="1" t="s">
        <v>1155</v>
      </c>
      <c r="UP31" s="1" t="s">
        <v>2265</v>
      </c>
      <c r="UQ31" s="2">
        <v>1</v>
      </c>
      <c r="UR31" s="2">
        <v>0</v>
      </c>
      <c r="US31" s="2">
        <v>0</v>
      </c>
      <c r="UT31" s="2">
        <v>0</v>
      </c>
      <c r="UU31" s="2">
        <v>0</v>
      </c>
      <c r="UV31" s="2">
        <v>1</v>
      </c>
      <c r="UW31" s="2">
        <v>0</v>
      </c>
      <c r="UX31" s="2">
        <v>1</v>
      </c>
      <c r="UY31" s="2">
        <v>0</v>
      </c>
      <c r="UZ31" s="2">
        <v>0</v>
      </c>
      <c r="VA31" s="2">
        <v>0</v>
      </c>
      <c r="VB31" s="2">
        <v>0</v>
      </c>
      <c r="VC31" s="2">
        <v>0</v>
      </c>
      <c r="VD31" s="2">
        <v>0</v>
      </c>
      <c r="VE31" s="2">
        <v>0</v>
      </c>
      <c r="VF31" s="2">
        <v>0</v>
      </c>
      <c r="VH31" s="1" t="s">
        <v>2266</v>
      </c>
      <c r="VI31" s="2">
        <v>0</v>
      </c>
      <c r="VJ31" s="2">
        <v>0</v>
      </c>
      <c r="VK31" s="2">
        <v>0</v>
      </c>
      <c r="VL31" s="2">
        <v>0</v>
      </c>
      <c r="VM31" s="2">
        <v>1</v>
      </c>
      <c r="VN31" s="2">
        <v>0</v>
      </c>
      <c r="VO31" s="2">
        <v>1</v>
      </c>
      <c r="VP31" s="2">
        <v>1</v>
      </c>
      <c r="VQ31" s="2">
        <v>1</v>
      </c>
      <c r="VR31" s="2">
        <v>0</v>
      </c>
      <c r="VS31" s="2">
        <v>0</v>
      </c>
      <c r="VT31" s="2">
        <v>0</v>
      </c>
      <c r="VU31" s="2">
        <v>0</v>
      </c>
      <c r="VW31" s="1" t="s">
        <v>1155</v>
      </c>
      <c r="VX31" s="1" t="s">
        <v>1157</v>
      </c>
      <c r="VY31" s="2">
        <v>0</v>
      </c>
      <c r="VZ31" s="2">
        <v>0</v>
      </c>
      <c r="WA31" s="2">
        <v>0</v>
      </c>
      <c r="WB31" s="2">
        <v>0</v>
      </c>
      <c r="WC31" s="2">
        <v>1</v>
      </c>
      <c r="WD31" s="2">
        <v>0</v>
      </c>
      <c r="WE31" s="2">
        <v>0</v>
      </c>
      <c r="WG31" s="1" t="s">
        <v>1153</v>
      </c>
      <c r="WH31" s="2">
        <v>0</v>
      </c>
      <c r="WI31" s="2">
        <v>0</v>
      </c>
      <c r="WJ31" s="2">
        <v>0</v>
      </c>
      <c r="WK31" s="2">
        <v>0</v>
      </c>
      <c r="WL31" s="2">
        <v>0</v>
      </c>
      <c r="WM31" s="2">
        <v>0</v>
      </c>
      <c r="WN31" s="2">
        <v>0</v>
      </c>
      <c r="WO31" s="2">
        <v>0</v>
      </c>
      <c r="WP31" s="2">
        <v>0</v>
      </c>
      <c r="WQ31" s="2">
        <v>0</v>
      </c>
      <c r="WR31" s="2">
        <v>0</v>
      </c>
      <c r="WS31" s="2">
        <v>0</v>
      </c>
      <c r="WT31" s="2">
        <v>1</v>
      </c>
      <c r="WU31" s="1" t="s">
        <v>2267</v>
      </c>
      <c r="WV31" s="1" t="s">
        <v>1155</v>
      </c>
      <c r="XD31" s="1" t="s">
        <v>2268</v>
      </c>
      <c r="XE31" s="2">
        <v>0</v>
      </c>
      <c r="XF31" s="2">
        <v>0</v>
      </c>
      <c r="XG31" s="2">
        <v>1</v>
      </c>
      <c r="XH31" s="2">
        <v>1</v>
      </c>
      <c r="XI31" s="2">
        <v>0</v>
      </c>
      <c r="XJ31" s="2">
        <v>1</v>
      </c>
      <c r="XK31" s="2">
        <v>0</v>
      </c>
      <c r="XL31" s="2">
        <v>1</v>
      </c>
      <c r="XM31" s="2">
        <v>1</v>
      </c>
      <c r="XN31" s="2">
        <v>0</v>
      </c>
      <c r="XO31" s="2">
        <v>0</v>
      </c>
      <c r="XP31" s="2">
        <v>0</v>
      </c>
      <c r="XQ31" s="2">
        <v>0</v>
      </c>
      <c r="XT31" s="1" t="s">
        <v>1155</v>
      </c>
      <c r="XU31" s="1" t="s">
        <v>1880</v>
      </c>
      <c r="XV31" s="2">
        <v>1</v>
      </c>
      <c r="XW31" s="2">
        <v>1</v>
      </c>
      <c r="XX31" s="2">
        <v>1</v>
      </c>
      <c r="XY31" s="2">
        <v>1</v>
      </c>
      <c r="XZ31" s="2">
        <v>1</v>
      </c>
      <c r="YA31" s="2">
        <v>0</v>
      </c>
      <c r="YB31" s="2">
        <v>0</v>
      </c>
      <c r="YC31" s="2">
        <v>0</v>
      </c>
      <c r="YE31" s="1" t="s">
        <v>1155</v>
      </c>
      <c r="YF31" s="1" t="s">
        <v>1155</v>
      </c>
      <c r="YG31" s="1" t="s">
        <v>1155</v>
      </c>
      <c r="YH31" s="1" t="s">
        <v>1155</v>
      </c>
      <c r="YI31" s="1" t="s">
        <v>1881</v>
      </c>
      <c r="YJ31" s="2">
        <v>1</v>
      </c>
      <c r="YK31" s="2">
        <v>1</v>
      </c>
      <c r="YL31" s="2">
        <v>1</v>
      </c>
      <c r="YM31" s="2">
        <v>1</v>
      </c>
      <c r="YN31" s="2">
        <v>1</v>
      </c>
      <c r="YO31" s="2">
        <v>1</v>
      </c>
      <c r="YP31" s="2">
        <v>0</v>
      </c>
      <c r="YQ31" s="2">
        <v>0</v>
      </c>
      <c r="YS31" s="1" t="s">
        <v>1154</v>
      </c>
      <c r="ZA31" s="1" t="s">
        <v>1155</v>
      </c>
      <c r="ZB31" s="57"/>
      <c r="ZF31" s="1" t="s">
        <v>1154</v>
      </c>
      <c r="ZH31" s="2">
        <v>1</v>
      </c>
      <c r="ZI31" s="1" t="s">
        <v>1159</v>
      </c>
      <c r="ZK31" s="1" t="s">
        <v>1154</v>
      </c>
      <c r="ZL31" s="1" t="s">
        <v>1155</v>
      </c>
      <c r="ZM31" s="1" t="s">
        <v>1154</v>
      </c>
      <c r="ZN31" s="1" t="s">
        <v>1155</v>
      </c>
      <c r="ZO31" s="1" t="s">
        <v>1155</v>
      </c>
      <c r="ZP31" s="2">
        <v>5</v>
      </c>
      <c r="ZQ31" s="1" t="s">
        <v>1154</v>
      </c>
      <c r="AVT31" s="1">
        <v>130131044</v>
      </c>
      <c r="AVU31" s="1" t="s">
        <v>2269</v>
      </c>
      <c r="AVW31" s="1">
        <v>152</v>
      </c>
      <c r="AVX31" s="56"/>
      <c r="AVY31" s="56"/>
      <c r="AVZ31" s="56"/>
      <c r="AWA31" s="56"/>
      <c r="AWB31" s="56"/>
      <c r="AWC31" s="56"/>
      <c r="AWD31" s="56"/>
      <c r="AWE31" s="56"/>
      <c r="AWF31" s="56"/>
      <c r="AWG31" s="56"/>
      <c r="AWH31" s="56"/>
      <c r="AWI31" s="56"/>
      <c r="AWJ31" s="56"/>
      <c r="AWK31" s="56"/>
      <c r="AWL31" s="56"/>
      <c r="AWM31" s="56"/>
      <c r="AWN31" s="56"/>
      <c r="AWO31" s="56"/>
      <c r="AWP31" s="56"/>
      <c r="AWQ31" s="56"/>
      <c r="AWR31" s="56"/>
      <c r="AWS31" s="56"/>
      <c r="AWT31" s="56"/>
      <c r="AWU31" s="56"/>
      <c r="AWV31" s="56"/>
      <c r="AWW31" s="56"/>
      <c r="AWX31" s="56"/>
      <c r="AWY31" s="56"/>
      <c r="AWZ31" s="56"/>
      <c r="AXA31" s="56"/>
      <c r="AXB31" s="56"/>
      <c r="AXC31" s="56"/>
      <c r="AXD31" s="56"/>
      <c r="AXE31" s="56"/>
      <c r="AXF31" s="56"/>
      <c r="AXG31" s="56"/>
      <c r="AXH31" s="56"/>
      <c r="AXI31" s="56"/>
      <c r="AXJ31" s="56"/>
      <c r="AXK31" s="56"/>
      <c r="AXL31" s="56"/>
      <c r="AXM31" s="56"/>
    </row>
    <row r="32" spans="1:1313" x14ac:dyDescent="0.3">
      <c r="A32" s="1" t="s">
        <v>2270</v>
      </c>
      <c r="B32" s="1" t="s">
        <v>2271</v>
      </c>
      <c r="C32" s="1" t="s">
        <v>2272</v>
      </c>
      <c r="D32" s="1" t="s">
        <v>1639</v>
      </c>
      <c r="E32" s="1" t="s">
        <v>2173</v>
      </c>
      <c r="F32" s="1" t="s">
        <v>1639</v>
      </c>
      <c r="I32" s="1" t="s">
        <v>2080</v>
      </c>
      <c r="J32" s="1" t="s">
        <v>2081</v>
      </c>
      <c r="K32" s="1" t="s">
        <v>2081</v>
      </c>
      <c r="N32" s="1" t="s">
        <v>1159</v>
      </c>
      <c r="O32" s="2">
        <v>0</v>
      </c>
      <c r="P32" s="2">
        <v>0</v>
      </c>
      <c r="Q32" s="2">
        <v>0</v>
      </c>
      <c r="R32" s="2">
        <v>0</v>
      </c>
      <c r="S32" s="2">
        <v>1</v>
      </c>
      <c r="AKT32" s="1" t="s">
        <v>2273</v>
      </c>
      <c r="AKU32" s="1" t="s">
        <v>1155</v>
      </c>
      <c r="ALF32" s="1" t="s">
        <v>1154</v>
      </c>
      <c r="ALG32" s="1" t="s">
        <v>1155</v>
      </c>
      <c r="ALN32" s="1" t="s">
        <v>2274</v>
      </c>
      <c r="ALO32" s="2">
        <v>1</v>
      </c>
      <c r="ALP32" s="2">
        <v>1</v>
      </c>
      <c r="ALQ32" s="2">
        <v>1</v>
      </c>
      <c r="ALR32" s="2">
        <v>1</v>
      </c>
      <c r="ALS32" s="2">
        <v>1</v>
      </c>
      <c r="ALT32" s="2">
        <v>1</v>
      </c>
      <c r="ALU32" s="2">
        <v>1</v>
      </c>
      <c r="ALV32" s="2">
        <v>0</v>
      </c>
      <c r="ALX32" s="1" t="s">
        <v>2275</v>
      </c>
      <c r="ALY32" s="2">
        <v>1</v>
      </c>
      <c r="ALZ32" s="2">
        <v>1</v>
      </c>
      <c r="AMA32" s="2">
        <v>1</v>
      </c>
      <c r="AMB32" s="2">
        <v>1</v>
      </c>
      <c r="AMC32" s="2">
        <v>1</v>
      </c>
      <c r="AMD32" s="2">
        <v>1</v>
      </c>
      <c r="AME32" s="2">
        <v>1</v>
      </c>
      <c r="AMF32" s="1" t="s">
        <v>1643</v>
      </c>
      <c r="AMG32" s="2">
        <v>1</v>
      </c>
      <c r="AMH32" s="2">
        <v>0</v>
      </c>
      <c r="AMI32" s="2">
        <v>0</v>
      </c>
      <c r="AMJ32" s="2">
        <v>0</v>
      </c>
      <c r="AMK32" s="2">
        <v>0</v>
      </c>
      <c r="AMM32" s="1" t="s">
        <v>1154</v>
      </c>
      <c r="AMW32" s="2">
        <v>180</v>
      </c>
      <c r="AMX32" s="1" t="s">
        <v>1155</v>
      </c>
      <c r="AMY32" s="1" t="s">
        <v>1160</v>
      </c>
      <c r="ANK32" s="1" t="s">
        <v>2276</v>
      </c>
      <c r="ANL32" s="2">
        <v>1</v>
      </c>
      <c r="ANM32" s="2">
        <v>0</v>
      </c>
      <c r="ANN32" s="2">
        <v>0</v>
      </c>
      <c r="ANO32" s="2">
        <v>1</v>
      </c>
      <c r="ANP32" s="2">
        <v>0</v>
      </c>
      <c r="ANQ32" s="2">
        <v>0</v>
      </c>
      <c r="ANR32" s="2">
        <v>0</v>
      </c>
      <c r="ANS32" s="2">
        <v>0</v>
      </c>
      <c r="ANT32" s="2">
        <v>0</v>
      </c>
      <c r="ANU32" s="2">
        <v>1</v>
      </c>
      <c r="ANV32" s="2">
        <v>0</v>
      </c>
      <c r="ANW32" s="1" t="s">
        <v>2277</v>
      </c>
      <c r="ANX32" s="1" t="s">
        <v>1154</v>
      </c>
      <c r="ANZ32" s="1" t="s">
        <v>1384</v>
      </c>
      <c r="AOA32" s="2">
        <v>1</v>
      </c>
      <c r="AOB32" s="2">
        <v>1</v>
      </c>
      <c r="AOC32" s="2">
        <v>0</v>
      </c>
      <c r="AOD32" s="2">
        <v>0</v>
      </c>
      <c r="AOE32" s="2">
        <v>0</v>
      </c>
      <c r="AOF32" s="2">
        <v>0</v>
      </c>
      <c r="AOG32" s="2">
        <v>0</v>
      </c>
      <c r="AOH32" s="2">
        <v>0</v>
      </c>
      <c r="AOJ32" s="1" t="s">
        <v>1165</v>
      </c>
      <c r="AOL32" s="1" t="s">
        <v>1166</v>
      </c>
      <c r="AOO32" s="1" t="s">
        <v>2278</v>
      </c>
      <c r="AOP32" s="2">
        <v>0</v>
      </c>
      <c r="AOQ32" s="2">
        <v>1</v>
      </c>
      <c r="AOR32" s="2">
        <v>1</v>
      </c>
      <c r="AOS32" s="2">
        <v>1</v>
      </c>
      <c r="AOT32" s="2">
        <v>1</v>
      </c>
      <c r="AOU32" s="2">
        <v>0</v>
      </c>
      <c r="AOV32" s="2">
        <v>0</v>
      </c>
      <c r="AOW32" s="2">
        <v>0</v>
      </c>
      <c r="AOY32" s="1" t="s">
        <v>1165</v>
      </c>
      <c r="APA32" s="1" t="s">
        <v>1166</v>
      </c>
      <c r="APD32" s="2">
        <v>20</v>
      </c>
      <c r="APF32" s="1" t="s">
        <v>1155</v>
      </c>
      <c r="APG32" s="1" t="s">
        <v>1164</v>
      </c>
      <c r="APQ32" s="1" t="s">
        <v>2279</v>
      </c>
      <c r="APR32" s="2">
        <v>0</v>
      </c>
      <c r="APS32" s="2">
        <v>1</v>
      </c>
      <c r="APT32" s="2">
        <v>0</v>
      </c>
      <c r="APU32" s="2">
        <v>1</v>
      </c>
      <c r="APV32" s="2">
        <v>0</v>
      </c>
      <c r="APW32" s="2">
        <v>0</v>
      </c>
      <c r="APX32" s="2">
        <v>0</v>
      </c>
      <c r="APZ32" s="1" t="s">
        <v>2280</v>
      </c>
      <c r="AQA32" s="2">
        <v>0</v>
      </c>
      <c r="AQB32" s="2">
        <v>1</v>
      </c>
      <c r="AQC32" s="2">
        <v>0</v>
      </c>
      <c r="AQD32" s="2">
        <v>1</v>
      </c>
      <c r="AQE32" s="2">
        <v>0</v>
      </c>
      <c r="AQF32" s="2">
        <v>0</v>
      </c>
      <c r="AQL32" s="1" t="s">
        <v>1925</v>
      </c>
      <c r="AQN32" s="2">
        <v>200</v>
      </c>
      <c r="AQO32" s="1" t="s">
        <v>1162</v>
      </c>
      <c r="AQV32" s="1" t="s">
        <v>1925</v>
      </c>
      <c r="AQX32" s="2">
        <v>100</v>
      </c>
      <c r="AQY32" s="1" t="s">
        <v>1162</v>
      </c>
      <c r="ARG32" s="1" t="s">
        <v>1162</v>
      </c>
      <c r="ARH32" s="2">
        <v>0</v>
      </c>
      <c r="ARI32" s="2">
        <v>1</v>
      </c>
      <c r="ARJ32" s="2">
        <v>0</v>
      </c>
      <c r="ARK32" s="2">
        <v>0</v>
      </c>
      <c r="ARL32" s="2">
        <v>0</v>
      </c>
      <c r="ARM32" s="2">
        <v>0</v>
      </c>
      <c r="ARN32" s="2">
        <v>0</v>
      </c>
      <c r="ARO32" s="2">
        <v>0</v>
      </c>
      <c r="ARP32" s="2">
        <v>0</v>
      </c>
      <c r="ARQ32" s="2">
        <v>0</v>
      </c>
      <c r="ARR32" s="2">
        <v>0</v>
      </c>
      <c r="ARS32" s="2">
        <v>0</v>
      </c>
      <c r="ARU32" s="1" t="s">
        <v>1162</v>
      </c>
      <c r="ARV32" s="2">
        <v>1</v>
      </c>
      <c r="ARW32" s="2">
        <v>0</v>
      </c>
      <c r="ARX32" s="2">
        <v>0</v>
      </c>
      <c r="ARY32" s="2">
        <v>0</v>
      </c>
      <c r="ARZ32" s="2">
        <v>0</v>
      </c>
      <c r="ASA32" s="2">
        <v>0</v>
      </c>
      <c r="ASB32" s="2">
        <v>0</v>
      </c>
      <c r="ASD32" s="1" t="s">
        <v>1155</v>
      </c>
      <c r="ASE32" s="1" t="s">
        <v>1383</v>
      </c>
      <c r="ASF32" s="2">
        <v>1</v>
      </c>
      <c r="ASG32" s="2">
        <v>0</v>
      </c>
      <c r="ASH32" s="2">
        <v>0</v>
      </c>
      <c r="ASI32" s="2">
        <v>0</v>
      </c>
      <c r="ASJ32" s="2">
        <v>0</v>
      </c>
      <c r="ASK32" s="2">
        <v>0</v>
      </c>
      <c r="ASL32" s="2">
        <v>0</v>
      </c>
      <c r="ASN32" s="1" t="s">
        <v>1163</v>
      </c>
      <c r="ASO32" s="2">
        <v>0</v>
      </c>
      <c r="ASP32" s="2">
        <v>0</v>
      </c>
      <c r="ASQ32" s="2">
        <v>0</v>
      </c>
      <c r="ASR32" s="2">
        <v>0</v>
      </c>
      <c r="ASS32" s="2">
        <v>1</v>
      </c>
      <c r="ASU32" s="1" t="s">
        <v>1162</v>
      </c>
      <c r="ASV32" s="2">
        <v>1</v>
      </c>
      <c r="ASW32" s="2">
        <v>0</v>
      </c>
      <c r="ASX32" s="2">
        <v>0</v>
      </c>
      <c r="ASY32" s="2">
        <v>0</v>
      </c>
      <c r="ASZ32" s="2">
        <v>0</v>
      </c>
      <c r="ATA32" s="2">
        <v>0</v>
      </c>
      <c r="ATB32" s="2">
        <v>0</v>
      </c>
      <c r="ATC32" s="2">
        <v>0</v>
      </c>
      <c r="ATD32" s="2">
        <v>0</v>
      </c>
      <c r="ATE32" s="2">
        <v>0</v>
      </c>
      <c r="ATF32" s="2">
        <v>0</v>
      </c>
      <c r="ATG32" s="2">
        <v>0</v>
      </c>
      <c r="ATH32" s="2">
        <v>0</v>
      </c>
      <c r="ATJ32" s="1" t="s">
        <v>2281</v>
      </c>
      <c r="ATK32" s="2">
        <v>1</v>
      </c>
      <c r="ATL32" s="2">
        <v>1</v>
      </c>
      <c r="ATM32" s="2">
        <v>0</v>
      </c>
      <c r="ATN32" s="2">
        <v>1</v>
      </c>
      <c r="ATO32" s="2">
        <v>1</v>
      </c>
      <c r="ATP32" s="2">
        <v>0</v>
      </c>
      <c r="ATQ32" s="2">
        <v>0</v>
      </c>
      <c r="ATR32" s="2">
        <v>0</v>
      </c>
      <c r="ATS32" s="2">
        <v>1</v>
      </c>
      <c r="ATT32" s="2">
        <v>0</v>
      </c>
      <c r="ATU32" s="2">
        <v>1</v>
      </c>
      <c r="ATV32" s="2">
        <v>1</v>
      </c>
      <c r="ATW32" s="2">
        <v>0</v>
      </c>
      <c r="ATX32" s="2">
        <v>1</v>
      </c>
      <c r="ATY32" s="2">
        <v>0</v>
      </c>
      <c r="ATZ32" s="2">
        <v>0</v>
      </c>
      <c r="AUA32" s="2">
        <v>0</v>
      </c>
      <c r="AUC32" s="1" t="s">
        <v>1154</v>
      </c>
      <c r="AVG32" s="1" t="s">
        <v>2282</v>
      </c>
      <c r="AVH32" s="2">
        <v>1</v>
      </c>
      <c r="AVI32" s="2">
        <v>1</v>
      </c>
      <c r="AVJ32" s="2">
        <v>1</v>
      </c>
      <c r="AVK32" s="2">
        <v>1</v>
      </c>
      <c r="AVL32" s="2">
        <v>0</v>
      </c>
      <c r="AVM32" s="2">
        <v>0</v>
      </c>
      <c r="AVN32" s="2">
        <v>1</v>
      </c>
      <c r="AVO32" s="2">
        <v>0</v>
      </c>
      <c r="AVP32" s="2">
        <v>0</v>
      </c>
      <c r="AVT32" s="1">
        <v>130135047</v>
      </c>
      <c r="AVU32" s="1" t="s">
        <v>2283</v>
      </c>
      <c r="AVW32" s="1">
        <v>153</v>
      </c>
      <c r="AVX32" s="56"/>
      <c r="AVY32" s="56"/>
      <c r="AVZ32" s="56"/>
      <c r="AWA32" s="56"/>
      <c r="AWB32" s="56"/>
      <c r="AWC32" s="56"/>
      <c r="AWD32" s="56"/>
      <c r="AWE32" s="56"/>
      <c r="AWF32" s="56"/>
      <c r="AWG32" s="56"/>
      <c r="AWH32" s="56"/>
      <c r="AWI32" s="56"/>
      <c r="AWJ32" s="56"/>
      <c r="AWK32" s="56"/>
      <c r="AWL32" s="56"/>
      <c r="AWM32" s="56"/>
      <c r="AWN32" s="56"/>
      <c r="AWO32" s="56"/>
      <c r="AWP32" s="56"/>
      <c r="AWQ32" s="56"/>
      <c r="AWR32" s="56"/>
      <c r="AWS32" s="56"/>
      <c r="AWT32" s="56"/>
      <c r="AWU32" s="56"/>
      <c r="AWV32" s="56"/>
      <c r="AWW32" s="56"/>
      <c r="AWX32" s="56"/>
      <c r="AWY32" s="56"/>
      <c r="AWZ32" s="56"/>
      <c r="AXA32" s="56"/>
      <c r="AXB32" s="56"/>
      <c r="AXC32" s="56"/>
      <c r="AXD32" s="56"/>
      <c r="AXE32" s="56"/>
      <c r="AXF32" s="56"/>
      <c r="AXG32" s="56"/>
      <c r="AXH32" s="56"/>
      <c r="AXI32" s="56"/>
      <c r="AXJ32" s="56"/>
      <c r="AXK32" s="56"/>
      <c r="AXL32" s="56"/>
      <c r="AXM32" s="56"/>
    </row>
    <row r="33" spans="1:1326" x14ac:dyDescent="0.3">
      <c r="A33" s="1" t="s">
        <v>2284</v>
      </c>
      <c r="B33" s="1" t="s">
        <v>2285</v>
      </c>
      <c r="C33" s="1" t="s">
        <v>2286</v>
      </c>
      <c r="D33" s="1" t="s">
        <v>1644</v>
      </c>
      <c r="E33" s="1" t="s">
        <v>2173</v>
      </c>
      <c r="F33" s="1" t="s">
        <v>1644</v>
      </c>
      <c r="I33" s="1" t="s">
        <v>2080</v>
      </c>
      <c r="J33" s="1" t="s">
        <v>2081</v>
      </c>
      <c r="K33" s="1" t="s">
        <v>2081</v>
      </c>
      <c r="N33" s="1" t="s">
        <v>1379</v>
      </c>
      <c r="O33" s="2">
        <v>0</v>
      </c>
      <c r="P33" s="2">
        <v>0</v>
      </c>
      <c r="Q33" s="2">
        <v>0</v>
      </c>
      <c r="R33" s="2">
        <v>1</v>
      </c>
      <c r="S33" s="2">
        <v>0</v>
      </c>
      <c r="OK33" s="1" t="s">
        <v>2287</v>
      </c>
      <c r="OM33" s="1" t="s">
        <v>2288</v>
      </c>
      <c r="ON33" s="1" t="s">
        <v>1155</v>
      </c>
      <c r="PL33" s="1" t="s">
        <v>1155</v>
      </c>
      <c r="PM33" s="2">
        <v>14</v>
      </c>
      <c r="PN33" s="1" t="s">
        <v>1155</v>
      </c>
      <c r="PO33" s="2">
        <v>7</v>
      </c>
      <c r="PP33" s="2">
        <v>7</v>
      </c>
      <c r="PQ33" s="1" t="s">
        <v>1155</v>
      </c>
      <c r="PR33" s="1" t="s">
        <v>1155</v>
      </c>
      <c r="PS33" s="1" t="s">
        <v>1153</v>
      </c>
      <c r="PT33" s="1" t="s">
        <v>2289</v>
      </c>
      <c r="PU33" s="1" t="s">
        <v>1155</v>
      </c>
      <c r="PV33" s="1" t="s">
        <v>1155</v>
      </c>
      <c r="PW33" s="57"/>
      <c r="PX33" s="1" t="s">
        <v>1155</v>
      </c>
      <c r="PY33" s="1" t="s">
        <v>1939</v>
      </c>
      <c r="PZ33" s="1" t="s">
        <v>2290</v>
      </c>
      <c r="QA33" s="2">
        <v>1</v>
      </c>
      <c r="QB33" s="2">
        <v>1</v>
      </c>
      <c r="QC33" s="2">
        <v>1</v>
      </c>
      <c r="QD33" s="2">
        <v>1</v>
      </c>
      <c r="QE33" s="2">
        <v>1</v>
      </c>
      <c r="QF33" s="2">
        <v>1</v>
      </c>
      <c r="QG33" s="2">
        <v>0</v>
      </c>
      <c r="QH33" s="2">
        <v>1</v>
      </c>
      <c r="QI33" s="2">
        <v>0</v>
      </c>
      <c r="QJ33" s="2">
        <v>1</v>
      </c>
      <c r="QK33" s="2">
        <v>1</v>
      </c>
      <c r="QL33" s="2">
        <v>1</v>
      </c>
      <c r="QM33" s="2">
        <v>0</v>
      </c>
      <c r="QN33" s="2">
        <v>1</v>
      </c>
      <c r="QP33" s="1" t="s">
        <v>1155</v>
      </c>
      <c r="QQ33" s="1" t="s">
        <v>2291</v>
      </c>
      <c r="QR33" s="2">
        <v>1</v>
      </c>
      <c r="QS33" s="2">
        <v>1</v>
      </c>
      <c r="QT33" s="2">
        <v>0</v>
      </c>
      <c r="QU33" s="2">
        <v>0</v>
      </c>
      <c r="QV33" s="2">
        <v>1</v>
      </c>
      <c r="QW33" s="2">
        <v>1</v>
      </c>
      <c r="QY33" s="1" t="s">
        <v>1155</v>
      </c>
      <c r="QZ33" s="1" t="s">
        <v>1153</v>
      </c>
      <c r="RA33" s="2">
        <v>0</v>
      </c>
      <c r="RB33" s="2">
        <v>0</v>
      </c>
      <c r="RC33" s="2">
        <v>0</v>
      </c>
      <c r="RD33" s="2">
        <v>0</v>
      </c>
      <c r="RE33" s="2">
        <v>1</v>
      </c>
      <c r="RF33" s="1" t="s">
        <v>2292</v>
      </c>
      <c r="RG33" s="2">
        <v>90</v>
      </c>
      <c r="RH33" s="1" t="s">
        <v>1155</v>
      </c>
      <c r="RI33" s="1" t="s">
        <v>1164</v>
      </c>
      <c r="RV33" s="1" t="s">
        <v>2293</v>
      </c>
      <c r="RW33" s="2">
        <v>1</v>
      </c>
      <c r="RX33" s="2">
        <v>0</v>
      </c>
      <c r="RY33" s="2">
        <v>0</v>
      </c>
      <c r="RZ33" s="2">
        <v>1</v>
      </c>
      <c r="SA33" s="2">
        <v>0</v>
      </c>
      <c r="SB33" s="2">
        <v>0</v>
      </c>
      <c r="SC33" s="2">
        <v>0</v>
      </c>
      <c r="SE33" s="1" t="s">
        <v>1989</v>
      </c>
      <c r="SF33" s="2">
        <v>35</v>
      </c>
      <c r="SG33" s="2">
        <v>4</v>
      </c>
      <c r="SH33" s="2">
        <v>6</v>
      </c>
      <c r="SI33" s="2">
        <v>2</v>
      </c>
      <c r="SJ33" s="2">
        <v>2</v>
      </c>
      <c r="SK33" s="2">
        <v>2</v>
      </c>
      <c r="SL33" s="2">
        <v>16</v>
      </c>
      <c r="SM33" s="2">
        <v>10</v>
      </c>
      <c r="SN33" s="1" t="s">
        <v>1991</v>
      </c>
      <c r="SO33" s="2">
        <v>1</v>
      </c>
      <c r="SP33" s="2">
        <v>0</v>
      </c>
      <c r="SQ33" s="2">
        <v>0</v>
      </c>
      <c r="SR33" s="2">
        <v>0</v>
      </c>
      <c r="SS33" s="2">
        <v>0</v>
      </c>
      <c r="ST33" s="2">
        <v>0</v>
      </c>
      <c r="SU33" s="2">
        <v>0</v>
      </c>
      <c r="SV33" s="2">
        <v>0</v>
      </c>
      <c r="SW33" s="2">
        <v>1</v>
      </c>
      <c r="SX33" s="2">
        <v>0</v>
      </c>
      <c r="SY33" s="2">
        <v>0</v>
      </c>
      <c r="SZ33" s="2">
        <v>0</v>
      </c>
      <c r="TA33" s="1" t="s">
        <v>2315</v>
      </c>
      <c r="TB33" s="1" t="s">
        <v>1154</v>
      </c>
      <c r="TJ33" s="1" t="s">
        <v>1154</v>
      </c>
      <c r="UF33" s="1" t="s">
        <v>1385</v>
      </c>
      <c r="UG33" s="2">
        <v>1</v>
      </c>
      <c r="UH33" s="2">
        <v>0</v>
      </c>
      <c r="UI33" s="2">
        <v>0</v>
      </c>
      <c r="UJ33" s="2">
        <v>0</v>
      </c>
      <c r="UK33" s="2">
        <v>0</v>
      </c>
      <c r="UM33" s="1" t="s">
        <v>1870</v>
      </c>
      <c r="UO33" s="1" t="s">
        <v>1155</v>
      </c>
      <c r="UP33" s="1" t="s">
        <v>2294</v>
      </c>
      <c r="UQ33" s="2">
        <v>1</v>
      </c>
      <c r="UR33" s="2">
        <v>0</v>
      </c>
      <c r="US33" s="2">
        <v>1</v>
      </c>
      <c r="UT33" s="2">
        <v>1</v>
      </c>
      <c r="UU33" s="2">
        <v>0</v>
      </c>
      <c r="UV33" s="2">
        <v>1</v>
      </c>
      <c r="UW33" s="2">
        <v>1</v>
      </c>
      <c r="UX33" s="2">
        <v>1</v>
      </c>
      <c r="UY33" s="2">
        <v>0</v>
      </c>
      <c r="UZ33" s="2">
        <v>0</v>
      </c>
      <c r="VA33" s="2">
        <v>0</v>
      </c>
      <c r="VB33" s="2">
        <v>0</v>
      </c>
      <c r="VC33" s="2">
        <v>0</v>
      </c>
      <c r="VD33" s="2">
        <v>0</v>
      </c>
      <c r="VE33" s="2">
        <v>0</v>
      </c>
      <c r="VF33" s="2">
        <v>0</v>
      </c>
      <c r="VH33" s="1" t="s">
        <v>1889</v>
      </c>
      <c r="VI33" s="2">
        <v>0</v>
      </c>
      <c r="VJ33" s="2">
        <v>0</v>
      </c>
      <c r="VK33" s="2">
        <v>0</v>
      </c>
      <c r="VL33" s="2">
        <v>0</v>
      </c>
      <c r="VM33" s="2">
        <v>1</v>
      </c>
      <c r="VN33" s="2">
        <v>1</v>
      </c>
      <c r="VO33" s="2">
        <v>0</v>
      </c>
      <c r="VP33" s="2">
        <v>0</v>
      </c>
      <c r="VQ33" s="2">
        <v>0</v>
      </c>
      <c r="VR33" s="2">
        <v>0</v>
      </c>
      <c r="VS33" s="2">
        <v>0</v>
      </c>
      <c r="VT33" s="2">
        <v>0</v>
      </c>
      <c r="VU33" s="2">
        <v>0</v>
      </c>
      <c r="VW33" s="1" t="s">
        <v>1155</v>
      </c>
      <c r="VX33" s="1" t="s">
        <v>1157</v>
      </c>
      <c r="VY33" s="2">
        <v>0</v>
      </c>
      <c r="VZ33" s="2">
        <v>0</v>
      </c>
      <c r="WA33" s="2">
        <v>0</v>
      </c>
      <c r="WB33" s="2">
        <v>0</v>
      </c>
      <c r="WC33" s="2">
        <v>1</v>
      </c>
      <c r="WD33" s="2">
        <v>0</v>
      </c>
      <c r="WE33" s="2">
        <v>0</v>
      </c>
      <c r="WG33" s="1" t="s">
        <v>1153</v>
      </c>
      <c r="WH33" s="2">
        <v>0</v>
      </c>
      <c r="WI33" s="2">
        <v>0</v>
      </c>
      <c r="WJ33" s="2">
        <v>0</v>
      </c>
      <c r="WK33" s="2">
        <v>0</v>
      </c>
      <c r="WL33" s="2">
        <v>0</v>
      </c>
      <c r="WM33" s="2">
        <v>0</v>
      </c>
      <c r="WN33" s="2">
        <v>0</v>
      </c>
      <c r="WO33" s="2">
        <v>0</v>
      </c>
      <c r="WP33" s="2">
        <v>0</v>
      </c>
      <c r="WQ33" s="2">
        <v>0</v>
      </c>
      <c r="WR33" s="2">
        <v>0</v>
      </c>
      <c r="WS33" s="2">
        <v>0</v>
      </c>
      <c r="WT33" s="2">
        <v>1</v>
      </c>
      <c r="WU33" s="1" t="s">
        <v>2295</v>
      </c>
      <c r="WV33" s="1" t="s">
        <v>1154</v>
      </c>
      <c r="WW33" s="1" t="s">
        <v>2296</v>
      </c>
      <c r="WX33" s="2">
        <v>1</v>
      </c>
      <c r="WY33" s="2">
        <v>0</v>
      </c>
      <c r="WZ33" s="2">
        <v>1</v>
      </c>
      <c r="XA33" s="2">
        <v>0</v>
      </c>
      <c r="XB33" s="2">
        <v>0</v>
      </c>
      <c r="XD33" s="1" t="s">
        <v>2297</v>
      </c>
      <c r="XE33" s="2">
        <v>1</v>
      </c>
      <c r="XF33" s="2">
        <v>0</v>
      </c>
      <c r="XG33" s="2">
        <v>1</v>
      </c>
      <c r="XH33" s="2">
        <v>1</v>
      </c>
      <c r="XI33" s="2">
        <v>1</v>
      </c>
      <c r="XJ33" s="2">
        <v>1</v>
      </c>
      <c r="XK33" s="2">
        <v>1</v>
      </c>
      <c r="XL33" s="2">
        <v>1</v>
      </c>
      <c r="XM33" s="2">
        <v>1</v>
      </c>
      <c r="XN33" s="2">
        <v>0</v>
      </c>
      <c r="XO33" s="2">
        <v>0</v>
      </c>
      <c r="XP33" s="2">
        <v>0</v>
      </c>
      <c r="XQ33" s="2">
        <v>0</v>
      </c>
      <c r="XT33" s="1" t="s">
        <v>1155</v>
      </c>
      <c r="XU33" s="1" t="s">
        <v>2298</v>
      </c>
      <c r="XV33" s="2">
        <v>1</v>
      </c>
      <c r="XW33" s="2">
        <v>1</v>
      </c>
      <c r="XX33" s="2">
        <v>1</v>
      </c>
      <c r="XY33" s="2">
        <v>1</v>
      </c>
      <c r="XZ33" s="2">
        <v>1</v>
      </c>
      <c r="YA33" s="2">
        <v>0</v>
      </c>
      <c r="YB33" s="2">
        <v>0</v>
      </c>
      <c r="YC33" s="2">
        <v>0</v>
      </c>
      <c r="YE33" s="1" t="s">
        <v>1155</v>
      </c>
      <c r="YF33" s="1" t="s">
        <v>1155</v>
      </c>
      <c r="YG33" s="1" t="s">
        <v>1155</v>
      </c>
      <c r="YH33" s="1" t="s">
        <v>1155</v>
      </c>
      <c r="YI33" s="1" t="s">
        <v>2299</v>
      </c>
      <c r="YJ33" s="2">
        <v>1</v>
      </c>
      <c r="YK33" s="2">
        <v>1</v>
      </c>
      <c r="YL33" s="2">
        <v>1</v>
      </c>
      <c r="YM33" s="2">
        <v>1</v>
      </c>
      <c r="YN33" s="2">
        <v>1</v>
      </c>
      <c r="YO33" s="2">
        <v>1</v>
      </c>
      <c r="YP33" s="2">
        <v>1</v>
      </c>
      <c r="YQ33" s="2">
        <v>0</v>
      </c>
      <c r="YS33" s="1" t="s">
        <v>1154</v>
      </c>
      <c r="ZA33" s="1" t="s">
        <v>1155</v>
      </c>
      <c r="ZB33" s="2">
        <v>7</v>
      </c>
      <c r="ZF33" s="1" t="s">
        <v>1155</v>
      </c>
      <c r="ZG33" s="2">
        <v>80</v>
      </c>
      <c r="ZH33" s="2"/>
      <c r="ZK33" s="1" t="s">
        <v>1155</v>
      </c>
      <c r="ZL33" s="1" t="s">
        <v>1155</v>
      </c>
      <c r="ZM33" s="1" t="s">
        <v>1155</v>
      </c>
      <c r="ZN33" s="1" t="s">
        <v>1154</v>
      </c>
      <c r="ZO33" s="1" t="s">
        <v>1155</v>
      </c>
      <c r="ZP33" s="2">
        <v>7</v>
      </c>
      <c r="ZQ33" s="1" t="s">
        <v>1155</v>
      </c>
      <c r="ZR33" s="2">
        <v>40</v>
      </c>
      <c r="AVT33" s="1">
        <v>130486512</v>
      </c>
      <c r="AVU33" s="1" t="s">
        <v>2300</v>
      </c>
      <c r="AVW33" s="1">
        <v>154</v>
      </c>
      <c r="AVX33" s="56"/>
      <c r="AVY33" s="56"/>
      <c r="AVZ33" s="56"/>
      <c r="AWA33" s="56"/>
      <c r="AWB33" s="56"/>
      <c r="AWC33" s="56"/>
      <c r="AWD33" s="56"/>
      <c r="AWE33" s="56"/>
      <c r="AWF33" s="56"/>
      <c r="AWG33" s="56"/>
      <c r="AWH33" s="56"/>
      <c r="AWI33" s="56"/>
      <c r="AWJ33" s="56"/>
      <c r="AWK33" s="56"/>
      <c r="AWL33" s="56"/>
      <c r="AWM33" s="56"/>
      <c r="AWN33" s="56"/>
      <c r="AWO33" s="56"/>
      <c r="AWP33" s="56"/>
      <c r="AWQ33" s="56"/>
      <c r="AWR33" s="56"/>
      <c r="AWS33" s="56"/>
      <c r="AWT33" s="56"/>
      <c r="AWU33" s="56"/>
      <c r="AWV33" s="56"/>
      <c r="AWW33" s="56"/>
      <c r="AWX33" s="56"/>
      <c r="AWY33" s="56"/>
      <c r="AWZ33" s="56"/>
      <c r="AXA33" s="56"/>
      <c r="AXB33" s="56"/>
      <c r="AXC33" s="56"/>
      <c r="AXD33" s="56"/>
      <c r="AXE33" s="56"/>
      <c r="AXF33" s="56"/>
      <c r="AXG33" s="56"/>
      <c r="AXH33" s="56"/>
      <c r="AXI33" s="56"/>
      <c r="AXJ33" s="56"/>
      <c r="AXK33" s="56"/>
      <c r="AXL33" s="56"/>
      <c r="AXM33" s="56"/>
    </row>
    <row r="34" spans="1:1326" x14ac:dyDescent="0.3">
      <c r="A34" s="1" t="s">
        <v>2301</v>
      </c>
      <c r="B34" s="1" t="s">
        <v>2302</v>
      </c>
      <c r="C34" s="1" t="s">
        <v>2303</v>
      </c>
      <c r="D34" s="1" t="s">
        <v>1644</v>
      </c>
      <c r="E34" s="1" t="s">
        <v>2211</v>
      </c>
      <c r="F34" s="1" t="s">
        <v>1644</v>
      </c>
      <c r="I34" s="1" t="s">
        <v>2080</v>
      </c>
      <c r="J34" s="1" t="s">
        <v>2081</v>
      </c>
      <c r="K34" s="1" t="s">
        <v>2081</v>
      </c>
      <c r="N34" s="1" t="s">
        <v>1152</v>
      </c>
      <c r="O34" s="2">
        <v>1</v>
      </c>
      <c r="P34" s="2">
        <v>0</v>
      </c>
      <c r="Q34" s="2">
        <v>0</v>
      </c>
      <c r="R34" s="2">
        <v>0</v>
      </c>
      <c r="S34" s="2">
        <v>0</v>
      </c>
      <c r="U34" s="1" t="s">
        <v>1949</v>
      </c>
      <c r="W34" s="1" t="s">
        <v>1155</v>
      </c>
      <c r="X34" s="1" t="s">
        <v>1155</v>
      </c>
      <c r="AN34" s="1" t="s">
        <v>1179</v>
      </c>
      <c r="AO34" s="2">
        <v>40</v>
      </c>
      <c r="AP34" s="1" t="s">
        <v>1957</v>
      </c>
      <c r="AR34" s="1" t="s">
        <v>1649</v>
      </c>
      <c r="AS34" s="1" t="s">
        <v>1653</v>
      </c>
      <c r="AT34" s="1" t="s">
        <v>1155</v>
      </c>
      <c r="AU34" s="1" t="s">
        <v>1160</v>
      </c>
      <c r="BF34" s="1" t="s">
        <v>1188</v>
      </c>
      <c r="BG34" s="2">
        <v>0</v>
      </c>
      <c r="BH34" s="2">
        <v>1</v>
      </c>
      <c r="BI34" s="2">
        <v>0</v>
      </c>
      <c r="BJ34" s="2">
        <v>0</v>
      </c>
      <c r="BK34" s="2">
        <v>0</v>
      </c>
      <c r="BL34" s="2">
        <v>0</v>
      </c>
      <c r="BM34" s="2">
        <v>0</v>
      </c>
      <c r="BO34" s="1" t="s">
        <v>1157</v>
      </c>
      <c r="BP34" s="2">
        <v>0</v>
      </c>
      <c r="BQ34" s="2">
        <v>0</v>
      </c>
      <c r="BR34" s="2">
        <v>0</v>
      </c>
      <c r="BS34" s="2">
        <v>0</v>
      </c>
      <c r="BT34" s="2">
        <v>0</v>
      </c>
      <c r="BU34" s="2">
        <v>1</v>
      </c>
      <c r="BV34" s="2">
        <v>0</v>
      </c>
      <c r="BW34" s="2">
        <v>0</v>
      </c>
      <c r="BX34" s="2">
        <v>0</v>
      </c>
      <c r="BY34" s="2">
        <v>0</v>
      </c>
      <c r="BZ34" s="2">
        <v>0</v>
      </c>
      <c r="CA34" s="2">
        <v>0</v>
      </c>
      <c r="CC34" s="1" t="s">
        <v>1154</v>
      </c>
      <c r="DQ34" s="1" t="s">
        <v>1385</v>
      </c>
      <c r="DR34" s="2">
        <v>1</v>
      </c>
      <c r="DS34" s="2">
        <v>0</v>
      </c>
      <c r="DT34" s="2">
        <v>0</v>
      </c>
      <c r="DU34" s="2">
        <v>0</v>
      </c>
      <c r="DV34" s="2">
        <v>0</v>
      </c>
      <c r="DX34" s="1" t="s">
        <v>2304</v>
      </c>
      <c r="DY34" s="2">
        <v>1</v>
      </c>
      <c r="DZ34" s="2">
        <v>1</v>
      </c>
      <c r="EA34" s="2">
        <v>0</v>
      </c>
      <c r="EB34" s="2">
        <v>0</v>
      </c>
      <c r="EC34" s="2">
        <v>0</v>
      </c>
      <c r="ED34" s="2">
        <v>0</v>
      </c>
      <c r="EE34" s="2">
        <v>0</v>
      </c>
      <c r="EF34" s="2">
        <v>0</v>
      </c>
      <c r="EG34" s="2">
        <v>1</v>
      </c>
      <c r="EH34" s="2">
        <v>0</v>
      </c>
      <c r="EI34" s="2">
        <v>0</v>
      </c>
      <c r="EJ34" s="2">
        <v>0</v>
      </c>
      <c r="EK34" s="2">
        <v>0</v>
      </c>
      <c r="EM34" s="1" t="s">
        <v>1163</v>
      </c>
      <c r="EN34" s="2">
        <v>0</v>
      </c>
      <c r="EO34" s="2">
        <v>0</v>
      </c>
      <c r="EP34" s="2">
        <v>0</v>
      </c>
      <c r="EQ34" s="2">
        <v>0</v>
      </c>
      <c r="ER34" s="2">
        <v>0</v>
      </c>
      <c r="ES34" s="2">
        <v>0</v>
      </c>
      <c r="ET34" s="2">
        <v>0</v>
      </c>
      <c r="EU34" s="2">
        <v>0</v>
      </c>
      <c r="EV34" s="2">
        <v>0</v>
      </c>
      <c r="EW34" s="2">
        <v>1</v>
      </c>
      <c r="EX34" s="2">
        <v>0</v>
      </c>
      <c r="EY34" s="2">
        <v>0</v>
      </c>
      <c r="EZ34" s="2">
        <v>0</v>
      </c>
      <c r="FB34" s="1" t="s">
        <v>1155</v>
      </c>
      <c r="FC34" s="1" t="s">
        <v>1157</v>
      </c>
      <c r="FD34" s="2">
        <v>0</v>
      </c>
      <c r="FE34" s="2">
        <v>0</v>
      </c>
      <c r="FF34" s="2">
        <v>0</v>
      </c>
      <c r="FG34" s="2">
        <v>0</v>
      </c>
      <c r="FH34" s="2">
        <v>1</v>
      </c>
      <c r="FI34" s="2">
        <v>0</v>
      </c>
      <c r="FJ34" s="2">
        <v>0</v>
      </c>
      <c r="FL34" s="1" t="s">
        <v>1929</v>
      </c>
      <c r="FM34" s="2">
        <v>0</v>
      </c>
      <c r="FN34" s="2">
        <v>0</v>
      </c>
      <c r="FO34" s="2">
        <v>1</v>
      </c>
      <c r="FP34" s="2">
        <v>0</v>
      </c>
      <c r="FQ34" s="2">
        <v>0</v>
      </c>
      <c r="FR34" s="2">
        <v>0</v>
      </c>
      <c r="FS34" s="2">
        <v>0</v>
      </c>
      <c r="FT34" s="2">
        <v>0</v>
      </c>
      <c r="FU34" s="2">
        <v>0</v>
      </c>
      <c r="FV34" s="2">
        <v>0</v>
      </c>
      <c r="FW34" s="2">
        <v>0</v>
      </c>
      <c r="FX34" s="2">
        <v>0</v>
      </c>
      <c r="FY34" s="2">
        <v>0</v>
      </c>
      <c r="GA34" s="1" t="s">
        <v>1154</v>
      </c>
      <c r="GB34" s="1" t="s">
        <v>2296</v>
      </c>
      <c r="GC34" s="2">
        <v>1</v>
      </c>
      <c r="GD34" s="2">
        <v>0</v>
      </c>
      <c r="GE34" s="2">
        <v>1</v>
      </c>
      <c r="GF34" s="2">
        <v>0</v>
      </c>
      <c r="GG34" s="2">
        <v>0</v>
      </c>
      <c r="GI34" s="1" t="s">
        <v>2305</v>
      </c>
      <c r="GJ34" s="2">
        <v>0</v>
      </c>
      <c r="GK34" s="2">
        <v>1</v>
      </c>
      <c r="GL34" s="2">
        <v>1</v>
      </c>
      <c r="GM34" s="2">
        <v>1</v>
      </c>
      <c r="GN34" s="2">
        <v>0</v>
      </c>
      <c r="GO34" s="2">
        <v>0</v>
      </c>
      <c r="GP34" s="2">
        <v>0</v>
      </c>
      <c r="GQ34" s="2">
        <v>0</v>
      </c>
      <c r="GR34" s="2">
        <v>0</v>
      </c>
      <c r="GS34" s="2">
        <v>0</v>
      </c>
      <c r="GT34" s="2">
        <v>0</v>
      </c>
      <c r="GU34" s="2">
        <v>0</v>
      </c>
      <c r="GV34" s="2">
        <v>0</v>
      </c>
      <c r="AVT34" s="1">
        <v>130488665</v>
      </c>
      <c r="AVU34" s="1" t="s">
        <v>2306</v>
      </c>
      <c r="AVW34" s="1">
        <v>155</v>
      </c>
      <c r="AVX34" s="56"/>
      <c r="AVY34" s="56"/>
      <c r="AVZ34" s="56"/>
      <c r="AWA34" s="56"/>
      <c r="AWB34" s="56"/>
      <c r="AWC34" s="56"/>
      <c r="AWD34" s="56"/>
      <c r="AWE34" s="56"/>
      <c r="AWF34" s="56"/>
      <c r="AWG34" s="56"/>
      <c r="AWH34" s="56"/>
      <c r="AWI34" s="56"/>
      <c r="AWJ34" s="56"/>
      <c r="AWK34" s="56"/>
      <c r="AWL34" s="56"/>
      <c r="AWM34" s="56"/>
      <c r="AWN34" s="56"/>
      <c r="AWO34" s="56"/>
      <c r="AWP34" s="56"/>
      <c r="AWQ34" s="56"/>
      <c r="AWR34" s="56"/>
      <c r="AWS34" s="56"/>
      <c r="AWT34" s="56"/>
      <c r="AWU34" s="56"/>
      <c r="AWV34" s="56"/>
      <c r="AWW34" s="56"/>
      <c r="AWX34" s="56"/>
      <c r="AWY34" s="56"/>
      <c r="AWZ34" s="56"/>
      <c r="AXA34" s="56"/>
      <c r="AXB34" s="56"/>
      <c r="AXC34" s="56"/>
      <c r="AXD34" s="56"/>
      <c r="AXE34" s="56"/>
      <c r="AXF34" s="56"/>
      <c r="AXG34" s="56"/>
      <c r="AXH34" s="56"/>
      <c r="AXI34" s="56"/>
      <c r="AXJ34" s="56"/>
      <c r="AXK34" s="56"/>
      <c r="AXL34" s="56"/>
      <c r="AXM34" s="56"/>
    </row>
    <row r="35" spans="1:1326" customFormat="1" ht="14.5" x14ac:dyDescent="0.35">
      <c r="A35" s="1" t="s">
        <v>2682</v>
      </c>
      <c r="B35" s="1" t="s">
        <v>2683</v>
      </c>
      <c r="C35" s="1" t="s">
        <v>2684</v>
      </c>
      <c r="D35" s="1" t="s">
        <v>2685</v>
      </c>
      <c r="E35" s="1" t="s">
        <v>2686</v>
      </c>
      <c r="F35" s="1" t="s">
        <v>2685</v>
      </c>
      <c r="G35" s="1"/>
      <c r="H35" s="1"/>
      <c r="I35" s="1" t="s">
        <v>2080</v>
      </c>
      <c r="J35" s="1" t="s">
        <v>2081</v>
      </c>
      <c r="K35" s="1" t="s">
        <v>2081</v>
      </c>
      <c r="L35" s="1"/>
      <c r="M35" s="1"/>
      <c r="N35" s="1" t="s">
        <v>1168</v>
      </c>
      <c r="O35" s="2">
        <v>0</v>
      </c>
      <c r="P35" s="2">
        <v>0</v>
      </c>
      <c r="Q35" s="2">
        <v>1</v>
      </c>
      <c r="R35" s="2">
        <v>0</v>
      </c>
      <c r="S35" s="2">
        <v>0</v>
      </c>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t="s">
        <v>2687</v>
      </c>
      <c r="ZT35" s="1" t="s">
        <v>1169</v>
      </c>
      <c r="ZU35" s="1"/>
      <c r="ZV35" s="1" t="s">
        <v>1170</v>
      </c>
      <c r="ZW35" s="1"/>
      <c r="ZX35" s="1" t="s">
        <v>1155</v>
      </c>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t="s">
        <v>1171</v>
      </c>
      <c r="ABF35" s="2">
        <v>1</v>
      </c>
      <c r="ABG35" s="2">
        <v>0</v>
      </c>
      <c r="ABH35" s="2">
        <v>0</v>
      </c>
      <c r="ABI35" s="2">
        <v>0</v>
      </c>
      <c r="ABJ35" s="2">
        <v>0</v>
      </c>
      <c r="ABK35" s="1"/>
      <c r="ABL35" s="1" t="s">
        <v>1157</v>
      </c>
      <c r="ABM35" s="2">
        <v>0</v>
      </c>
      <c r="ABN35" s="2">
        <v>0</v>
      </c>
      <c r="ABO35" s="2">
        <v>0</v>
      </c>
      <c r="ABP35" s="2">
        <v>0</v>
      </c>
      <c r="ABQ35" s="2">
        <v>0</v>
      </c>
      <c r="ABR35" s="2">
        <v>1</v>
      </c>
      <c r="ABS35" s="2">
        <v>0</v>
      </c>
      <c r="ABT35" s="2">
        <v>0</v>
      </c>
      <c r="ABU35" s="2">
        <v>0</v>
      </c>
      <c r="ABV35" s="2">
        <v>0</v>
      </c>
      <c r="ABW35" s="2">
        <v>0</v>
      </c>
      <c r="ABX35" s="2">
        <v>0</v>
      </c>
      <c r="ABY35" s="1"/>
      <c r="ABZ35" s="2">
        <v>8</v>
      </c>
      <c r="ACA35" s="1" t="s">
        <v>1155</v>
      </c>
      <c r="ACB35" s="2">
        <v>3</v>
      </c>
      <c r="ACC35" s="1" t="s">
        <v>1155</v>
      </c>
      <c r="ACD35" s="2">
        <v>1</v>
      </c>
      <c r="ACE35" s="2">
        <v>2</v>
      </c>
      <c r="ACF35" s="2">
        <v>1</v>
      </c>
      <c r="ACG35" s="2">
        <v>2</v>
      </c>
      <c r="ACH35" s="1"/>
      <c r="ACI35" s="1" t="s">
        <v>1155</v>
      </c>
      <c r="ACJ35" s="1" t="s">
        <v>1154</v>
      </c>
      <c r="ACK35" s="1"/>
      <c r="ACL35" s="1"/>
      <c r="ACM35" s="1" t="s">
        <v>1872</v>
      </c>
      <c r="ACN35" s="2">
        <v>185</v>
      </c>
      <c r="ACO35" s="2">
        <v>79</v>
      </c>
      <c r="ACP35" s="2">
        <v>106</v>
      </c>
      <c r="ACQ35" s="2">
        <v>106</v>
      </c>
      <c r="ACR35" s="2">
        <v>185</v>
      </c>
      <c r="ACS35" s="1"/>
      <c r="ACT35" s="2">
        <v>6</v>
      </c>
      <c r="ACU35" s="2">
        <v>17</v>
      </c>
      <c r="ACV35" s="1" t="s">
        <v>1155</v>
      </c>
      <c r="ACW35" s="1" t="s">
        <v>1164</v>
      </c>
      <c r="ACX35" s="1"/>
      <c r="ACY35" s="1"/>
      <c r="ACZ35" s="1"/>
      <c r="ADA35" s="1"/>
      <c r="ADB35" s="1"/>
      <c r="ADC35" s="1"/>
      <c r="ADD35" s="1"/>
      <c r="ADE35" s="1"/>
      <c r="ADF35" s="1"/>
      <c r="ADG35" s="1" t="s">
        <v>1948</v>
      </c>
      <c r="ADH35" s="2">
        <v>1</v>
      </c>
      <c r="ADI35" s="2">
        <v>0</v>
      </c>
      <c r="ADJ35" s="2">
        <v>0</v>
      </c>
      <c r="ADK35" s="2">
        <v>0</v>
      </c>
      <c r="ADL35" s="2">
        <v>0</v>
      </c>
      <c r="ADM35" s="2">
        <v>0</v>
      </c>
      <c r="ADN35" s="2">
        <v>0</v>
      </c>
      <c r="ADO35" s="2">
        <v>0</v>
      </c>
      <c r="ADP35" s="1" t="s">
        <v>2688</v>
      </c>
      <c r="ADQ35" s="2">
        <v>1</v>
      </c>
      <c r="ADR35" s="2">
        <v>0</v>
      </c>
      <c r="ADS35" s="2">
        <v>1</v>
      </c>
      <c r="ADT35" s="2">
        <v>0</v>
      </c>
      <c r="ADU35" s="2">
        <v>0</v>
      </c>
      <c r="ADV35" s="1"/>
      <c r="ADW35" s="1" t="s">
        <v>1154</v>
      </c>
      <c r="ADX35" s="1"/>
      <c r="ADY35" s="1"/>
      <c r="ADZ35" s="1"/>
      <c r="AEA35" s="1"/>
      <c r="AEB35" s="1"/>
      <c r="AEC35" s="1"/>
      <c r="AED35" s="1"/>
      <c r="AEE35" s="1"/>
      <c r="AEF35" s="1"/>
      <c r="AEG35" s="1"/>
      <c r="AEH35" s="1"/>
      <c r="AEI35" s="1"/>
      <c r="AEJ35" s="1"/>
      <c r="AEK35" s="1"/>
      <c r="AEL35" s="1"/>
      <c r="AEM35" s="1"/>
      <c r="AEN35" s="1"/>
      <c r="AEO35" s="2">
        <v>0</v>
      </c>
      <c r="AEP35" s="2">
        <v>0</v>
      </c>
      <c r="AEQ35" s="2">
        <v>0</v>
      </c>
      <c r="AER35" s="2">
        <v>0</v>
      </c>
      <c r="AES35" s="2">
        <v>0</v>
      </c>
      <c r="AET35" s="1"/>
      <c r="AEU35" s="1" t="s">
        <v>1154</v>
      </c>
      <c r="AEV35" s="1"/>
      <c r="AEW35" s="1"/>
      <c r="AEX35" s="1"/>
      <c r="AEY35" s="1"/>
      <c r="AEZ35" s="1"/>
      <c r="AFA35" s="1"/>
      <c r="AFB35" s="1"/>
      <c r="AFC35" s="1"/>
      <c r="AFD35" s="1"/>
      <c r="AFE35" s="1"/>
      <c r="AFF35" s="1"/>
      <c r="AFG35" s="1"/>
      <c r="AFH35" s="1"/>
      <c r="AFI35" s="1"/>
      <c r="AFJ35" s="1"/>
      <c r="AFK35" s="1"/>
      <c r="AFL35" s="2">
        <v>3</v>
      </c>
      <c r="AFM35" s="2">
        <v>0</v>
      </c>
      <c r="AFN35" s="2">
        <v>3</v>
      </c>
      <c r="AFO35" s="2">
        <v>3</v>
      </c>
      <c r="AFP35" s="2">
        <v>3</v>
      </c>
      <c r="AFQ35" s="1"/>
      <c r="AFR35" s="1" t="s">
        <v>1154</v>
      </c>
      <c r="AFS35" s="1"/>
      <c r="AFT35" s="1"/>
      <c r="AFU35" s="1"/>
      <c r="AFV35" s="1"/>
      <c r="AFW35" s="1"/>
      <c r="AFX35" s="1"/>
      <c r="AFY35" s="1"/>
      <c r="AFZ35" s="1"/>
      <c r="AGA35" s="1"/>
      <c r="AGB35" s="1"/>
      <c r="AGC35" s="1"/>
      <c r="AGD35" s="1"/>
      <c r="AGE35" s="1"/>
      <c r="AGF35" s="1"/>
      <c r="AGG35" s="1"/>
      <c r="AGH35" s="1" t="s">
        <v>1183</v>
      </c>
      <c r="AGI35" s="1" t="s">
        <v>1172</v>
      </c>
      <c r="AGJ35" s="1" t="s">
        <v>1155</v>
      </c>
      <c r="AGK35" s="2">
        <v>3500</v>
      </c>
      <c r="AGL35" s="1" t="s">
        <v>1176</v>
      </c>
      <c r="AGM35" s="2">
        <v>1</v>
      </c>
      <c r="AGN35" s="2">
        <v>1</v>
      </c>
      <c r="AGO35" s="2">
        <v>0</v>
      </c>
      <c r="AGP35" s="2">
        <v>0</v>
      </c>
      <c r="AGQ35" s="2">
        <v>0</v>
      </c>
      <c r="AGR35" s="2">
        <v>0</v>
      </c>
      <c r="AGS35" s="1"/>
      <c r="AGT35" s="1" t="s">
        <v>1155</v>
      </c>
      <c r="AGU35" s="1" t="s">
        <v>1182</v>
      </c>
      <c r="AGV35" s="1"/>
      <c r="AGW35" s="1"/>
      <c r="AGX35" s="1"/>
      <c r="AGY35" s="1"/>
      <c r="AGZ35" s="1"/>
      <c r="AHA35" s="1"/>
      <c r="AHB35" s="1"/>
      <c r="AHC35" s="1"/>
      <c r="AHD35" s="1"/>
      <c r="AHE35" s="1"/>
      <c r="AHF35" s="1"/>
      <c r="AHG35" s="1"/>
      <c r="AHH35" s="1"/>
      <c r="AHI35" s="1"/>
      <c r="AHJ35" s="1"/>
      <c r="AHK35" s="1"/>
      <c r="AHL35" s="1"/>
      <c r="AHM35" s="1"/>
      <c r="AHN35" s="1"/>
      <c r="AHO35" s="1"/>
      <c r="AHP35" s="1"/>
      <c r="AHQ35" s="1" t="s">
        <v>1163</v>
      </c>
      <c r="AHR35" s="2">
        <v>0</v>
      </c>
      <c r="AHS35" s="2">
        <v>0</v>
      </c>
      <c r="AHT35" s="2">
        <v>0</v>
      </c>
      <c r="AHU35" s="2">
        <v>0</v>
      </c>
      <c r="AHV35" s="2">
        <v>1</v>
      </c>
      <c r="AHW35" s="1"/>
      <c r="AHX35" s="1" t="s">
        <v>1931</v>
      </c>
      <c r="AHY35" s="2">
        <v>1</v>
      </c>
      <c r="AHZ35" s="2">
        <v>1</v>
      </c>
      <c r="AIA35" s="2">
        <v>1</v>
      </c>
      <c r="AIB35" s="2">
        <v>1</v>
      </c>
      <c r="AIC35" s="2">
        <v>1</v>
      </c>
      <c r="AID35" s="2">
        <v>1</v>
      </c>
      <c r="AIE35" s="2">
        <v>0</v>
      </c>
      <c r="AIF35" s="2">
        <v>0</v>
      </c>
      <c r="AIG35" s="2">
        <v>0</v>
      </c>
      <c r="AIH35" s="2">
        <v>0</v>
      </c>
      <c r="AII35" s="2">
        <v>0</v>
      </c>
      <c r="AIJ35" s="1"/>
      <c r="AIK35" s="1" t="s">
        <v>1184</v>
      </c>
      <c r="AIL35" s="2">
        <v>0</v>
      </c>
      <c r="AIM35" s="2">
        <v>1</v>
      </c>
      <c r="AIN35" s="2">
        <v>0</v>
      </c>
      <c r="AIO35" s="2">
        <v>0</v>
      </c>
      <c r="AIP35" s="2">
        <v>0</v>
      </c>
      <c r="AIQ35" s="2">
        <v>0</v>
      </c>
      <c r="AIR35" s="2">
        <v>0</v>
      </c>
      <c r="AIS35" s="2">
        <v>0</v>
      </c>
      <c r="AIT35" s="2">
        <v>0</v>
      </c>
      <c r="AIU35" s="2">
        <v>0</v>
      </c>
      <c r="AIV35" s="2">
        <v>0</v>
      </c>
      <c r="AIW35" s="2">
        <v>0</v>
      </c>
      <c r="AIX35" s="2">
        <v>0</v>
      </c>
      <c r="AIY35" s="1"/>
      <c r="AIZ35" s="1" t="s">
        <v>1155</v>
      </c>
      <c r="AJA35" s="1" t="s">
        <v>1157</v>
      </c>
      <c r="AJB35" s="2">
        <v>0</v>
      </c>
      <c r="AJC35" s="2">
        <v>0</v>
      </c>
      <c r="AJD35" s="2">
        <v>0</v>
      </c>
      <c r="AJE35" s="2">
        <v>0</v>
      </c>
      <c r="AJF35" s="2">
        <v>1</v>
      </c>
      <c r="AJG35" s="2">
        <v>0</v>
      </c>
      <c r="AJH35" s="2">
        <v>0</v>
      </c>
      <c r="AJI35" s="1"/>
      <c r="AJJ35" s="1" t="s">
        <v>2689</v>
      </c>
      <c r="AJK35" s="2">
        <v>0</v>
      </c>
      <c r="AJL35" s="2">
        <v>0</v>
      </c>
      <c r="AJM35" s="2">
        <v>1</v>
      </c>
      <c r="AJN35" s="2">
        <v>0</v>
      </c>
      <c r="AJO35" s="2">
        <v>0</v>
      </c>
      <c r="AJP35" s="2">
        <v>0</v>
      </c>
      <c r="AJQ35" s="2">
        <v>0</v>
      </c>
      <c r="AJR35" s="2">
        <v>0</v>
      </c>
      <c r="AJS35" s="2">
        <v>0</v>
      </c>
      <c r="AJT35" s="2">
        <v>0</v>
      </c>
      <c r="AJU35" s="2">
        <v>0</v>
      </c>
      <c r="AJV35" s="2">
        <v>0</v>
      </c>
      <c r="AJW35" s="1"/>
      <c r="AJX35" s="1" t="s">
        <v>1154</v>
      </c>
      <c r="AJY35" s="1" t="s">
        <v>1178</v>
      </c>
      <c r="AJZ35" s="2">
        <v>1</v>
      </c>
      <c r="AKA35" s="2">
        <v>0</v>
      </c>
      <c r="AKB35" s="2">
        <v>0</v>
      </c>
      <c r="AKC35" s="2">
        <v>0</v>
      </c>
      <c r="AKD35" s="2">
        <v>0</v>
      </c>
      <c r="AKE35" s="1"/>
      <c r="AKF35" s="1" t="s">
        <v>2690</v>
      </c>
      <c r="AKG35" s="2">
        <v>1</v>
      </c>
      <c r="AKH35" s="2">
        <v>1</v>
      </c>
      <c r="AKI35" s="2">
        <v>1</v>
      </c>
      <c r="AKJ35" s="2">
        <v>0</v>
      </c>
      <c r="AKK35" s="2">
        <v>0</v>
      </c>
      <c r="AKL35" s="2">
        <v>0</v>
      </c>
      <c r="AKM35" s="2">
        <v>0</v>
      </c>
      <c r="AKN35" s="2">
        <v>1</v>
      </c>
      <c r="AKO35" s="2">
        <v>0</v>
      </c>
      <c r="AKP35" s="2">
        <v>0</v>
      </c>
      <c r="AKQ35" s="2">
        <v>0</v>
      </c>
      <c r="AKR35" s="2">
        <v>0</v>
      </c>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c r="AML35" s="1"/>
      <c r="AMM35" s="1"/>
      <c r="AMN35" s="1"/>
      <c r="AMO35" s="1"/>
      <c r="AMP35" s="1"/>
      <c r="AMQ35" s="1"/>
      <c r="AMR35" s="1"/>
      <c r="AMS35" s="1"/>
      <c r="AMT35" s="1"/>
      <c r="AMU35" s="1"/>
      <c r="AMV35" s="1"/>
      <c r="AMW35" s="1"/>
      <c r="AMX35" s="1"/>
      <c r="AMY35" s="1"/>
      <c r="AMZ35" s="1"/>
      <c r="ANA35" s="1"/>
      <c r="ANB35" s="1"/>
      <c r="ANC35" s="1"/>
      <c r="AND35" s="1"/>
      <c r="ANE35" s="1"/>
      <c r="ANF35" s="1"/>
      <c r="ANG35" s="1"/>
      <c r="ANH35" s="1"/>
      <c r="ANI35" s="1"/>
      <c r="ANJ35" s="1"/>
      <c r="ANK35" s="1"/>
      <c r="ANL35" s="1"/>
      <c r="ANM35" s="1"/>
      <c r="ANN35" s="1"/>
      <c r="ANO35" s="1"/>
      <c r="ANP35" s="1"/>
      <c r="ANQ35" s="1"/>
      <c r="ANR35" s="1"/>
      <c r="ANS35" s="1"/>
      <c r="ANT35" s="1"/>
      <c r="ANU35" s="1"/>
      <c r="ANV35" s="1"/>
      <c r="ANW35" s="1"/>
      <c r="ANX35" s="1"/>
      <c r="ANY35" s="1"/>
      <c r="ANZ35" s="1"/>
      <c r="AOA35" s="1"/>
      <c r="AOB35" s="1"/>
      <c r="AOC35" s="1"/>
      <c r="AOD35" s="1"/>
      <c r="AOE35" s="1"/>
      <c r="AOF35" s="1"/>
      <c r="AOG35" s="1"/>
      <c r="AOH35" s="1"/>
      <c r="AOI35" s="1"/>
      <c r="AOJ35" s="1"/>
      <c r="AOK35" s="1"/>
      <c r="AOL35" s="1"/>
      <c r="AOM35" s="1"/>
      <c r="AON35" s="1"/>
      <c r="AOO35" s="1"/>
      <c r="AOP35" s="1"/>
      <c r="AOQ35" s="1"/>
      <c r="AOR35" s="1"/>
      <c r="AOS35" s="1"/>
      <c r="AOT35" s="1"/>
      <c r="AOU35" s="1"/>
      <c r="AOV35" s="1"/>
      <c r="AOW35" s="1"/>
      <c r="AOX35" s="1"/>
      <c r="AOY35" s="1"/>
      <c r="AOZ35" s="1"/>
      <c r="APA35" s="1"/>
      <c r="APB35" s="1"/>
      <c r="APC35" s="1"/>
      <c r="APD35" s="1"/>
      <c r="APE35" s="1"/>
      <c r="APF35" s="1"/>
      <c r="APG35" s="1"/>
      <c r="APH35" s="1"/>
      <c r="API35" s="1"/>
      <c r="APJ35" s="1"/>
      <c r="APK35" s="1"/>
      <c r="APL35" s="1"/>
      <c r="APM35" s="1"/>
      <c r="APN35" s="1"/>
      <c r="APO35" s="1"/>
      <c r="APP35" s="1"/>
      <c r="APQ35" s="1"/>
      <c r="APR35" s="1"/>
      <c r="APS35" s="1"/>
      <c r="APT35" s="1"/>
      <c r="APU35" s="1"/>
      <c r="APV35" s="1"/>
      <c r="APW35" s="1"/>
      <c r="APX35" s="1"/>
      <c r="APY35" s="1"/>
      <c r="APZ35" s="1"/>
      <c r="AQA35" s="1"/>
      <c r="AQB35" s="1"/>
      <c r="AQC35" s="1"/>
      <c r="AQD35" s="1"/>
      <c r="AQE35" s="1"/>
      <c r="AQF35" s="1"/>
      <c r="AQG35" s="1"/>
      <c r="AQH35" s="1"/>
      <c r="AQI35" s="1"/>
      <c r="AQJ35" s="1"/>
      <c r="AQK35" s="1"/>
      <c r="AQL35" s="1"/>
      <c r="AQM35" s="1"/>
      <c r="AQN35" s="1"/>
      <c r="AQO35" s="1"/>
      <c r="AQP35" s="1"/>
      <c r="AQQ35" s="1"/>
      <c r="AQR35" s="1"/>
      <c r="AQS35" s="1"/>
      <c r="AQT35" s="1"/>
      <c r="AQU35" s="1"/>
      <c r="AQV35" s="1"/>
      <c r="AQW35" s="1"/>
      <c r="AQX35" s="1"/>
      <c r="AQY35" s="1"/>
      <c r="AQZ35" s="1"/>
      <c r="ARA35" s="1"/>
      <c r="ARB35" s="1"/>
      <c r="ARC35" s="1"/>
      <c r="ARD35" s="1"/>
      <c r="ARE35" s="1"/>
      <c r="ARF35" s="1"/>
      <c r="ARG35" s="1"/>
      <c r="ARH35" s="1"/>
      <c r="ARI35" s="1"/>
      <c r="ARJ35" s="1"/>
      <c r="ARK35" s="1"/>
      <c r="ARL35" s="1"/>
      <c r="ARM35" s="1"/>
      <c r="ARN35" s="1"/>
      <c r="ARO35" s="1"/>
      <c r="ARP35" s="1"/>
      <c r="ARQ35" s="1"/>
      <c r="ARR35" s="1"/>
      <c r="ARS35" s="1"/>
      <c r="ART35" s="1"/>
      <c r="ARU35" s="1"/>
      <c r="ARV35" s="1"/>
      <c r="ARW35" s="1"/>
      <c r="ARX35" s="1"/>
      <c r="ARY35" s="1"/>
      <c r="ARZ35" s="1"/>
      <c r="ASA35" s="1"/>
      <c r="ASB35" s="1"/>
      <c r="ASC35" s="1"/>
      <c r="ASD35" s="1"/>
      <c r="ASE35" s="1"/>
      <c r="ASF35" s="1"/>
      <c r="ASG35" s="1"/>
      <c r="ASH35" s="1"/>
      <c r="ASI35" s="1"/>
      <c r="ASJ35" s="1"/>
      <c r="ASK35" s="1"/>
      <c r="ASL35" s="1"/>
      <c r="ASM35" s="1"/>
      <c r="ASN35" s="1"/>
      <c r="ASO35" s="1"/>
      <c r="ASP35" s="1"/>
      <c r="ASQ35" s="1"/>
      <c r="ASR35" s="1"/>
      <c r="ASS35" s="1"/>
      <c r="AST35" s="1"/>
      <c r="ASU35" s="1"/>
      <c r="ASV35" s="1"/>
      <c r="ASW35" s="1"/>
      <c r="ASX35" s="1"/>
      <c r="ASY35" s="1"/>
      <c r="ASZ35" s="1"/>
      <c r="ATA35" s="1"/>
      <c r="ATB35" s="1"/>
      <c r="ATC35" s="1"/>
      <c r="ATD35" s="1"/>
      <c r="ATE35" s="1"/>
      <c r="ATF35" s="1"/>
      <c r="ATG35" s="1"/>
      <c r="ATH35" s="1"/>
      <c r="ATI35" s="1"/>
      <c r="ATJ35" s="1"/>
      <c r="ATK35" s="1"/>
      <c r="ATL35" s="1"/>
      <c r="ATM35" s="1"/>
      <c r="ATN35" s="1"/>
      <c r="ATO35" s="1"/>
      <c r="ATP35" s="1"/>
      <c r="ATQ35" s="1"/>
      <c r="ATR35" s="1"/>
      <c r="ATS35" s="1"/>
      <c r="ATT35" s="1"/>
      <c r="ATU35" s="1"/>
      <c r="ATV35" s="1"/>
      <c r="ATW35" s="1"/>
      <c r="ATX35" s="1"/>
      <c r="ATY35" s="1"/>
      <c r="ATZ35" s="1"/>
      <c r="AUA35" s="1"/>
      <c r="AUB35" s="1"/>
      <c r="AUC35" s="1"/>
      <c r="AUD35" s="1"/>
      <c r="AUE35" s="1"/>
      <c r="AUF35" s="1"/>
      <c r="AUG35" s="1"/>
      <c r="AUH35" s="1"/>
      <c r="AUI35" s="1"/>
      <c r="AUJ35" s="1"/>
      <c r="AUK35" s="1"/>
      <c r="AUL35" s="1"/>
      <c r="AUM35" s="1"/>
      <c r="AUN35" s="1"/>
      <c r="AUO35" s="1"/>
      <c r="AUP35" s="1"/>
      <c r="AUQ35" s="1"/>
      <c r="AUR35" s="1"/>
      <c r="AUS35" s="1"/>
      <c r="AUT35" s="1"/>
      <c r="AUU35" s="1"/>
      <c r="AUV35" s="1"/>
      <c r="AUW35" s="1"/>
      <c r="AUX35" s="1"/>
      <c r="AUY35" s="1"/>
      <c r="AUZ35" s="1"/>
      <c r="AVA35" s="1"/>
      <c r="AVB35" s="1"/>
      <c r="AVC35" s="1"/>
      <c r="AVD35" s="1"/>
      <c r="AVE35" s="1"/>
      <c r="AVF35" s="1"/>
      <c r="AVG35" s="1"/>
      <c r="AVH35" s="1"/>
      <c r="AVI35" s="1"/>
      <c r="AVJ35" s="1"/>
      <c r="AVK35" s="1"/>
      <c r="AVL35" s="1"/>
      <c r="AVM35" s="1"/>
      <c r="AVN35" s="1"/>
      <c r="AVO35" s="1"/>
      <c r="AVP35" s="1"/>
      <c r="AVQ35" s="1"/>
      <c r="AVR35" s="1"/>
      <c r="AVS35" s="1"/>
      <c r="AVT35" s="1">
        <v>157207480</v>
      </c>
      <c r="AVU35" s="1" t="s">
        <v>2691</v>
      </c>
      <c r="AVV35" s="1"/>
      <c r="AVW35" s="1">
        <v>382</v>
      </c>
      <c r="AVX35" s="1"/>
      <c r="AVY35" s="1"/>
      <c r="AVZ35" s="1"/>
      <c r="AWA35" s="1"/>
      <c r="AWB35" s="1"/>
      <c r="AWC35" s="1"/>
      <c r="AWD35" s="1"/>
      <c r="AWE35" s="1"/>
      <c r="AWF35" s="1"/>
      <c r="AWG35" s="1"/>
      <c r="AWH35" s="1"/>
      <c r="AWI35" s="1"/>
      <c r="AWJ35" s="1"/>
      <c r="AWK35" s="1"/>
      <c r="AWL35" s="1"/>
      <c r="AWM35" s="1"/>
      <c r="AWN35" s="1"/>
      <c r="AWO35" s="1"/>
      <c r="AWP35" s="1"/>
      <c r="AWQ35" s="1"/>
      <c r="AWR35" s="1"/>
      <c r="AWS35" s="1"/>
      <c r="AWT35" s="1"/>
      <c r="AWU35" s="1"/>
      <c r="AWV35" s="1"/>
      <c r="AWW35" s="1"/>
      <c r="AWX35" s="1"/>
      <c r="AWY35" s="1"/>
      <c r="AWZ35" s="1"/>
      <c r="AXA35" s="1"/>
      <c r="AXB35" s="1"/>
      <c r="AXC35" s="1"/>
      <c r="AXD35" s="1"/>
      <c r="AXE35" s="1"/>
      <c r="AXF35" s="1"/>
      <c r="AXG35" s="1"/>
      <c r="AXH35" s="1"/>
      <c r="AXI35" s="1"/>
      <c r="AXJ35" s="1"/>
      <c r="AXK35" s="1"/>
      <c r="AXL35" s="1"/>
      <c r="AXM35" s="1"/>
      <c r="AXN35" s="1"/>
      <c r="AXO35" s="56"/>
      <c r="AXP35" s="56"/>
      <c r="AXQ35" s="56"/>
      <c r="AXR35" s="56"/>
      <c r="AXS35" s="56"/>
      <c r="AXV35" s="1"/>
      <c r="AXW35" s="1"/>
      <c r="AXX35" s="1"/>
      <c r="AXY35" s="1"/>
      <c r="AXZ35" s="1"/>
    </row>
    <row r="36" spans="1:1326" customFormat="1" ht="14.5" x14ac:dyDescent="0.35">
      <c r="A36" s="1" t="s">
        <v>2692</v>
      </c>
      <c r="B36" s="1" t="s">
        <v>2693</v>
      </c>
      <c r="C36" s="1" t="s">
        <v>2694</v>
      </c>
      <c r="D36" s="1" t="s">
        <v>2685</v>
      </c>
      <c r="E36" s="1" t="s">
        <v>2686</v>
      </c>
      <c r="F36" s="1" t="s">
        <v>2685</v>
      </c>
      <c r="G36" s="1"/>
      <c r="H36" s="1"/>
      <c r="I36" s="1" t="s">
        <v>2080</v>
      </c>
      <c r="J36" s="1" t="s">
        <v>2081</v>
      </c>
      <c r="K36" s="1" t="s">
        <v>2081</v>
      </c>
      <c r="L36" s="1"/>
      <c r="M36" s="1"/>
      <c r="N36" s="1" t="s">
        <v>1168</v>
      </c>
      <c r="O36" s="2">
        <v>0</v>
      </c>
      <c r="P36" s="2">
        <v>0</v>
      </c>
      <c r="Q36" s="2">
        <v>1</v>
      </c>
      <c r="R36" s="2">
        <v>0</v>
      </c>
      <c r="S36" s="2">
        <v>0</v>
      </c>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t="s">
        <v>2695</v>
      </c>
      <c r="ZT36" s="1" t="s">
        <v>1169</v>
      </c>
      <c r="ZU36" s="1"/>
      <c r="ZV36" s="1" t="s">
        <v>1170</v>
      </c>
      <c r="ZW36" s="1"/>
      <c r="ZX36" s="1" t="s">
        <v>1154</v>
      </c>
      <c r="ZY36" s="1"/>
      <c r="ZZ36" s="1"/>
      <c r="AAA36" s="1"/>
      <c r="AAB36" s="1"/>
      <c r="AAC36" s="1"/>
      <c r="AAD36" s="1"/>
      <c r="AAE36" s="1"/>
      <c r="AAF36" s="1"/>
      <c r="AAG36" s="1"/>
      <c r="AAH36" s="1"/>
      <c r="AAI36" s="1"/>
      <c r="AAJ36" s="1" t="s">
        <v>2696</v>
      </c>
      <c r="AAK36" s="2">
        <v>0</v>
      </c>
      <c r="AAL36" s="2">
        <v>1</v>
      </c>
      <c r="AAM36" s="2">
        <v>0</v>
      </c>
      <c r="AAN36" s="2">
        <v>1</v>
      </c>
      <c r="AAO36" s="2">
        <v>0</v>
      </c>
      <c r="AAP36" s="2">
        <v>1</v>
      </c>
      <c r="AAQ36" s="2">
        <v>0</v>
      </c>
      <c r="AAR36" s="2">
        <v>0</v>
      </c>
      <c r="AAS36" s="2">
        <v>0</v>
      </c>
      <c r="AAT36" s="1"/>
      <c r="AAU36" s="1" t="s">
        <v>1641</v>
      </c>
      <c r="AAV36" s="1"/>
      <c r="AAW36" s="1"/>
      <c r="AAX36" s="1"/>
      <c r="AAY36" s="1"/>
      <c r="AAZ36" s="1"/>
      <c r="ABA36" s="1"/>
      <c r="ABB36" s="1"/>
      <c r="ABC36" s="1"/>
      <c r="ABD36" s="1"/>
      <c r="ABE36" s="1" t="s">
        <v>2697</v>
      </c>
      <c r="ABF36" s="2">
        <v>0</v>
      </c>
      <c r="ABG36" s="2">
        <v>1</v>
      </c>
      <c r="ABH36" s="2">
        <v>0</v>
      </c>
      <c r="ABI36" s="2">
        <v>0</v>
      </c>
      <c r="ABJ36" s="2">
        <v>0</v>
      </c>
      <c r="ABK36" s="1"/>
      <c r="ABL36" s="1" t="s">
        <v>1153</v>
      </c>
      <c r="ABM36" s="2">
        <v>0</v>
      </c>
      <c r="ABN36" s="2">
        <v>0</v>
      </c>
      <c r="ABO36" s="2">
        <v>0</v>
      </c>
      <c r="ABP36" s="2">
        <v>0</v>
      </c>
      <c r="ABQ36" s="2">
        <v>0</v>
      </c>
      <c r="ABR36" s="2">
        <v>0</v>
      </c>
      <c r="ABS36" s="2">
        <v>0</v>
      </c>
      <c r="ABT36" s="2">
        <v>0</v>
      </c>
      <c r="ABU36" s="2">
        <v>1</v>
      </c>
      <c r="ABV36" s="2">
        <v>0</v>
      </c>
      <c r="ABW36" s="2">
        <v>0</v>
      </c>
      <c r="ABX36" s="2">
        <v>0</v>
      </c>
      <c r="ABY36" s="1" t="s">
        <v>2698</v>
      </c>
      <c r="ABZ36" s="2">
        <v>8</v>
      </c>
      <c r="ACA36" s="1" t="s">
        <v>1155</v>
      </c>
      <c r="ACB36" s="2">
        <v>1</v>
      </c>
      <c r="ACC36" s="1" t="s">
        <v>1154</v>
      </c>
      <c r="ACD36" s="1"/>
      <c r="ACE36" s="1"/>
      <c r="ACF36" s="1"/>
      <c r="ACG36" s="1"/>
      <c r="ACH36" s="1"/>
      <c r="ACI36" s="1" t="s">
        <v>1154</v>
      </c>
      <c r="ACJ36" s="1" t="s">
        <v>1154</v>
      </c>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t="s">
        <v>1154</v>
      </c>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t="s">
        <v>2699</v>
      </c>
      <c r="AKG36" s="2">
        <v>1</v>
      </c>
      <c r="AKH36" s="2">
        <v>0</v>
      </c>
      <c r="AKI36" s="2">
        <v>1</v>
      </c>
      <c r="AKJ36" s="2">
        <v>0</v>
      </c>
      <c r="AKK36" s="2">
        <v>1</v>
      </c>
      <c r="AKL36" s="2">
        <v>1</v>
      </c>
      <c r="AKM36" s="2">
        <v>1</v>
      </c>
      <c r="AKN36" s="2">
        <v>0</v>
      </c>
      <c r="AKO36" s="2">
        <v>1</v>
      </c>
      <c r="AKP36" s="2">
        <v>0</v>
      </c>
      <c r="AKQ36" s="2">
        <v>0</v>
      </c>
      <c r="AKR36" s="2">
        <v>0</v>
      </c>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c r="AML36" s="1"/>
      <c r="AMM36" s="1"/>
      <c r="AMN36" s="1"/>
      <c r="AMO36" s="1"/>
      <c r="AMP36" s="1"/>
      <c r="AMQ36" s="1"/>
      <c r="AMR36" s="1"/>
      <c r="AMS36" s="1"/>
      <c r="AMT36" s="1"/>
      <c r="AMU36" s="1"/>
      <c r="AMV36" s="1"/>
      <c r="AMW36" s="1"/>
      <c r="AMX36" s="1"/>
      <c r="AMY36" s="1"/>
      <c r="AMZ36" s="1"/>
      <c r="ANA36" s="1"/>
      <c r="ANB36" s="1"/>
      <c r="ANC36" s="1"/>
      <c r="AND36" s="1"/>
      <c r="ANE36" s="1"/>
      <c r="ANF36" s="1"/>
      <c r="ANG36" s="1"/>
      <c r="ANH36" s="1"/>
      <c r="ANI36" s="1"/>
      <c r="ANJ36" s="1"/>
      <c r="ANK36" s="1"/>
      <c r="ANL36" s="1"/>
      <c r="ANM36" s="1"/>
      <c r="ANN36" s="1"/>
      <c r="ANO36" s="1"/>
      <c r="ANP36" s="1"/>
      <c r="ANQ36" s="1"/>
      <c r="ANR36" s="1"/>
      <c r="ANS36" s="1"/>
      <c r="ANT36" s="1"/>
      <c r="ANU36" s="1"/>
      <c r="ANV36" s="1"/>
      <c r="ANW36" s="1"/>
      <c r="ANX36" s="1"/>
      <c r="ANY36" s="1"/>
      <c r="ANZ36" s="1"/>
      <c r="AOA36" s="1"/>
      <c r="AOB36" s="1"/>
      <c r="AOC36" s="1"/>
      <c r="AOD36" s="1"/>
      <c r="AOE36" s="1"/>
      <c r="AOF36" s="1"/>
      <c r="AOG36" s="1"/>
      <c r="AOH36" s="1"/>
      <c r="AOI36" s="1"/>
      <c r="AOJ36" s="1"/>
      <c r="AOK36" s="1"/>
      <c r="AOL36" s="1"/>
      <c r="AOM36" s="1"/>
      <c r="AON36" s="1"/>
      <c r="AOO36" s="1"/>
      <c r="AOP36" s="1"/>
      <c r="AOQ36" s="1"/>
      <c r="AOR36" s="1"/>
      <c r="AOS36" s="1"/>
      <c r="AOT36" s="1"/>
      <c r="AOU36" s="1"/>
      <c r="AOV36" s="1"/>
      <c r="AOW36" s="1"/>
      <c r="AOX36" s="1"/>
      <c r="AOY36" s="1"/>
      <c r="AOZ36" s="1"/>
      <c r="APA36" s="1"/>
      <c r="APB36" s="1"/>
      <c r="APC36" s="1"/>
      <c r="APD36" s="1"/>
      <c r="APE36" s="1"/>
      <c r="APF36" s="1"/>
      <c r="APG36" s="1"/>
      <c r="APH36" s="1"/>
      <c r="API36" s="1"/>
      <c r="APJ36" s="1"/>
      <c r="APK36" s="1"/>
      <c r="APL36" s="1"/>
      <c r="APM36" s="1"/>
      <c r="APN36" s="1"/>
      <c r="APO36" s="1"/>
      <c r="APP36" s="1"/>
      <c r="APQ36" s="1"/>
      <c r="APR36" s="1"/>
      <c r="APS36" s="1"/>
      <c r="APT36" s="1"/>
      <c r="APU36" s="1"/>
      <c r="APV36" s="1"/>
      <c r="APW36" s="1"/>
      <c r="APX36" s="1"/>
      <c r="APY36" s="1"/>
      <c r="APZ36" s="1"/>
      <c r="AQA36" s="1"/>
      <c r="AQB36" s="1"/>
      <c r="AQC36" s="1"/>
      <c r="AQD36" s="1"/>
      <c r="AQE36" s="1"/>
      <c r="AQF36" s="1"/>
      <c r="AQG36" s="1"/>
      <c r="AQH36" s="1"/>
      <c r="AQI36" s="1"/>
      <c r="AQJ36" s="1"/>
      <c r="AQK36" s="1"/>
      <c r="AQL36" s="1"/>
      <c r="AQM36" s="1"/>
      <c r="AQN36" s="1"/>
      <c r="AQO36" s="1"/>
      <c r="AQP36" s="1"/>
      <c r="AQQ36" s="1"/>
      <c r="AQR36" s="1"/>
      <c r="AQS36" s="1"/>
      <c r="AQT36" s="1"/>
      <c r="AQU36" s="1"/>
      <c r="AQV36" s="1"/>
      <c r="AQW36" s="1"/>
      <c r="AQX36" s="1"/>
      <c r="AQY36" s="1"/>
      <c r="AQZ36" s="1"/>
      <c r="ARA36" s="1"/>
      <c r="ARB36" s="1"/>
      <c r="ARC36" s="1"/>
      <c r="ARD36" s="1"/>
      <c r="ARE36" s="1"/>
      <c r="ARF36" s="1"/>
      <c r="ARG36" s="1"/>
      <c r="ARH36" s="1"/>
      <c r="ARI36" s="1"/>
      <c r="ARJ36" s="1"/>
      <c r="ARK36" s="1"/>
      <c r="ARL36" s="1"/>
      <c r="ARM36" s="1"/>
      <c r="ARN36" s="1"/>
      <c r="ARO36" s="1"/>
      <c r="ARP36" s="1"/>
      <c r="ARQ36" s="1"/>
      <c r="ARR36" s="1"/>
      <c r="ARS36" s="1"/>
      <c r="ART36" s="1"/>
      <c r="ARU36" s="1"/>
      <c r="ARV36" s="1"/>
      <c r="ARW36" s="1"/>
      <c r="ARX36" s="1"/>
      <c r="ARY36" s="1"/>
      <c r="ARZ36" s="1"/>
      <c r="ASA36" s="1"/>
      <c r="ASB36" s="1"/>
      <c r="ASC36" s="1"/>
      <c r="ASD36" s="1"/>
      <c r="ASE36" s="1"/>
      <c r="ASF36" s="1"/>
      <c r="ASG36" s="1"/>
      <c r="ASH36" s="1"/>
      <c r="ASI36" s="1"/>
      <c r="ASJ36" s="1"/>
      <c r="ASK36" s="1"/>
      <c r="ASL36" s="1"/>
      <c r="ASM36" s="1"/>
      <c r="ASN36" s="1"/>
      <c r="ASO36" s="1"/>
      <c r="ASP36" s="1"/>
      <c r="ASQ36" s="1"/>
      <c r="ASR36" s="1"/>
      <c r="ASS36" s="1"/>
      <c r="AST36" s="1"/>
      <c r="ASU36" s="1"/>
      <c r="ASV36" s="1"/>
      <c r="ASW36" s="1"/>
      <c r="ASX36" s="1"/>
      <c r="ASY36" s="1"/>
      <c r="ASZ36" s="1"/>
      <c r="ATA36" s="1"/>
      <c r="ATB36" s="1"/>
      <c r="ATC36" s="1"/>
      <c r="ATD36" s="1"/>
      <c r="ATE36" s="1"/>
      <c r="ATF36" s="1"/>
      <c r="ATG36" s="1"/>
      <c r="ATH36" s="1"/>
      <c r="ATI36" s="1"/>
      <c r="ATJ36" s="1"/>
      <c r="ATK36" s="1"/>
      <c r="ATL36" s="1"/>
      <c r="ATM36" s="1"/>
      <c r="ATN36" s="1"/>
      <c r="ATO36" s="1"/>
      <c r="ATP36" s="1"/>
      <c r="ATQ36" s="1"/>
      <c r="ATR36" s="1"/>
      <c r="ATS36" s="1"/>
      <c r="ATT36" s="1"/>
      <c r="ATU36" s="1"/>
      <c r="ATV36" s="1"/>
      <c r="ATW36" s="1"/>
      <c r="ATX36" s="1"/>
      <c r="ATY36" s="1"/>
      <c r="ATZ36" s="1"/>
      <c r="AUA36" s="1"/>
      <c r="AUB36" s="1"/>
      <c r="AUC36" s="1"/>
      <c r="AUD36" s="1"/>
      <c r="AUE36" s="1"/>
      <c r="AUF36" s="1"/>
      <c r="AUG36" s="1"/>
      <c r="AUH36" s="1"/>
      <c r="AUI36" s="1"/>
      <c r="AUJ36" s="1"/>
      <c r="AUK36" s="1"/>
      <c r="AUL36" s="1"/>
      <c r="AUM36" s="1"/>
      <c r="AUN36" s="1"/>
      <c r="AUO36" s="1"/>
      <c r="AUP36" s="1"/>
      <c r="AUQ36" s="1"/>
      <c r="AUR36" s="1"/>
      <c r="AUS36" s="1"/>
      <c r="AUT36" s="1"/>
      <c r="AUU36" s="1"/>
      <c r="AUV36" s="1"/>
      <c r="AUW36" s="1"/>
      <c r="AUX36" s="1"/>
      <c r="AUY36" s="1"/>
      <c r="AUZ36" s="1"/>
      <c r="AVA36" s="1"/>
      <c r="AVB36" s="1"/>
      <c r="AVC36" s="1"/>
      <c r="AVD36" s="1"/>
      <c r="AVE36" s="1"/>
      <c r="AVF36" s="1"/>
      <c r="AVG36" s="1"/>
      <c r="AVH36" s="1"/>
      <c r="AVI36" s="1"/>
      <c r="AVJ36" s="1"/>
      <c r="AVK36" s="1"/>
      <c r="AVL36" s="1"/>
      <c r="AVM36" s="1"/>
      <c r="AVN36" s="1"/>
      <c r="AVO36" s="1"/>
      <c r="AVP36" s="1"/>
      <c r="AVQ36" s="1"/>
      <c r="AVR36" s="1"/>
      <c r="AVS36" s="1"/>
      <c r="AVT36" s="1">
        <v>157207486</v>
      </c>
      <c r="AVU36" s="1" t="s">
        <v>2700</v>
      </c>
      <c r="AVV36" s="1"/>
      <c r="AVW36" s="1">
        <v>383</v>
      </c>
      <c r="AVX36" s="1"/>
      <c r="AVY36" s="1"/>
      <c r="AVZ36" s="1"/>
      <c r="AWA36" s="1"/>
      <c r="AWB36" s="1"/>
      <c r="AWC36" s="1"/>
      <c r="AWD36" s="1"/>
      <c r="AWE36" s="1"/>
      <c r="AWF36" s="1"/>
      <c r="AWG36" s="1"/>
      <c r="AWH36" s="1"/>
      <c r="AWI36" s="1"/>
      <c r="AWJ36" s="1"/>
      <c r="AWK36" s="1"/>
      <c r="AWL36" s="1"/>
      <c r="AWM36" s="1"/>
      <c r="AWN36" s="1"/>
      <c r="AWO36" s="1"/>
      <c r="AWP36" s="1"/>
      <c r="AWQ36" s="1"/>
      <c r="AWR36" s="1"/>
      <c r="AWS36" s="1"/>
      <c r="AWT36" s="1"/>
      <c r="AWU36" s="1"/>
      <c r="AWV36" s="1"/>
      <c r="AWW36" s="1"/>
      <c r="AWX36" s="1"/>
      <c r="AWY36" s="1"/>
      <c r="AWZ36" s="1"/>
      <c r="AXA36" s="1"/>
      <c r="AXB36" s="1"/>
      <c r="AXC36" s="1"/>
      <c r="AXD36" s="1"/>
      <c r="AXE36" s="1"/>
      <c r="AXF36" s="1"/>
      <c r="AXG36" s="1"/>
      <c r="AXH36" s="1"/>
      <c r="AXI36" s="1"/>
      <c r="AXJ36" s="1"/>
      <c r="AXK36" s="1"/>
      <c r="AXL36" s="1"/>
      <c r="AXM36" s="1"/>
      <c r="AXN36" s="1"/>
      <c r="AXO36" s="56"/>
      <c r="AXP36" s="56"/>
      <c r="AXQ36" s="56"/>
      <c r="AXR36" s="56"/>
      <c r="AXS36" s="56"/>
      <c r="AXV36" s="1"/>
      <c r="AXW36" s="1"/>
      <c r="AXX36" s="1"/>
      <c r="AXY36" s="1"/>
      <c r="AXZ36" s="1"/>
    </row>
    <row r="37" spans="1:1326" customFormat="1" ht="14.5" x14ac:dyDescent="0.35">
      <c r="A37" s="1" t="s">
        <v>2701</v>
      </c>
      <c r="B37" s="1" t="s">
        <v>2702</v>
      </c>
      <c r="C37" s="1" t="s">
        <v>2703</v>
      </c>
      <c r="D37" s="1" t="s">
        <v>2704</v>
      </c>
      <c r="E37" s="1" t="s">
        <v>2686</v>
      </c>
      <c r="F37" s="1" t="s">
        <v>2704</v>
      </c>
      <c r="G37" s="1"/>
      <c r="H37" s="1"/>
      <c r="I37" s="1" t="s">
        <v>2080</v>
      </c>
      <c r="J37" s="1" t="s">
        <v>2081</v>
      </c>
      <c r="K37" s="1" t="s">
        <v>2081</v>
      </c>
      <c r="L37" s="1"/>
      <c r="M37" s="1"/>
      <c r="N37" s="1" t="s">
        <v>1168</v>
      </c>
      <c r="O37" s="2">
        <v>0</v>
      </c>
      <c r="P37" s="2">
        <v>0</v>
      </c>
      <c r="Q37" s="2">
        <v>1</v>
      </c>
      <c r="R37" s="2">
        <v>0</v>
      </c>
      <c r="S37" s="2">
        <v>0</v>
      </c>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t="s">
        <v>2705</v>
      </c>
      <c r="ZT37" s="1" t="s">
        <v>1169</v>
      </c>
      <c r="ZU37" s="1"/>
      <c r="ZV37" s="1" t="s">
        <v>1170</v>
      </c>
      <c r="ZW37" s="1"/>
      <c r="ZX37" s="1" t="s">
        <v>1155</v>
      </c>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t="s">
        <v>1171</v>
      </c>
      <c r="ABF37" s="2">
        <v>1</v>
      </c>
      <c r="ABG37" s="2">
        <v>0</v>
      </c>
      <c r="ABH37" s="2">
        <v>0</v>
      </c>
      <c r="ABI37" s="2">
        <v>0</v>
      </c>
      <c r="ABJ37" s="2">
        <v>0</v>
      </c>
      <c r="ABK37" s="1"/>
      <c r="ABL37" s="1" t="s">
        <v>1951</v>
      </c>
      <c r="ABM37" s="2">
        <v>0</v>
      </c>
      <c r="ABN37" s="2">
        <v>0</v>
      </c>
      <c r="ABO37" s="2">
        <v>0</v>
      </c>
      <c r="ABP37" s="2">
        <v>0</v>
      </c>
      <c r="ABQ37" s="2">
        <v>1</v>
      </c>
      <c r="ABR37" s="2">
        <v>0</v>
      </c>
      <c r="ABS37" s="2">
        <v>0</v>
      </c>
      <c r="ABT37" s="2">
        <v>0</v>
      </c>
      <c r="ABU37" s="2">
        <v>0</v>
      </c>
      <c r="ABV37" s="2">
        <v>0</v>
      </c>
      <c r="ABW37" s="2">
        <v>0</v>
      </c>
      <c r="ABX37" s="2">
        <v>0</v>
      </c>
      <c r="ABY37" s="1"/>
      <c r="ABZ37" s="2">
        <v>3</v>
      </c>
      <c r="ACA37" s="1" t="s">
        <v>1155</v>
      </c>
      <c r="ACB37" s="2">
        <v>2</v>
      </c>
      <c r="ACC37" s="1" t="s">
        <v>1155</v>
      </c>
      <c r="ACD37" s="2">
        <v>1</v>
      </c>
      <c r="ACE37" s="2">
        <v>1</v>
      </c>
      <c r="ACF37" s="2">
        <v>1</v>
      </c>
      <c r="ACG37" s="2">
        <v>2</v>
      </c>
      <c r="ACH37" s="1"/>
      <c r="ACI37" s="1" t="s">
        <v>1155</v>
      </c>
      <c r="ACJ37" s="1" t="s">
        <v>1154</v>
      </c>
      <c r="ACK37" s="1"/>
      <c r="ACL37" s="1"/>
      <c r="ACM37" s="1" t="s">
        <v>1154</v>
      </c>
      <c r="ACN37" s="2">
        <v>113</v>
      </c>
      <c r="ACO37" s="2">
        <v>27</v>
      </c>
      <c r="ACP37" s="2">
        <v>86</v>
      </c>
      <c r="ACQ37" s="2">
        <v>86</v>
      </c>
      <c r="ACR37" s="2">
        <v>113</v>
      </c>
      <c r="ACS37" s="1"/>
      <c r="ACT37" s="2">
        <v>7</v>
      </c>
      <c r="ACU37" s="2">
        <v>18</v>
      </c>
      <c r="ACV37" s="1" t="s">
        <v>1155</v>
      </c>
      <c r="ACW37" s="1" t="s">
        <v>1164</v>
      </c>
      <c r="ACX37" s="1"/>
      <c r="ACY37" s="1"/>
      <c r="ACZ37" s="1"/>
      <c r="ADA37" s="1"/>
      <c r="ADB37" s="1"/>
      <c r="ADC37" s="1"/>
      <c r="ADD37" s="1"/>
      <c r="ADE37" s="1"/>
      <c r="ADF37" s="1"/>
      <c r="ADG37" s="1" t="s">
        <v>2706</v>
      </c>
      <c r="ADH37" s="2">
        <v>0</v>
      </c>
      <c r="ADI37" s="2">
        <v>0</v>
      </c>
      <c r="ADJ37" s="2">
        <v>1</v>
      </c>
      <c r="ADK37" s="2">
        <v>0</v>
      </c>
      <c r="ADL37" s="2">
        <v>0</v>
      </c>
      <c r="ADM37" s="2">
        <v>0</v>
      </c>
      <c r="ADN37" s="2">
        <v>0</v>
      </c>
      <c r="ADO37" s="2">
        <v>0</v>
      </c>
      <c r="ADP37" s="1"/>
      <c r="ADQ37" s="2">
        <v>1</v>
      </c>
      <c r="ADR37" s="2">
        <v>0</v>
      </c>
      <c r="ADS37" s="2">
        <v>1</v>
      </c>
      <c r="ADT37" s="2">
        <v>1</v>
      </c>
      <c r="ADU37" s="2">
        <v>1</v>
      </c>
      <c r="ADV37" s="1"/>
      <c r="ADW37" s="1" t="s">
        <v>1154</v>
      </c>
      <c r="ADX37" s="1"/>
      <c r="ADY37" s="1"/>
      <c r="ADZ37" s="1"/>
      <c r="AEA37" s="1"/>
      <c r="AEB37" s="1"/>
      <c r="AEC37" s="1"/>
      <c r="AED37" s="1"/>
      <c r="AEE37" s="1"/>
      <c r="AEF37" s="1"/>
      <c r="AEG37" s="1"/>
      <c r="AEH37" s="1"/>
      <c r="AEI37" s="1"/>
      <c r="AEJ37" s="1"/>
      <c r="AEK37" s="1"/>
      <c r="AEL37" s="1"/>
      <c r="AEM37" s="1"/>
      <c r="AEN37" s="1"/>
      <c r="AEO37" s="2">
        <v>0</v>
      </c>
      <c r="AEP37" s="2">
        <v>0</v>
      </c>
      <c r="AEQ37" s="2">
        <v>0</v>
      </c>
      <c r="AER37" s="2">
        <v>0</v>
      </c>
      <c r="AES37" s="2">
        <v>0</v>
      </c>
      <c r="AET37" s="1"/>
      <c r="AEU37" s="1" t="s">
        <v>1154</v>
      </c>
      <c r="AEV37" s="1"/>
      <c r="AEW37" s="1"/>
      <c r="AEX37" s="1"/>
      <c r="AEY37" s="1"/>
      <c r="AEZ37" s="1"/>
      <c r="AFA37" s="1"/>
      <c r="AFB37" s="1"/>
      <c r="AFC37" s="1"/>
      <c r="AFD37" s="1"/>
      <c r="AFE37" s="1"/>
      <c r="AFF37" s="1"/>
      <c r="AFG37" s="1"/>
      <c r="AFH37" s="1"/>
      <c r="AFI37" s="1"/>
      <c r="AFJ37" s="1"/>
      <c r="AFK37" s="1"/>
      <c r="AFL37" s="2">
        <v>1</v>
      </c>
      <c r="AFM37" s="2">
        <v>0</v>
      </c>
      <c r="AFN37" s="2">
        <v>1</v>
      </c>
      <c r="AFO37" s="2">
        <v>1</v>
      </c>
      <c r="AFP37" s="2">
        <v>1</v>
      </c>
      <c r="AFQ37" s="1"/>
      <c r="AFR37" s="1" t="s">
        <v>1155</v>
      </c>
      <c r="AFS37" s="1" t="s">
        <v>1164</v>
      </c>
      <c r="AFT37" s="1"/>
      <c r="AFU37" s="1"/>
      <c r="AFV37" s="1"/>
      <c r="AFW37" s="1"/>
      <c r="AFX37" s="1"/>
      <c r="AFY37" s="1"/>
      <c r="AFZ37" s="1"/>
      <c r="AGA37" s="1" t="s">
        <v>1960</v>
      </c>
      <c r="AGB37" s="2">
        <v>1</v>
      </c>
      <c r="AGC37" s="2">
        <v>0</v>
      </c>
      <c r="AGD37" s="2">
        <v>0</v>
      </c>
      <c r="AGE37" s="2">
        <v>0</v>
      </c>
      <c r="AGF37" s="2">
        <v>0</v>
      </c>
      <c r="AGG37" s="1"/>
      <c r="AGH37" s="1" t="s">
        <v>1183</v>
      </c>
      <c r="AGI37" s="1" t="s">
        <v>1183</v>
      </c>
      <c r="AGJ37" s="1" t="s">
        <v>1155</v>
      </c>
      <c r="AGK37" s="2">
        <v>3000</v>
      </c>
      <c r="AGL37" s="1" t="s">
        <v>1176</v>
      </c>
      <c r="AGM37" s="2">
        <v>1</v>
      </c>
      <c r="AGN37" s="2">
        <v>1</v>
      </c>
      <c r="AGO37" s="2">
        <v>0</v>
      </c>
      <c r="AGP37" s="2">
        <v>0</v>
      </c>
      <c r="AGQ37" s="2">
        <v>0</v>
      </c>
      <c r="AGR37" s="2">
        <v>0</v>
      </c>
      <c r="AGS37" s="1"/>
      <c r="AGT37" s="1" t="s">
        <v>1154</v>
      </c>
      <c r="AGU37" s="1"/>
      <c r="AGV37" s="1"/>
      <c r="AGW37" s="1"/>
      <c r="AGX37" s="1"/>
      <c r="AGY37" s="1"/>
      <c r="AGZ37" s="1"/>
      <c r="AHA37" s="1"/>
      <c r="AHB37" s="1"/>
      <c r="AHC37" s="1"/>
      <c r="AHD37" s="1"/>
      <c r="AHE37" s="1"/>
      <c r="AHF37" s="1"/>
      <c r="AHG37" s="1"/>
      <c r="AHH37" s="1"/>
      <c r="AHI37" s="1"/>
      <c r="AHJ37" s="1"/>
      <c r="AHK37" s="1"/>
      <c r="AHL37" s="1"/>
      <c r="AHM37" s="1"/>
      <c r="AHN37" s="1"/>
      <c r="AHO37" s="1"/>
      <c r="AHP37" s="1"/>
      <c r="AHQ37" s="1" t="s">
        <v>1163</v>
      </c>
      <c r="AHR37" s="2">
        <v>0</v>
      </c>
      <c r="AHS37" s="2">
        <v>0</v>
      </c>
      <c r="AHT37" s="2">
        <v>0</v>
      </c>
      <c r="AHU37" s="2">
        <v>0</v>
      </c>
      <c r="AHV37" s="2">
        <v>1</v>
      </c>
      <c r="AHW37" s="1"/>
      <c r="AHX37" s="1" t="s">
        <v>2707</v>
      </c>
      <c r="AHY37" s="2">
        <v>1</v>
      </c>
      <c r="AHZ37" s="2">
        <v>1</v>
      </c>
      <c r="AIA37" s="2">
        <v>1</v>
      </c>
      <c r="AIB37" s="2">
        <v>1</v>
      </c>
      <c r="AIC37" s="2">
        <v>0</v>
      </c>
      <c r="AID37" s="2">
        <v>1</v>
      </c>
      <c r="AIE37" s="2">
        <v>0</v>
      </c>
      <c r="AIF37" s="2">
        <v>0</v>
      </c>
      <c r="AIG37" s="2">
        <v>0</v>
      </c>
      <c r="AIH37" s="2">
        <v>0</v>
      </c>
      <c r="AII37" s="2">
        <v>0</v>
      </c>
      <c r="AIJ37" s="1"/>
      <c r="AIK37" s="1" t="s">
        <v>1163</v>
      </c>
      <c r="AIL37" s="2">
        <v>0</v>
      </c>
      <c r="AIM37" s="2">
        <v>0</v>
      </c>
      <c r="AIN37" s="2">
        <v>0</v>
      </c>
      <c r="AIO37" s="2">
        <v>0</v>
      </c>
      <c r="AIP37" s="2">
        <v>0</v>
      </c>
      <c r="AIQ37" s="2">
        <v>0</v>
      </c>
      <c r="AIR37" s="2">
        <v>0</v>
      </c>
      <c r="AIS37" s="2">
        <v>0</v>
      </c>
      <c r="AIT37" s="2">
        <v>0</v>
      </c>
      <c r="AIU37" s="2">
        <v>1</v>
      </c>
      <c r="AIV37" s="2">
        <v>0</v>
      </c>
      <c r="AIW37" s="2">
        <v>0</v>
      </c>
      <c r="AIX37" s="2">
        <v>0</v>
      </c>
      <c r="AIY37" s="1"/>
      <c r="AIZ37" s="1" t="s">
        <v>1155</v>
      </c>
      <c r="AJA37" s="1" t="s">
        <v>1157</v>
      </c>
      <c r="AJB37" s="2">
        <v>0</v>
      </c>
      <c r="AJC37" s="2">
        <v>0</v>
      </c>
      <c r="AJD37" s="2">
        <v>0</v>
      </c>
      <c r="AJE37" s="2">
        <v>0</v>
      </c>
      <c r="AJF37" s="2">
        <v>1</v>
      </c>
      <c r="AJG37" s="2">
        <v>0</v>
      </c>
      <c r="AJH37" s="2">
        <v>0</v>
      </c>
      <c r="AJI37" s="1"/>
      <c r="AJJ37" s="1" t="s">
        <v>1378</v>
      </c>
      <c r="AJK37" s="2">
        <v>1</v>
      </c>
      <c r="AJL37" s="2">
        <v>0</v>
      </c>
      <c r="AJM37" s="2">
        <v>0</v>
      </c>
      <c r="AJN37" s="2">
        <v>0</v>
      </c>
      <c r="AJO37" s="2">
        <v>0</v>
      </c>
      <c r="AJP37" s="2">
        <v>0</v>
      </c>
      <c r="AJQ37" s="2">
        <v>0</v>
      </c>
      <c r="AJR37" s="2">
        <v>0</v>
      </c>
      <c r="AJS37" s="2">
        <v>0</v>
      </c>
      <c r="AJT37" s="2">
        <v>0</v>
      </c>
      <c r="AJU37" s="2">
        <v>0</v>
      </c>
      <c r="AJV37" s="2">
        <v>0</v>
      </c>
      <c r="AJW37" s="1"/>
      <c r="AJX37" s="1" t="s">
        <v>1154</v>
      </c>
      <c r="AJY37" s="1" t="s">
        <v>1981</v>
      </c>
      <c r="AJZ37" s="2">
        <v>0</v>
      </c>
      <c r="AKA37" s="2">
        <v>0</v>
      </c>
      <c r="AKB37" s="2">
        <v>1</v>
      </c>
      <c r="AKC37" s="2">
        <v>0</v>
      </c>
      <c r="AKD37" s="2">
        <v>0</v>
      </c>
      <c r="AKE37" s="1"/>
      <c r="AKF37" s="1" t="s">
        <v>2708</v>
      </c>
      <c r="AKG37" s="2">
        <v>1</v>
      </c>
      <c r="AKH37" s="2">
        <v>1</v>
      </c>
      <c r="AKI37" s="2">
        <v>1</v>
      </c>
      <c r="AKJ37" s="2">
        <v>1</v>
      </c>
      <c r="AKK37" s="2">
        <v>1</v>
      </c>
      <c r="AKL37" s="2">
        <v>0</v>
      </c>
      <c r="AKM37" s="2">
        <v>0</v>
      </c>
      <c r="AKN37" s="2">
        <v>0</v>
      </c>
      <c r="AKO37" s="2">
        <v>0</v>
      </c>
      <c r="AKP37" s="2">
        <v>0</v>
      </c>
      <c r="AKQ37" s="2">
        <v>0</v>
      </c>
      <c r="AKR37" s="2">
        <v>0</v>
      </c>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c r="AML37" s="1"/>
      <c r="AMM37" s="1"/>
      <c r="AMN37" s="1"/>
      <c r="AMO37" s="1"/>
      <c r="AMP37" s="1"/>
      <c r="AMQ37" s="1"/>
      <c r="AMR37" s="1"/>
      <c r="AMS37" s="1"/>
      <c r="AMT37" s="1"/>
      <c r="AMU37" s="1"/>
      <c r="AMV37" s="1"/>
      <c r="AMW37" s="1"/>
      <c r="AMX37" s="1"/>
      <c r="AMY37" s="1"/>
      <c r="AMZ37" s="1"/>
      <c r="ANA37" s="1"/>
      <c r="ANB37" s="1"/>
      <c r="ANC37" s="1"/>
      <c r="AND37" s="1"/>
      <c r="ANE37" s="1"/>
      <c r="ANF37" s="1"/>
      <c r="ANG37" s="1"/>
      <c r="ANH37" s="1"/>
      <c r="ANI37" s="1"/>
      <c r="ANJ37" s="1"/>
      <c r="ANK37" s="1"/>
      <c r="ANL37" s="1"/>
      <c r="ANM37" s="1"/>
      <c r="ANN37" s="1"/>
      <c r="ANO37" s="1"/>
      <c r="ANP37" s="1"/>
      <c r="ANQ37" s="1"/>
      <c r="ANR37" s="1"/>
      <c r="ANS37" s="1"/>
      <c r="ANT37" s="1"/>
      <c r="ANU37" s="1"/>
      <c r="ANV37" s="1"/>
      <c r="ANW37" s="1"/>
      <c r="ANX37" s="1"/>
      <c r="ANY37" s="1"/>
      <c r="ANZ37" s="1"/>
      <c r="AOA37" s="1"/>
      <c r="AOB37" s="1"/>
      <c r="AOC37" s="1"/>
      <c r="AOD37" s="1"/>
      <c r="AOE37" s="1"/>
      <c r="AOF37" s="1"/>
      <c r="AOG37" s="1"/>
      <c r="AOH37" s="1"/>
      <c r="AOI37" s="1"/>
      <c r="AOJ37" s="1"/>
      <c r="AOK37" s="1"/>
      <c r="AOL37" s="1"/>
      <c r="AOM37" s="1"/>
      <c r="AON37" s="1"/>
      <c r="AOO37" s="1"/>
      <c r="AOP37" s="1"/>
      <c r="AOQ37" s="1"/>
      <c r="AOR37" s="1"/>
      <c r="AOS37" s="1"/>
      <c r="AOT37" s="1"/>
      <c r="AOU37" s="1"/>
      <c r="AOV37" s="1"/>
      <c r="AOW37" s="1"/>
      <c r="AOX37" s="1"/>
      <c r="AOY37" s="1"/>
      <c r="AOZ37" s="1"/>
      <c r="APA37" s="1"/>
      <c r="APB37" s="1"/>
      <c r="APC37" s="1"/>
      <c r="APD37" s="1"/>
      <c r="APE37" s="1"/>
      <c r="APF37" s="1"/>
      <c r="APG37" s="1"/>
      <c r="APH37" s="1"/>
      <c r="API37" s="1"/>
      <c r="APJ37" s="1"/>
      <c r="APK37" s="1"/>
      <c r="APL37" s="1"/>
      <c r="APM37" s="1"/>
      <c r="APN37" s="1"/>
      <c r="APO37" s="1"/>
      <c r="APP37" s="1"/>
      <c r="APQ37" s="1"/>
      <c r="APR37" s="1"/>
      <c r="APS37" s="1"/>
      <c r="APT37" s="1"/>
      <c r="APU37" s="1"/>
      <c r="APV37" s="1"/>
      <c r="APW37" s="1"/>
      <c r="APX37" s="1"/>
      <c r="APY37" s="1"/>
      <c r="APZ37" s="1"/>
      <c r="AQA37" s="1"/>
      <c r="AQB37" s="1"/>
      <c r="AQC37" s="1"/>
      <c r="AQD37" s="1"/>
      <c r="AQE37" s="1"/>
      <c r="AQF37" s="1"/>
      <c r="AQG37" s="1"/>
      <c r="AQH37" s="1"/>
      <c r="AQI37" s="1"/>
      <c r="AQJ37" s="1"/>
      <c r="AQK37" s="1"/>
      <c r="AQL37" s="1"/>
      <c r="AQM37" s="1"/>
      <c r="AQN37" s="1"/>
      <c r="AQO37" s="1"/>
      <c r="AQP37" s="1"/>
      <c r="AQQ37" s="1"/>
      <c r="AQR37" s="1"/>
      <c r="AQS37" s="1"/>
      <c r="AQT37" s="1"/>
      <c r="AQU37" s="1"/>
      <c r="AQV37" s="1"/>
      <c r="AQW37" s="1"/>
      <c r="AQX37" s="1"/>
      <c r="AQY37" s="1"/>
      <c r="AQZ37" s="1"/>
      <c r="ARA37" s="1"/>
      <c r="ARB37" s="1"/>
      <c r="ARC37" s="1"/>
      <c r="ARD37" s="1"/>
      <c r="ARE37" s="1"/>
      <c r="ARF37" s="1"/>
      <c r="ARG37" s="1"/>
      <c r="ARH37" s="1"/>
      <c r="ARI37" s="1"/>
      <c r="ARJ37" s="1"/>
      <c r="ARK37" s="1"/>
      <c r="ARL37" s="1"/>
      <c r="ARM37" s="1"/>
      <c r="ARN37" s="1"/>
      <c r="ARO37" s="1"/>
      <c r="ARP37" s="1"/>
      <c r="ARQ37" s="1"/>
      <c r="ARR37" s="1"/>
      <c r="ARS37" s="1"/>
      <c r="ART37" s="1"/>
      <c r="ARU37" s="1"/>
      <c r="ARV37" s="1"/>
      <c r="ARW37" s="1"/>
      <c r="ARX37" s="1"/>
      <c r="ARY37" s="1"/>
      <c r="ARZ37" s="1"/>
      <c r="ASA37" s="1"/>
      <c r="ASB37" s="1"/>
      <c r="ASC37" s="1"/>
      <c r="ASD37" s="1"/>
      <c r="ASE37" s="1"/>
      <c r="ASF37" s="1"/>
      <c r="ASG37" s="1"/>
      <c r="ASH37" s="1"/>
      <c r="ASI37" s="1"/>
      <c r="ASJ37" s="1"/>
      <c r="ASK37" s="1"/>
      <c r="ASL37" s="1"/>
      <c r="ASM37" s="1"/>
      <c r="ASN37" s="1"/>
      <c r="ASO37" s="1"/>
      <c r="ASP37" s="1"/>
      <c r="ASQ37" s="1"/>
      <c r="ASR37" s="1"/>
      <c r="ASS37" s="1"/>
      <c r="AST37" s="1"/>
      <c r="ASU37" s="1"/>
      <c r="ASV37" s="1"/>
      <c r="ASW37" s="1"/>
      <c r="ASX37" s="1"/>
      <c r="ASY37" s="1"/>
      <c r="ASZ37" s="1"/>
      <c r="ATA37" s="1"/>
      <c r="ATB37" s="1"/>
      <c r="ATC37" s="1"/>
      <c r="ATD37" s="1"/>
      <c r="ATE37" s="1"/>
      <c r="ATF37" s="1"/>
      <c r="ATG37" s="1"/>
      <c r="ATH37" s="1"/>
      <c r="ATI37" s="1"/>
      <c r="ATJ37" s="1"/>
      <c r="ATK37" s="1"/>
      <c r="ATL37" s="1"/>
      <c r="ATM37" s="1"/>
      <c r="ATN37" s="1"/>
      <c r="ATO37" s="1"/>
      <c r="ATP37" s="1"/>
      <c r="ATQ37" s="1"/>
      <c r="ATR37" s="1"/>
      <c r="ATS37" s="1"/>
      <c r="ATT37" s="1"/>
      <c r="ATU37" s="1"/>
      <c r="ATV37" s="1"/>
      <c r="ATW37" s="1"/>
      <c r="ATX37" s="1"/>
      <c r="ATY37" s="1"/>
      <c r="ATZ37" s="1"/>
      <c r="AUA37" s="1"/>
      <c r="AUB37" s="1"/>
      <c r="AUC37" s="1"/>
      <c r="AUD37" s="1"/>
      <c r="AUE37" s="1"/>
      <c r="AUF37" s="1"/>
      <c r="AUG37" s="1"/>
      <c r="AUH37" s="1"/>
      <c r="AUI37" s="1"/>
      <c r="AUJ37" s="1"/>
      <c r="AUK37" s="1"/>
      <c r="AUL37" s="1"/>
      <c r="AUM37" s="1"/>
      <c r="AUN37" s="1"/>
      <c r="AUO37" s="1"/>
      <c r="AUP37" s="1"/>
      <c r="AUQ37" s="1"/>
      <c r="AUR37" s="1"/>
      <c r="AUS37" s="1"/>
      <c r="AUT37" s="1"/>
      <c r="AUU37" s="1"/>
      <c r="AUV37" s="1"/>
      <c r="AUW37" s="1"/>
      <c r="AUX37" s="1"/>
      <c r="AUY37" s="1"/>
      <c r="AUZ37" s="1"/>
      <c r="AVA37" s="1"/>
      <c r="AVB37" s="1"/>
      <c r="AVC37" s="1"/>
      <c r="AVD37" s="1"/>
      <c r="AVE37" s="1"/>
      <c r="AVF37" s="1"/>
      <c r="AVG37" s="1"/>
      <c r="AVH37" s="1"/>
      <c r="AVI37" s="1"/>
      <c r="AVJ37" s="1"/>
      <c r="AVK37" s="1"/>
      <c r="AVL37" s="1"/>
      <c r="AVM37" s="1"/>
      <c r="AVN37" s="1"/>
      <c r="AVO37" s="1"/>
      <c r="AVP37" s="1"/>
      <c r="AVQ37" s="1"/>
      <c r="AVR37" s="1"/>
      <c r="AVS37" s="1"/>
      <c r="AVT37" s="1">
        <v>157207493</v>
      </c>
      <c r="AVU37" s="1" t="s">
        <v>2709</v>
      </c>
      <c r="AVV37" s="1"/>
      <c r="AVW37" s="1">
        <v>384</v>
      </c>
      <c r="AVX37" s="1"/>
      <c r="AVY37" s="1"/>
      <c r="AVZ37" s="1"/>
      <c r="AWA37" s="1"/>
      <c r="AWB37" s="1"/>
      <c r="AWC37" s="1"/>
      <c r="AWD37" s="1"/>
      <c r="AWE37" s="1"/>
      <c r="AWF37" s="1"/>
      <c r="AWG37" s="1"/>
      <c r="AWH37" s="1"/>
      <c r="AWI37" s="1"/>
      <c r="AWJ37" s="1"/>
      <c r="AWK37" s="1"/>
      <c r="AWL37" s="1"/>
      <c r="AWM37" s="1"/>
      <c r="AWN37" s="1"/>
      <c r="AWO37" s="1"/>
      <c r="AWP37" s="1"/>
      <c r="AWQ37" s="1"/>
      <c r="AWR37" s="1"/>
      <c r="AWS37" s="1"/>
      <c r="AWT37" s="1"/>
      <c r="AWU37" s="1"/>
      <c r="AWV37" s="1"/>
      <c r="AWW37" s="1"/>
      <c r="AWX37" s="1"/>
      <c r="AWY37" s="1"/>
      <c r="AWZ37" s="1"/>
      <c r="AXA37" s="1"/>
      <c r="AXB37" s="1"/>
      <c r="AXC37" s="1"/>
      <c r="AXD37" s="1"/>
      <c r="AXE37" s="1"/>
      <c r="AXF37" s="1"/>
      <c r="AXG37" s="1"/>
      <c r="AXH37" s="1"/>
      <c r="AXI37" s="1"/>
      <c r="AXJ37" s="1"/>
      <c r="AXK37" s="1"/>
      <c r="AXL37" s="1"/>
      <c r="AXM37" s="1"/>
      <c r="AXN37" s="1"/>
      <c r="AXO37" s="56"/>
      <c r="AXP37" s="56"/>
      <c r="AXQ37" s="56"/>
      <c r="AXR37" s="56"/>
      <c r="AXS37" s="56"/>
      <c r="AXV37" s="1"/>
      <c r="AXW37" s="1"/>
      <c r="AXX37" s="1"/>
      <c r="AXY37" s="1"/>
      <c r="AXZ37" s="1"/>
    </row>
    <row r="38" spans="1:1326" customFormat="1" ht="14.5" x14ac:dyDescent="0.35">
      <c r="A38" s="1" t="s">
        <v>2710</v>
      </c>
      <c r="B38" s="1" t="s">
        <v>2711</v>
      </c>
      <c r="C38" s="1" t="s">
        <v>2712</v>
      </c>
      <c r="D38" s="1" t="s">
        <v>2704</v>
      </c>
      <c r="E38" s="1" t="s">
        <v>2686</v>
      </c>
      <c r="F38" s="1" t="s">
        <v>2704</v>
      </c>
      <c r="G38" s="1"/>
      <c r="H38" s="1"/>
      <c r="I38" s="1" t="s">
        <v>2080</v>
      </c>
      <c r="J38" s="1" t="s">
        <v>2081</v>
      </c>
      <c r="K38" s="1" t="s">
        <v>2081</v>
      </c>
      <c r="L38" s="1"/>
      <c r="M38" s="1"/>
      <c r="N38" s="1" t="s">
        <v>1168</v>
      </c>
      <c r="O38" s="2">
        <v>0</v>
      </c>
      <c r="P38" s="2">
        <v>0</v>
      </c>
      <c r="Q38" s="2">
        <v>1</v>
      </c>
      <c r="R38" s="2">
        <v>0</v>
      </c>
      <c r="S38" s="2">
        <v>0</v>
      </c>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t="s">
        <v>2713</v>
      </c>
      <c r="ZT38" s="1" t="s">
        <v>1169</v>
      </c>
      <c r="ZU38" s="1"/>
      <c r="ZV38" s="1" t="s">
        <v>1170</v>
      </c>
      <c r="ZW38" s="1"/>
      <c r="ZX38" s="1" t="s">
        <v>1155</v>
      </c>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t="s">
        <v>1171</v>
      </c>
      <c r="ABF38" s="2">
        <v>1</v>
      </c>
      <c r="ABG38" s="2">
        <v>0</v>
      </c>
      <c r="ABH38" s="2">
        <v>0</v>
      </c>
      <c r="ABI38" s="2">
        <v>0</v>
      </c>
      <c r="ABJ38" s="2">
        <v>0</v>
      </c>
      <c r="ABK38" s="1"/>
      <c r="ABL38" s="1" t="s">
        <v>1157</v>
      </c>
      <c r="ABM38" s="2">
        <v>0</v>
      </c>
      <c r="ABN38" s="2">
        <v>0</v>
      </c>
      <c r="ABO38" s="2">
        <v>0</v>
      </c>
      <c r="ABP38" s="2">
        <v>0</v>
      </c>
      <c r="ABQ38" s="2">
        <v>0</v>
      </c>
      <c r="ABR38" s="2">
        <v>1</v>
      </c>
      <c r="ABS38" s="2">
        <v>0</v>
      </c>
      <c r="ABT38" s="2">
        <v>0</v>
      </c>
      <c r="ABU38" s="2">
        <v>0</v>
      </c>
      <c r="ABV38" s="2">
        <v>0</v>
      </c>
      <c r="ABW38" s="2">
        <v>0</v>
      </c>
      <c r="ABX38" s="2">
        <v>0</v>
      </c>
      <c r="ABY38" s="1"/>
      <c r="ABZ38" s="2">
        <v>3</v>
      </c>
      <c r="ACA38" s="1" t="s">
        <v>1155</v>
      </c>
      <c r="ACB38" s="2">
        <v>6</v>
      </c>
      <c r="ACC38" s="1" t="s">
        <v>1155</v>
      </c>
      <c r="ACD38" s="2">
        <v>3</v>
      </c>
      <c r="ACE38" s="2">
        <v>3</v>
      </c>
      <c r="ACF38" s="2">
        <v>3</v>
      </c>
      <c r="ACG38" s="2">
        <v>6</v>
      </c>
      <c r="ACH38" s="1"/>
      <c r="ACI38" s="1" t="s">
        <v>1154</v>
      </c>
      <c r="ACJ38" s="1" t="s">
        <v>1154</v>
      </c>
      <c r="ACK38" s="1"/>
      <c r="ACL38" s="1"/>
      <c r="ACM38" s="1" t="s">
        <v>1154</v>
      </c>
      <c r="ACN38" s="2">
        <v>269</v>
      </c>
      <c r="ACO38" s="2">
        <v>142</v>
      </c>
      <c r="ACP38" s="2">
        <v>127</v>
      </c>
      <c r="ACQ38" s="2">
        <v>127</v>
      </c>
      <c r="ACR38" s="2">
        <v>269</v>
      </c>
      <c r="ACS38" s="1"/>
      <c r="ACT38" s="2">
        <v>5</v>
      </c>
      <c r="ACU38" s="2">
        <v>18</v>
      </c>
      <c r="ACV38" s="1" t="s">
        <v>1155</v>
      </c>
      <c r="ACW38" s="1" t="s">
        <v>1160</v>
      </c>
      <c r="ACX38" s="1"/>
      <c r="ACY38" s="1"/>
      <c r="ACZ38" s="1"/>
      <c r="ADA38" s="1"/>
      <c r="ADB38" s="1"/>
      <c r="ADC38" s="1"/>
      <c r="ADD38" s="1"/>
      <c r="ADE38" s="1"/>
      <c r="ADF38" s="1"/>
      <c r="ADG38" s="1" t="s">
        <v>2714</v>
      </c>
      <c r="ADH38" s="2">
        <v>0</v>
      </c>
      <c r="ADI38" s="2">
        <v>0</v>
      </c>
      <c r="ADJ38" s="2">
        <v>1</v>
      </c>
      <c r="ADK38" s="2">
        <v>0</v>
      </c>
      <c r="ADL38" s="2">
        <v>0</v>
      </c>
      <c r="ADM38" s="2">
        <v>0</v>
      </c>
      <c r="ADN38" s="2">
        <v>0</v>
      </c>
      <c r="ADO38" s="2">
        <v>1</v>
      </c>
      <c r="ADP38" s="1"/>
      <c r="ADQ38" s="2">
        <v>1</v>
      </c>
      <c r="ADR38" s="2">
        <v>0</v>
      </c>
      <c r="ADS38" s="2">
        <v>1</v>
      </c>
      <c r="ADT38" s="2">
        <v>1</v>
      </c>
      <c r="ADU38" s="2">
        <v>1</v>
      </c>
      <c r="ADV38" s="1"/>
      <c r="ADW38" s="1" t="s">
        <v>1154</v>
      </c>
      <c r="ADX38" s="1"/>
      <c r="ADY38" s="1"/>
      <c r="ADZ38" s="1"/>
      <c r="AEA38" s="1"/>
      <c r="AEB38" s="1"/>
      <c r="AEC38" s="1"/>
      <c r="AED38" s="1"/>
      <c r="AEE38" s="1"/>
      <c r="AEF38" s="1"/>
      <c r="AEG38" s="1"/>
      <c r="AEH38" s="1"/>
      <c r="AEI38" s="1"/>
      <c r="AEJ38" s="1"/>
      <c r="AEK38" s="1"/>
      <c r="AEL38" s="1"/>
      <c r="AEM38" s="1"/>
      <c r="AEN38" s="1"/>
      <c r="AEO38" s="2">
        <v>0</v>
      </c>
      <c r="AEP38" s="2">
        <v>0</v>
      </c>
      <c r="AEQ38" s="2">
        <v>0</v>
      </c>
      <c r="AER38" s="2">
        <v>0</v>
      </c>
      <c r="AES38" s="2">
        <v>0</v>
      </c>
      <c r="AET38" s="1"/>
      <c r="AEU38" s="1" t="s">
        <v>1154</v>
      </c>
      <c r="AEV38" s="1"/>
      <c r="AEW38" s="1"/>
      <c r="AEX38" s="1"/>
      <c r="AEY38" s="1"/>
      <c r="AEZ38" s="1"/>
      <c r="AFA38" s="1"/>
      <c r="AFB38" s="1"/>
      <c r="AFC38" s="1"/>
      <c r="AFD38" s="1"/>
      <c r="AFE38" s="1"/>
      <c r="AFF38" s="1"/>
      <c r="AFG38" s="1"/>
      <c r="AFH38" s="1"/>
      <c r="AFI38" s="1"/>
      <c r="AFJ38" s="1"/>
      <c r="AFK38" s="1"/>
      <c r="AFL38" s="2">
        <v>5</v>
      </c>
      <c r="AFM38" s="2">
        <v>2</v>
      </c>
      <c r="AFN38" s="2">
        <v>3</v>
      </c>
      <c r="AFO38" s="2">
        <v>3</v>
      </c>
      <c r="AFP38" s="2">
        <v>5</v>
      </c>
      <c r="AFQ38" s="1"/>
      <c r="AFR38" s="1" t="s">
        <v>1154</v>
      </c>
      <c r="AFS38" s="1"/>
      <c r="AFT38" s="1"/>
      <c r="AFU38" s="1"/>
      <c r="AFV38" s="1"/>
      <c r="AFW38" s="1"/>
      <c r="AFX38" s="1"/>
      <c r="AFY38" s="1"/>
      <c r="AFZ38" s="1"/>
      <c r="AGA38" s="1"/>
      <c r="AGB38" s="1"/>
      <c r="AGC38" s="1"/>
      <c r="AGD38" s="1"/>
      <c r="AGE38" s="1"/>
      <c r="AGF38" s="1"/>
      <c r="AGG38" s="1"/>
      <c r="AGH38" s="1" t="s">
        <v>1183</v>
      </c>
      <c r="AGI38" s="1" t="s">
        <v>1172</v>
      </c>
      <c r="AGJ38" s="1" t="s">
        <v>1155</v>
      </c>
      <c r="AGK38" s="2">
        <v>2500</v>
      </c>
      <c r="AGL38" s="1" t="s">
        <v>1176</v>
      </c>
      <c r="AGM38" s="2">
        <v>1</v>
      </c>
      <c r="AGN38" s="2">
        <v>1</v>
      </c>
      <c r="AGO38" s="2">
        <v>0</v>
      </c>
      <c r="AGP38" s="2">
        <v>0</v>
      </c>
      <c r="AGQ38" s="2">
        <v>0</v>
      </c>
      <c r="AGR38" s="2">
        <v>0</v>
      </c>
      <c r="AGS38" s="1"/>
      <c r="AGT38" s="1" t="s">
        <v>1154</v>
      </c>
      <c r="AGU38" s="1"/>
      <c r="AGV38" s="1"/>
      <c r="AGW38" s="1"/>
      <c r="AGX38" s="1"/>
      <c r="AGY38" s="1"/>
      <c r="AGZ38" s="1"/>
      <c r="AHA38" s="1"/>
      <c r="AHB38" s="1"/>
      <c r="AHC38" s="1"/>
      <c r="AHD38" s="1"/>
      <c r="AHE38" s="1"/>
      <c r="AHF38" s="1"/>
      <c r="AHG38" s="1"/>
      <c r="AHH38" s="1"/>
      <c r="AHI38" s="1"/>
      <c r="AHJ38" s="1"/>
      <c r="AHK38" s="1"/>
      <c r="AHL38" s="1"/>
      <c r="AHM38" s="1"/>
      <c r="AHN38" s="1"/>
      <c r="AHO38" s="1"/>
      <c r="AHP38" s="1"/>
      <c r="AHQ38" s="1" t="s">
        <v>1163</v>
      </c>
      <c r="AHR38" s="2">
        <v>0</v>
      </c>
      <c r="AHS38" s="2">
        <v>0</v>
      </c>
      <c r="AHT38" s="2">
        <v>0</v>
      </c>
      <c r="AHU38" s="2">
        <v>0</v>
      </c>
      <c r="AHV38" s="2">
        <v>1</v>
      </c>
      <c r="AHW38" s="1"/>
      <c r="AHX38" s="1" t="s">
        <v>2715</v>
      </c>
      <c r="AHY38" s="2">
        <v>1</v>
      </c>
      <c r="AHZ38" s="2">
        <v>1</v>
      </c>
      <c r="AIA38" s="2">
        <v>1</v>
      </c>
      <c r="AIB38" s="2">
        <v>1</v>
      </c>
      <c r="AIC38" s="2">
        <v>1</v>
      </c>
      <c r="AID38" s="2">
        <v>0</v>
      </c>
      <c r="AIE38" s="2">
        <v>0</v>
      </c>
      <c r="AIF38" s="2">
        <v>0</v>
      </c>
      <c r="AIG38" s="2">
        <v>0</v>
      </c>
      <c r="AIH38" s="2">
        <v>0</v>
      </c>
      <c r="AII38" s="2">
        <v>0</v>
      </c>
      <c r="AIJ38" s="1"/>
      <c r="AIK38" s="1" t="s">
        <v>1163</v>
      </c>
      <c r="AIL38" s="2">
        <v>0</v>
      </c>
      <c r="AIM38" s="2">
        <v>0</v>
      </c>
      <c r="AIN38" s="2">
        <v>0</v>
      </c>
      <c r="AIO38" s="2">
        <v>0</v>
      </c>
      <c r="AIP38" s="2">
        <v>0</v>
      </c>
      <c r="AIQ38" s="2">
        <v>0</v>
      </c>
      <c r="AIR38" s="2">
        <v>0</v>
      </c>
      <c r="AIS38" s="2">
        <v>0</v>
      </c>
      <c r="AIT38" s="2">
        <v>0</v>
      </c>
      <c r="AIU38" s="2">
        <v>1</v>
      </c>
      <c r="AIV38" s="2">
        <v>0</v>
      </c>
      <c r="AIW38" s="2">
        <v>0</v>
      </c>
      <c r="AIX38" s="2">
        <v>0</v>
      </c>
      <c r="AIY38" s="1"/>
      <c r="AIZ38" s="1" t="s">
        <v>1154</v>
      </c>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t="s">
        <v>2716</v>
      </c>
      <c r="AKG38" s="2">
        <v>0</v>
      </c>
      <c r="AKH38" s="2">
        <v>0</v>
      </c>
      <c r="AKI38" s="2">
        <v>1</v>
      </c>
      <c r="AKJ38" s="2">
        <v>1</v>
      </c>
      <c r="AKK38" s="2">
        <v>1</v>
      </c>
      <c r="AKL38" s="2">
        <v>0</v>
      </c>
      <c r="AKM38" s="2">
        <v>1</v>
      </c>
      <c r="AKN38" s="2">
        <v>1</v>
      </c>
      <c r="AKO38" s="2">
        <v>1</v>
      </c>
      <c r="AKP38" s="2">
        <v>0</v>
      </c>
      <c r="AKQ38" s="2">
        <v>0</v>
      </c>
      <c r="AKR38" s="2">
        <v>0</v>
      </c>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c r="AML38" s="1"/>
      <c r="AMM38" s="1"/>
      <c r="AMN38" s="1"/>
      <c r="AMO38" s="1"/>
      <c r="AMP38" s="1"/>
      <c r="AMQ38" s="1"/>
      <c r="AMR38" s="1"/>
      <c r="AMS38" s="1"/>
      <c r="AMT38" s="1"/>
      <c r="AMU38" s="1"/>
      <c r="AMV38" s="1"/>
      <c r="AMW38" s="1"/>
      <c r="AMX38" s="1"/>
      <c r="AMY38" s="1"/>
      <c r="AMZ38" s="1"/>
      <c r="ANA38" s="1"/>
      <c r="ANB38" s="1"/>
      <c r="ANC38" s="1"/>
      <c r="AND38" s="1"/>
      <c r="ANE38" s="1"/>
      <c r="ANF38" s="1"/>
      <c r="ANG38" s="1"/>
      <c r="ANH38" s="1"/>
      <c r="ANI38" s="1"/>
      <c r="ANJ38" s="1"/>
      <c r="ANK38" s="1"/>
      <c r="ANL38" s="1"/>
      <c r="ANM38" s="1"/>
      <c r="ANN38" s="1"/>
      <c r="ANO38" s="1"/>
      <c r="ANP38" s="1"/>
      <c r="ANQ38" s="1"/>
      <c r="ANR38" s="1"/>
      <c r="ANS38" s="1"/>
      <c r="ANT38" s="1"/>
      <c r="ANU38" s="1"/>
      <c r="ANV38" s="1"/>
      <c r="ANW38" s="1"/>
      <c r="ANX38" s="1"/>
      <c r="ANY38" s="1"/>
      <c r="ANZ38" s="1"/>
      <c r="AOA38" s="1"/>
      <c r="AOB38" s="1"/>
      <c r="AOC38" s="1"/>
      <c r="AOD38" s="1"/>
      <c r="AOE38" s="1"/>
      <c r="AOF38" s="1"/>
      <c r="AOG38" s="1"/>
      <c r="AOH38" s="1"/>
      <c r="AOI38" s="1"/>
      <c r="AOJ38" s="1"/>
      <c r="AOK38" s="1"/>
      <c r="AOL38" s="1"/>
      <c r="AOM38" s="1"/>
      <c r="AON38" s="1"/>
      <c r="AOO38" s="1"/>
      <c r="AOP38" s="1"/>
      <c r="AOQ38" s="1"/>
      <c r="AOR38" s="1"/>
      <c r="AOS38" s="1"/>
      <c r="AOT38" s="1"/>
      <c r="AOU38" s="1"/>
      <c r="AOV38" s="1"/>
      <c r="AOW38" s="1"/>
      <c r="AOX38" s="1"/>
      <c r="AOY38" s="1"/>
      <c r="AOZ38" s="1"/>
      <c r="APA38" s="1"/>
      <c r="APB38" s="1"/>
      <c r="APC38" s="1"/>
      <c r="APD38" s="1"/>
      <c r="APE38" s="1"/>
      <c r="APF38" s="1"/>
      <c r="APG38" s="1"/>
      <c r="APH38" s="1"/>
      <c r="API38" s="1"/>
      <c r="APJ38" s="1"/>
      <c r="APK38" s="1"/>
      <c r="APL38" s="1"/>
      <c r="APM38" s="1"/>
      <c r="APN38" s="1"/>
      <c r="APO38" s="1"/>
      <c r="APP38" s="1"/>
      <c r="APQ38" s="1"/>
      <c r="APR38" s="1"/>
      <c r="APS38" s="1"/>
      <c r="APT38" s="1"/>
      <c r="APU38" s="1"/>
      <c r="APV38" s="1"/>
      <c r="APW38" s="1"/>
      <c r="APX38" s="1"/>
      <c r="APY38" s="1"/>
      <c r="APZ38" s="1"/>
      <c r="AQA38" s="1"/>
      <c r="AQB38" s="1"/>
      <c r="AQC38" s="1"/>
      <c r="AQD38" s="1"/>
      <c r="AQE38" s="1"/>
      <c r="AQF38" s="1"/>
      <c r="AQG38" s="1"/>
      <c r="AQH38" s="1"/>
      <c r="AQI38" s="1"/>
      <c r="AQJ38" s="1"/>
      <c r="AQK38" s="1"/>
      <c r="AQL38" s="1"/>
      <c r="AQM38" s="1"/>
      <c r="AQN38" s="1"/>
      <c r="AQO38" s="1"/>
      <c r="AQP38" s="1"/>
      <c r="AQQ38" s="1"/>
      <c r="AQR38" s="1"/>
      <c r="AQS38" s="1"/>
      <c r="AQT38" s="1"/>
      <c r="AQU38" s="1"/>
      <c r="AQV38" s="1"/>
      <c r="AQW38" s="1"/>
      <c r="AQX38" s="1"/>
      <c r="AQY38" s="1"/>
      <c r="AQZ38" s="1"/>
      <c r="ARA38" s="1"/>
      <c r="ARB38" s="1"/>
      <c r="ARC38" s="1"/>
      <c r="ARD38" s="1"/>
      <c r="ARE38" s="1"/>
      <c r="ARF38" s="1"/>
      <c r="ARG38" s="1"/>
      <c r="ARH38" s="1"/>
      <c r="ARI38" s="1"/>
      <c r="ARJ38" s="1"/>
      <c r="ARK38" s="1"/>
      <c r="ARL38" s="1"/>
      <c r="ARM38" s="1"/>
      <c r="ARN38" s="1"/>
      <c r="ARO38" s="1"/>
      <c r="ARP38" s="1"/>
      <c r="ARQ38" s="1"/>
      <c r="ARR38" s="1"/>
      <c r="ARS38" s="1"/>
      <c r="ART38" s="1"/>
      <c r="ARU38" s="1"/>
      <c r="ARV38" s="1"/>
      <c r="ARW38" s="1"/>
      <c r="ARX38" s="1"/>
      <c r="ARY38" s="1"/>
      <c r="ARZ38" s="1"/>
      <c r="ASA38" s="1"/>
      <c r="ASB38" s="1"/>
      <c r="ASC38" s="1"/>
      <c r="ASD38" s="1"/>
      <c r="ASE38" s="1"/>
      <c r="ASF38" s="1"/>
      <c r="ASG38" s="1"/>
      <c r="ASH38" s="1"/>
      <c r="ASI38" s="1"/>
      <c r="ASJ38" s="1"/>
      <c r="ASK38" s="1"/>
      <c r="ASL38" s="1"/>
      <c r="ASM38" s="1"/>
      <c r="ASN38" s="1"/>
      <c r="ASO38" s="1"/>
      <c r="ASP38" s="1"/>
      <c r="ASQ38" s="1"/>
      <c r="ASR38" s="1"/>
      <c r="ASS38" s="1"/>
      <c r="AST38" s="1"/>
      <c r="ASU38" s="1"/>
      <c r="ASV38" s="1"/>
      <c r="ASW38" s="1"/>
      <c r="ASX38" s="1"/>
      <c r="ASY38" s="1"/>
      <c r="ASZ38" s="1"/>
      <c r="ATA38" s="1"/>
      <c r="ATB38" s="1"/>
      <c r="ATC38" s="1"/>
      <c r="ATD38" s="1"/>
      <c r="ATE38" s="1"/>
      <c r="ATF38" s="1"/>
      <c r="ATG38" s="1"/>
      <c r="ATH38" s="1"/>
      <c r="ATI38" s="1"/>
      <c r="ATJ38" s="1"/>
      <c r="ATK38" s="1"/>
      <c r="ATL38" s="1"/>
      <c r="ATM38" s="1"/>
      <c r="ATN38" s="1"/>
      <c r="ATO38" s="1"/>
      <c r="ATP38" s="1"/>
      <c r="ATQ38" s="1"/>
      <c r="ATR38" s="1"/>
      <c r="ATS38" s="1"/>
      <c r="ATT38" s="1"/>
      <c r="ATU38" s="1"/>
      <c r="ATV38" s="1"/>
      <c r="ATW38" s="1"/>
      <c r="ATX38" s="1"/>
      <c r="ATY38" s="1"/>
      <c r="ATZ38" s="1"/>
      <c r="AUA38" s="1"/>
      <c r="AUB38" s="1"/>
      <c r="AUC38" s="1"/>
      <c r="AUD38" s="1"/>
      <c r="AUE38" s="1"/>
      <c r="AUF38" s="1"/>
      <c r="AUG38" s="1"/>
      <c r="AUH38" s="1"/>
      <c r="AUI38" s="1"/>
      <c r="AUJ38" s="1"/>
      <c r="AUK38" s="1"/>
      <c r="AUL38" s="1"/>
      <c r="AUM38" s="1"/>
      <c r="AUN38" s="1"/>
      <c r="AUO38" s="1"/>
      <c r="AUP38" s="1"/>
      <c r="AUQ38" s="1"/>
      <c r="AUR38" s="1"/>
      <c r="AUS38" s="1"/>
      <c r="AUT38" s="1"/>
      <c r="AUU38" s="1"/>
      <c r="AUV38" s="1"/>
      <c r="AUW38" s="1"/>
      <c r="AUX38" s="1"/>
      <c r="AUY38" s="1"/>
      <c r="AUZ38" s="1"/>
      <c r="AVA38" s="1"/>
      <c r="AVB38" s="1"/>
      <c r="AVC38" s="1"/>
      <c r="AVD38" s="1"/>
      <c r="AVE38" s="1"/>
      <c r="AVF38" s="1"/>
      <c r="AVG38" s="1"/>
      <c r="AVH38" s="1"/>
      <c r="AVI38" s="1"/>
      <c r="AVJ38" s="1"/>
      <c r="AVK38" s="1"/>
      <c r="AVL38" s="1"/>
      <c r="AVM38" s="1"/>
      <c r="AVN38" s="1"/>
      <c r="AVO38" s="1"/>
      <c r="AVP38" s="1"/>
      <c r="AVQ38" s="1"/>
      <c r="AVR38" s="1"/>
      <c r="AVS38" s="1"/>
      <c r="AVT38" s="1">
        <v>157207502</v>
      </c>
      <c r="AVU38" s="1" t="s">
        <v>2717</v>
      </c>
      <c r="AVV38" s="1"/>
      <c r="AVW38" s="1">
        <v>385</v>
      </c>
      <c r="AVX38" s="1"/>
      <c r="AVY38" s="1"/>
      <c r="AVZ38" s="1"/>
      <c r="AWA38" s="1"/>
      <c r="AWB38" s="1"/>
      <c r="AWC38" s="1"/>
      <c r="AWD38" s="1"/>
      <c r="AWE38" s="1"/>
      <c r="AWF38" s="1"/>
      <c r="AWG38" s="1"/>
      <c r="AWH38" s="1"/>
      <c r="AWI38" s="1"/>
      <c r="AWJ38" s="1"/>
      <c r="AWK38" s="1"/>
      <c r="AWL38" s="1"/>
      <c r="AWM38" s="1"/>
      <c r="AWN38" s="1"/>
      <c r="AWO38" s="1"/>
      <c r="AWP38" s="1"/>
      <c r="AWQ38" s="1"/>
      <c r="AWR38" s="1"/>
      <c r="AWS38" s="1"/>
      <c r="AWT38" s="1"/>
      <c r="AWU38" s="1"/>
      <c r="AWV38" s="1"/>
      <c r="AWW38" s="1"/>
      <c r="AWX38" s="1"/>
      <c r="AWY38" s="1"/>
      <c r="AWZ38" s="1"/>
      <c r="AXA38" s="1"/>
      <c r="AXB38" s="1"/>
      <c r="AXC38" s="1"/>
      <c r="AXD38" s="1"/>
      <c r="AXE38" s="1"/>
      <c r="AXF38" s="1"/>
      <c r="AXG38" s="1"/>
      <c r="AXH38" s="1"/>
      <c r="AXI38" s="1"/>
      <c r="AXJ38" s="1"/>
      <c r="AXK38" s="1"/>
      <c r="AXL38" s="1"/>
      <c r="AXM38" s="1"/>
      <c r="AXN38" s="1"/>
      <c r="AXO38" s="56"/>
      <c r="AXP38" s="56"/>
      <c r="AXQ38" s="56"/>
      <c r="AXR38" s="56"/>
      <c r="AXS38" s="56"/>
      <c r="AXV38" s="1"/>
      <c r="AXW38" s="1"/>
      <c r="AXX38" s="1"/>
      <c r="AXY38" s="1"/>
      <c r="AXZ38" s="1"/>
    </row>
    <row r="39" spans="1:1326" customFormat="1" ht="14.5" x14ac:dyDescent="0.35">
      <c r="A39" s="1" t="s">
        <v>2720</v>
      </c>
      <c r="B39" s="1" t="s">
        <v>2721</v>
      </c>
      <c r="C39" s="1" t="s">
        <v>2722</v>
      </c>
      <c r="D39" s="1" t="s">
        <v>2704</v>
      </c>
      <c r="E39" s="1" t="s">
        <v>2686</v>
      </c>
      <c r="F39" s="1" t="s">
        <v>2704</v>
      </c>
      <c r="G39" s="1"/>
      <c r="H39" s="1"/>
      <c r="I39" s="1" t="s">
        <v>2080</v>
      </c>
      <c r="J39" s="1" t="s">
        <v>2081</v>
      </c>
      <c r="K39" s="1" t="s">
        <v>2081</v>
      </c>
      <c r="L39" s="1"/>
      <c r="M39" s="1"/>
      <c r="N39" s="1" t="s">
        <v>1168</v>
      </c>
      <c r="O39" s="2">
        <v>0</v>
      </c>
      <c r="P39" s="2">
        <v>0</v>
      </c>
      <c r="Q39" s="2">
        <v>1</v>
      </c>
      <c r="R39" s="2">
        <v>0</v>
      </c>
      <c r="S39" s="2">
        <v>0</v>
      </c>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t="s">
        <v>2723</v>
      </c>
      <c r="ZT39" s="1" t="s">
        <v>1935</v>
      </c>
      <c r="ZU39" s="1"/>
      <c r="ZV39" s="1" t="s">
        <v>1170</v>
      </c>
      <c r="ZW39" s="1"/>
      <c r="ZX39" s="1" t="s">
        <v>1154</v>
      </c>
      <c r="ZY39" s="1"/>
      <c r="ZZ39" s="1"/>
      <c r="AAA39" s="1"/>
      <c r="AAB39" s="1"/>
      <c r="AAC39" s="1"/>
      <c r="AAD39" s="1"/>
      <c r="AAE39" s="1"/>
      <c r="AAF39" s="1"/>
      <c r="AAG39" s="1"/>
      <c r="AAH39" s="1"/>
      <c r="AAI39" s="1"/>
      <c r="AAJ39" s="1" t="s">
        <v>1188</v>
      </c>
      <c r="AAK39" s="2">
        <v>0</v>
      </c>
      <c r="AAL39" s="2">
        <v>0</v>
      </c>
      <c r="AAM39" s="2">
        <v>0</v>
      </c>
      <c r="AAN39" s="2">
        <v>0</v>
      </c>
      <c r="AAO39" s="2">
        <v>0</v>
      </c>
      <c r="AAP39" s="2">
        <v>1</v>
      </c>
      <c r="AAQ39" s="2">
        <v>0</v>
      </c>
      <c r="AAR39" s="2">
        <v>0</v>
      </c>
      <c r="AAS39" s="2">
        <v>0</v>
      </c>
      <c r="AAT39" s="1"/>
      <c r="AAU39" s="1" t="s">
        <v>1641</v>
      </c>
      <c r="AAV39" s="1"/>
      <c r="AAW39" s="1"/>
      <c r="AAX39" s="1"/>
      <c r="AAY39" s="1"/>
      <c r="AAZ39" s="1"/>
      <c r="ABA39" s="1"/>
      <c r="ABB39" s="1"/>
      <c r="ABC39" s="1"/>
      <c r="ABD39" s="1"/>
      <c r="ABE39" s="1" t="s">
        <v>2697</v>
      </c>
      <c r="ABF39" s="2">
        <v>0</v>
      </c>
      <c r="ABG39" s="2">
        <v>1</v>
      </c>
      <c r="ABH39" s="2">
        <v>0</v>
      </c>
      <c r="ABI39" s="2">
        <v>0</v>
      </c>
      <c r="ABJ39" s="2">
        <v>0</v>
      </c>
      <c r="ABK39" s="1"/>
      <c r="ABL39" s="1" t="s">
        <v>1650</v>
      </c>
      <c r="ABM39" s="2">
        <v>0</v>
      </c>
      <c r="ABN39" s="2">
        <v>0</v>
      </c>
      <c r="ABO39" s="2">
        <v>0</v>
      </c>
      <c r="ABP39" s="2">
        <v>0</v>
      </c>
      <c r="ABQ39" s="2">
        <v>0</v>
      </c>
      <c r="ABR39" s="2">
        <v>0</v>
      </c>
      <c r="ABS39" s="2">
        <v>0</v>
      </c>
      <c r="ABT39" s="2">
        <v>0</v>
      </c>
      <c r="ABU39" s="2">
        <v>0</v>
      </c>
      <c r="ABV39" s="2">
        <v>0</v>
      </c>
      <c r="ABW39" s="2">
        <v>1</v>
      </c>
      <c r="ABX39" s="2">
        <v>0</v>
      </c>
      <c r="ABY39" s="1"/>
      <c r="ABZ39" s="2">
        <v>6</v>
      </c>
      <c r="ACA39" s="1" t="s">
        <v>1154</v>
      </c>
      <c r="ACB39" s="1"/>
      <c r="ACC39" s="1"/>
      <c r="ACD39" s="1"/>
      <c r="ACE39" s="1"/>
      <c r="ACF39" s="1"/>
      <c r="ACG39" s="1"/>
      <c r="ACH39" s="1"/>
      <c r="ACI39" s="1"/>
      <c r="ACJ39" s="1" t="s">
        <v>1154</v>
      </c>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t="s">
        <v>1154</v>
      </c>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t="s">
        <v>2724</v>
      </c>
      <c r="AKG39" s="2">
        <v>0</v>
      </c>
      <c r="AKH39" s="2">
        <v>1</v>
      </c>
      <c r="AKI39" s="2">
        <v>1</v>
      </c>
      <c r="AKJ39" s="2">
        <v>1</v>
      </c>
      <c r="AKK39" s="2">
        <v>1</v>
      </c>
      <c r="AKL39" s="2">
        <v>1</v>
      </c>
      <c r="AKM39" s="2">
        <v>1</v>
      </c>
      <c r="AKN39" s="2">
        <v>1</v>
      </c>
      <c r="AKO39" s="2">
        <v>0</v>
      </c>
      <c r="AKP39" s="2">
        <v>0</v>
      </c>
      <c r="AKQ39" s="2">
        <v>0</v>
      </c>
      <c r="AKR39" s="2">
        <v>0</v>
      </c>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c r="AML39" s="1"/>
      <c r="AMM39" s="1"/>
      <c r="AMN39" s="1"/>
      <c r="AMO39" s="1"/>
      <c r="AMP39" s="1"/>
      <c r="AMQ39" s="1"/>
      <c r="AMR39" s="1"/>
      <c r="AMS39" s="1"/>
      <c r="AMT39" s="1"/>
      <c r="AMU39" s="1"/>
      <c r="AMV39" s="1"/>
      <c r="AMW39" s="1"/>
      <c r="AMX39" s="1"/>
      <c r="AMY39" s="1"/>
      <c r="AMZ39" s="1"/>
      <c r="ANA39" s="1"/>
      <c r="ANB39" s="1"/>
      <c r="ANC39" s="1"/>
      <c r="AND39" s="1"/>
      <c r="ANE39" s="1"/>
      <c r="ANF39" s="1"/>
      <c r="ANG39" s="1"/>
      <c r="ANH39" s="1"/>
      <c r="ANI39" s="1"/>
      <c r="ANJ39" s="1"/>
      <c r="ANK39" s="1"/>
      <c r="ANL39" s="1"/>
      <c r="ANM39" s="1"/>
      <c r="ANN39" s="1"/>
      <c r="ANO39" s="1"/>
      <c r="ANP39" s="1"/>
      <c r="ANQ39" s="1"/>
      <c r="ANR39" s="1"/>
      <c r="ANS39" s="1"/>
      <c r="ANT39" s="1"/>
      <c r="ANU39" s="1"/>
      <c r="ANV39" s="1"/>
      <c r="ANW39" s="1"/>
      <c r="ANX39" s="1"/>
      <c r="ANY39" s="1"/>
      <c r="ANZ39" s="1"/>
      <c r="AOA39" s="1"/>
      <c r="AOB39" s="1"/>
      <c r="AOC39" s="1"/>
      <c r="AOD39" s="1"/>
      <c r="AOE39" s="1"/>
      <c r="AOF39" s="1"/>
      <c r="AOG39" s="1"/>
      <c r="AOH39" s="1"/>
      <c r="AOI39" s="1"/>
      <c r="AOJ39" s="1"/>
      <c r="AOK39" s="1"/>
      <c r="AOL39" s="1"/>
      <c r="AOM39" s="1"/>
      <c r="AON39" s="1"/>
      <c r="AOO39" s="1"/>
      <c r="AOP39" s="1"/>
      <c r="AOQ39" s="1"/>
      <c r="AOR39" s="1"/>
      <c r="AOS39" s="1"/>
      <c r="AOT39" s="1"/>
      <c r="AOU39" s="1"/>
      <c r="AOV39" s="1"/>
      <c r="AOW39" s="1"/>
      <c r="AOX39" s="1"/>
      <c r="AOY39" s="1"/>
      <c r="AOZ39" s="1"/>
      <c r="APA39" s="1"/>
      <c r="APB39" s="1"/>
      <c r="APC39" s="1"/>
      <c r="APD39" s="1"/>
      <c r="APE39" s="1"/>
      <c r="APF39" s="1"/>
      <c r="APG39" s="1"/>
      <c r="APH39" s="1"/>
      <c r="API39" s="1"/>
      <c r="APJ39" s="1"/>
      <c r="APK39" s="1"/>
      <c r="APL39" s="1"/>
      <c r="APM39" s="1"/>
      <c r="APN39" s="1"/>
      <c r="APO39" s="1"/>
      <c r="APP39" s="1"/>
      <c r="APQ39" s="1"/>
      <c r="APR39" s="1"/>
      <c r="APS39" s="1"/>
      <c r="APT39" s="1"/>
      <c r="APU39" s="1"/>
      <c r="APV39" s="1"/>
      <c r="APW39" s="1"/>
      <c r="APX39" s="1"/>
      <c r="APY39" s="1"/>
      <c r="APZ39" s="1"/>
      <c r="AQA39" s="1"/>
      <c r="AQB39" s="1"/>
      <c r="AQC39" s="1"/>
      <c r="AQD39" s="1"/>
      <c r="AQE39" s="1"/>
      <c r="AQF39" s="1"/>
      <c r="AQG39" s="1"/>
      <c r="AQH39" s="1"/>
      <c r="AQI39" s="1"/>
      <c r="AQJ39" s="1"/>
      <c r="AQK39" s="1"/>
      <c r="AQL39" s="1"/>
      <c r="AQM39" s="1"/>
      <c r="AQN39" s="1"/>
      <c r="AQO39" s="1"/>
      <c r="AQP39" s="1"/>
      <c r="AQQ39" s="1"/>
      <c r="AQR39" s="1"/>
      <c r="AQS39" s="1"/>
      <c r="AQT39" s="1"/>
      <c r="AQU39" s="1"/>
      <c r="AQV39" s="1"/>
      <c r="AQW39" s="1"/>
      <c r="AQX39" s="1"/>
      <c r="AQY39" s="1"/>
      <c r="AQZ39" s="1"/>
      <c r="ARA39" s="1"/>
      <c r="ARB39" s="1"/>
      <c r="ARC39" s="1"/>
      <c r="ARD39" s="1"/>
      <c r="ARE39" s="1"/>
      <c r="ARF39" s="1"/>
      <c r="ARG39" s="1"/>
      <c r="ARH39" s="1"/>
      <c r="ARI39" s="1"/>
      <c r="ARJ39" s="1"/>
      <c r="ARK39" s="1"/>
      <c r="ARL39" s="1"/>
      <c r="ARM39" s="1"/>
      <c r="ARN39" s="1"/>
      <c r="ARO39" s="1"/>
      <c r="ARP39" s="1"/>
      <c r="ARQ39" s="1"/>
      <c r="ARR39" s="1"/>
      <c r="ARS39" s="1"/>
      <c r="ART39" s="1"/>
      <c r="ARU39" s="1"/>
      <c r="ARV39" s="1"/>
      <c r="ARW39" s="1"/>
      <c r="ARX39" s="1"/>
      <c r="ARY39" s="1"/>
      <c r="ARZ39" s="1"/>
      <c r="ASA39" s="1"/>
      <c r="ASB39" s="1"/>
      <c r="ASC39" s="1"/>
      <c r="ASD39" s="1"/>
      <c r="ASE39" s="1"/>
      <c r="ASF39" s="1"/>
      <c r="ASG39" s="1"/>
      <c r="ASH39" s="1"/>
      <c r="ASI39" s="1"/>
      <c r="ASJ39" s="1"/>
      <c r="ASK39" s="1"/>
      <c r="ASL39" s="1"/>
      <c r="ASM39" s="1"/>
      <c r="ASN39" s="1"/>
      <c r="ASO39" s="1"/>
      <c r="ASP39" s="1"/>
      <c r="ASQ39" s="1"/>
      <c r="ASR39" s="1"/>
      <c r="ASS39" s="1"/>
      <c r="AST39" s="1"/>
      <c r="ASU39" s="1"/>
      <c r="ASV39" s="1"/>
      <c r="ASW39" s="1"/>
      <c r="ASX39" s="1"/>
      <c r="ASY39" s="1"/>
      <c r="ASZ39" s="1"/>
      <c r="ATA39" s="1"/>
      <c r="ATB39" s="1"/>
      <c r="ATC39" s="1"/>
      <c r="ATD39" s="1"/>
      <c r="ATE39" s="1"/>
      <c r="ATF39" s="1"/>
      <c r="ATG39" s="1"/>
      <c r="ATH39" s="1"/>
      <c r="ATI39" s="1"/>
      <c r="ATJ39" s="1"/>
      <c r="ATK39" s="1"/>
      <c r="ATL39" s="1"/>
      <c r="ATM39" s="1"/>
      <c r="ATN39" s="1"/>
      <c r="ATO39" s="1"/>
      <c r="ATP39" s="1"/>
      <c r="ATQ39" s="1"/>
      <c r="ATR39" s="1"/>
      <c r="ATS39" s="1"/>
      <c r="ATT39" s="1"/>
      <c r="ATU39" s="1"/>
      <c r="ATV39" s="1"/>
      <c r="ATW39" s="1"/>
      <c r="ATX39" s="1"/>
      <c r="ATY39" s="1"/>
      <c r="ATZ39" s="1"/>
      <c r="AUA39" s="1"/>
      <c r="AUB39" s="1"/>
      <c r="AUC39" s="1"/>
      <c r="AUD39" s="1"/>
      <c r="AUE39" s="1"/>
      <c r="AUF39" s="1"/>
      <c r="AUG39" s="1"/>
      <c r="AUH39" s="1"/>
      <c r="AUI39" s="1"/>
      <c r="AUJ39" s="1"/>
      <c r="AUK39" s="1"/>
      <c r="AUL39" s="1"/>
      <c r="AUM39" s="1"/>
      <c r="AUN39" s="1"/>
      <c r="AUO39" s="1"/>
      <c r="AUP39" s="1"/>
      <c r="AUQ39" s="1"/>
      <c r="AUR39" s="1"/>
      <c r="AUS39" s="1"/>
      <c r="AUT39" s="1"/>
      <c r="AUU39" s="1"/>
      <c r="AUV39" s="1"/>
      <c r="AUW39" s="1"/>
      <c r="AUX39" s="1"/>
      <c r="AUY39" s="1"/>
      <c r="AUZ39" s="1"/>
      <c r="AVA39" s="1"/>
      <c r="AVB39" s="1"/>
      <c r="AVC39" s="1"/>
      <c r="AVD39" s="1"/>
      <c r="AVE39" s="1"/>
      <c r="AVF39" s="1"/>
      <c r="AVG39" s="1"/>
      <c r="AVH39" s="1"/>
      <c r="AVI39" s="1"/>
      <c r="AVJ39" s="1"/>
      <c r="AVK39" s="1"/>
      <c r="AVL39" s="1"/>
      <c r="AVM39" s="1"/>
      <c r="AVN39" s="1"/>
      <c r="AVO39" s="1"/>
      <c r="AVP39" s="1"/>
      <c r="AVQ39" s="1"/>
      <c r="AVR39" s="1"/>
      <c r="AVS39" s="1"/>
      <c r="AVT39" s="1">
        <v>157207528</v>
      </c>
      <c r="AVU39" s="1" t="s">
        <v>2725</v>
      </c>
      <c r="AVV39" s="1"/>
      <c r="AVW39" s="1">
        <v>388</v>
      </c>
      <c r="AVX39" s="1"/>
      <c r="AVY39" s="1"/>
      <c r="AVZ39" s="1"/>
      <c r="AWA39" s="1"/>
      <c r="AWB39" s="1"/>
      <c r="AWC39" s="1"/>
      <c r="AWD39" s="1"/>
      <c r="AWE39" s="1"/>
      <c r="AWF39" s="1"/>
      <c r="AWG39" s="1"/>
      <c r="AWH39" s="1"/>
      <c r="AWI39" s="1"/>
      <c r="AWJ39" s="1"/>
      <c r="AWK39" s="1"/>
      <c r="AWL39" s="1"/>
      <c r="AWM39" s="1"/>
      <c r="AWN39" s="1"/>
      <c r="AWO39" s="1"/>
      <c r="AWP39" s="1"/>
      <c r="AWQ39" s="1"/>
      <c r="AWR39" s="1"/>
      <c r="AWS39" s="1"/>
      <c r="AWT39" s="1"/>
      <c r="AWU39" s="1"/>
      <c r="AWV39" s="1"/>
      <c r="AWW39" s="1"/>
      <c r="AWX39" s="1"/>
      <c r="AWY39" s="1"/>
      <c r="AWZ39" s="1"/>
      <c r="AXA39" s="1"/>
      <c r="AXB39" s="1"/>
      <c r="AXC39" s="1"/>
      <c r="AXD39" s="1"/>
      <c r="AXE39" s="1"/>
      <c r="AXF39" s="1"/>
      <c r="AXG39" s="1"/>
      <c r="AXH39" s="1"/>
      <c r="AXI39" s="1"/>
      <c r="AXJ39" s="1"/>
      <c r="AXK39" s="1"/>
      <c r="AXL39" s="1"/>
      <c r="AXM39" s="1"/>
      <c r="AXN39" s="1"/>
      <c r="AXO39" s="56"/>
      <c r="AXP39" s="56"/>
      <c r="AXQ39" s="56"/>
      <c r="AXR39" s="56"/>
      <c r="AXS39" s="56"/>
      <c r="AXV39" s="1"/>
      <c r="AXW39" s="1"/>
      <c r="AXX39" s="1"/>
      <c r="AXY39" s="1"/>
      <c r="AXZ39" s="1"/>
    </row>
    <row r="40" spans="1:1326" x14ac:dyDescent="0.3">
      <c r="DR40" s="2"/>
      <c r="DS40" s="2"/>
      <c r="DT40" s="2"/>
      <c r="DU40" s="2"/>
      <c r="DV40" s="2"/>
      <c r="DY40" s="2"/>
      <c r="DZ40" s="2"/>
      <c r="EA40" s="2"/>
      <c r="EB40" s="2"/>
      <c r="EC40" s="2"/>
      <c r="ED40" s="2"/>
      <c r="EE40" s="2"/>
      <c r="EF40" s="2"/>
      <c r="EG40" s="2"/>
      <c r="EH40" s="2"/>
      <c r="EI40" s="2"/>
      <c r="EJ40" s="2"/>
      <c r="EK40" s="2"/>
      <c r="EN40" s="2"/>
      <c r="EO40" s="2"/>
      <c r="EP40" s="2"/>
      <c r="EQ40" s="2"/>
      <c r="ER40" s="2"/>
      <c r="ES40" s="2"/>
      <c r="ET40" s="2"/>
      <c r="EU40" s="2"/>
      <c r="EV40" s="2"/>
      <c r="EW40" s="2"/>
      <c r="EX40" s="2"/>
      <c r="EY40" s="2"/>
      <c r="EZ40" s="2"/>
      <c r="FD40" s="2"/>
      <c r="FE40" s="2"/>
      <c r="FF40" s="2"/>
      <c r="FG40" s="2"/>
      <c r="FH40" s="2"/>
      <c r="FI40" s="2"/>
      <c r="FJ40" s="2"/>
      <c r="FM40" s="2"/>
      <c r="FN40" s="2"/>
      <c r="FO40" s="2"/>
      <c r="FP40" s="2"/>
      <c r="FQ40" s="2"/>
      <c r="FR40" s="2"/>
      <c r="FS40" s="2"/>
      <c r="FT40" s="2"/>
      <c r="FU40" s="2"/>
      <c r="FV40" s="2"/>
      <c r="FW40" s="2"/>
      <c r="FX40" s="2"/>
      <c r="FY40" s="2"/>
      <c r="GJ40" s="2"/>
      <c r="GK40" s="2"/>
      <c r="GL40" s="2"/>
      <c r="GM40" s="2"/>
      <c r="GN40" s="2"/>
      <c r="GO40" s="2"/>
      <c r="GP40" s="2"/>
      <c r="GQ40" s="2"/>
      <c r="GR40" s="2"/>
      <c r="GS40" s="2"/>
      <c r="GT40" s="2"/>
      <c r="GU40" s="2"/>
      <c r="GV40" s="2"/>
    </row>
    <row r="41" spans="1:1326" x14ac:dyDescent="0.3">
      <c r="DR41" s="2"/>
      <c r="DS41" s="2"/>
      <c r="DT41" s="2"/>
      <c r="DU41" s="2"/>
      <c r="DV41" s="2"/>
      <c r="DY41" s="2"/>
      <c r="DZ41" s="2"/>
      <c r="EA41" s="2"/>
      <c r="EB41" s="2"/>
      <c r="EC41" s="2"/>
      <c r="ED41" s="2"/>
      <c r="EE41" s="2"/>
      <c r="EF41" s="2"/>
      <c r="EG41" s="2"/>
      <c r="EH41" s="2"/>
      <c r="EI41" s="2"/>
      <c r="EJ41" s="2"/>
      <c r="EK41" s="2"/>
      <c r="EN41" s="2"/>
      <c r="EO41" s="2"/>
      <c r="EP41" s="2"/>
      <c r="EQ41" s="2"/>
      <c r="ER41" s="2"/>
      <c r="ES41" s="2"/>
      <c r="ET41" s="2"/>
      <c r="EU41" s="2"/>
      <c r="EV41" s="2"/>
      <c r="EW41" s="2"/>
      <c r="EX41" s="2"/>
      <c r="EY41" s="2"/>
      <c r="EZ41" s="2"/>
      <c r="FD41" s="2"/>
      <c r="FE41" s="2"/>
      <c r="FF41" s="2"/>
      <c r="FG41" s="2"/>
      <c r="FH41" s="2"/>
      <c r="FI41" s="2"/>
      <c r="FJ41" s="2"/>
      <c r="FM41" s="2"/>
      <c r="FN41" s="2"/>
      <c r="FO41" s="2"/>
      <c r="FP41" s="2"/>
      <c r="FQ41" s="2"/>
      <c r="FR41" s="2"/>
      <c r="FS41" s="2"/>
      <c r="FT41" s="2"/>
      <c r="FU41" s="2"/>
      <c r="FV41" s="2"/>
      <c r="FW41" s="2"/>
      <c r="FX41" s="2"/>
      <c r="FY41" s="2"/>
      <c r="GJ41" s="2"/>
      <c r="GK41" s="2"/>
      <c r="GL41" s="2"/>
      <c r="GM41" s="2"/>
      <c r="GN41" s="2"/>
      <c r="GO41" s="2"/>
      <c r="GP41" s="2"/>
      <c r="GQ41" s="2"/>
      <c r="GR41" s="2"/>
      <c r="GS41" s="2"/>
      <c r="GT41" s="2"/>
      <c r="GU41" s="2"/>
      <c r="GV41" s="2"/>
    </row>
    <row r="42" spans="1:1326" x14ac:dyDescent="0.3">
      <c r="RU42" s="56"/>
      <c r="SF42" s="56"/>
    </row>
    <row r="43" spans="1:1326" x14ac:dyDescent="0.3">
      <c r="DR43" s="2"/>
      <c r="DS43" s="2"/>
      <c r="DT43" s="2"/>
      <c r="DU43" s="2"/>
      <c r="DV43" s="2"/>
      <c r="DY43" s="2"/>
      <c r="DZ43" s="2"/>
      <c r="EA43" s="2"/>
      <c r="EB43" s="2"/>
      <c r="EC43" s="2"/>
      <c r="ED43" s="2"/>
      <c r="EE43" s="2"/>
      <c r="EF43" s="2"/>
      <c r="EG43" s="2"/>
      <c r="EH43" s="2"/>
      <c r="EI43" s="2"/>
      <c r="EJ43" s="2"/>
      <c r="EK43" s="2"/>
      <c r="EN43" s="2"/>
      <c r="EO43" s="2"/>
      <c r="EP43" s="2"/>
      <c r="EQ43" s="2"/>
      <c r="ER43" s="2"/>
      <c r="ES43" s="2"/>
      <c r="ET43" s="2"/>
      <c r="EU43" s="2"/>
      <c r="EV43" s="2"/>
      <c r="EW43" s="2"/>
      <c r="EX43" s="2"/>
      <c r="EY43" s="2"/>
      <c r="EZ43" s="2"/>
      <c r="GJ43" s="2"/>
      <c r="GK43" s="2"/>
      <c r="GL43" s="2"/>
      <c r="GM43" s="2"/>
      <c r="GN43" s="2"/>
      <c r="GO43" s="2"/>
      <c r="GP43" s="2"/>
      <c r="GQ43" s="2"/>
      <c r="GR43" s="2"/>
      <c r="GS43" s="2"/>
      <c r="GT43" s="2"/>
      <c r="GU43" s="2"/>
      <c r="GV43" s="2"/>
    </row>
    <row r="44" spans="1:1326" x14ac:dyDescent="0.3">
      <c r="DR44" s="2"/>
      <c r="DS44" s="2"/>
      <c r="DT44" s="2"/>
      <c r="DU44" s="2"/>
      <c r="DV44" s="2"/>
      <c r="DY44" s="2"/>
      <c r="DZ44" s="2"/>
      <c r="EA44" s="2"/>
      <c r="EB44" s="2"/>
      <c r="EC44" s="2"/>
      <c r="ED44" s="2"/>
      <c r="EE44" s="2"/>
      <c r="EF44" s="2"/>
      <c r="EG44" s="2"/>
      <c r="EH44" s="2"/>
      <c r="EI44" s="2"/>
      <c r="EJ44" s="2"/>
      <c r="EK44" s="2"/>
      <c r="EN44" s="2"/>
      <c r="EO44" s="2"/>
      <c r="EP44" s="2"/>
      <c r="EQ44" s="2"/>
      <c r="ER44" s="2"/>
      <c r="ES44" s="2"/>
      <c r="ET44" s="2"/>
      <c r="EU44" s="2"/>
      <c r="EV44" s="2"/>
      <c r="EW44" s="2"/>
      <c r="EX44" s="2"/>
      <c r="EY44" s="2"/>
      <c r="EZ44" s="2"/>
      <c r="FD44" s="2"/>
      <c r="FE44" s="2"/>
      <c r="FF44" s="2"/>
      <c r="FG44" s="2"/>
      <c r="FH44" s="2"/>
      <c r="FI44" s="2"/>
      <c r="FJ44" s="2"/>
      <c r="FM44" s="2"/>
      <c r="FN44" s="2"/>
      <c r="FO44" s="2"/>
      <c r="FP44" s="2"/>
      <c r="FQ44" s="2"/>
      <c r="FR44" s="2"/>
      <c r="FS44" s="2"/>
      <c r="FT44" s="2"/>
      <c r="FU44" s="2"/>
      <c r="FV44" s="2"/>
      <c r="FW44" s="2"/>
      <c r="FX44" s="2"/>
      <c r="FY44" s="2"/>
      <c r="GJ44" s="2"/>
      <c r="GK44" s="2"/>
      <c r="GL44" s="2"/>
      <c r="GM44" s="2"/>
      <c r="GN44" s="2"/>
      <c r="GO44" s="2"/>
      <c r="GP44" s="2"/>
      <c r="GQ44" s="2"/>
      <c r="GR44" s="2"/>
      <c r="GS44" s="2"/>
      <c r="GT44" s="2"/>
      <c r="GU44" s="2"/>
      <c r="GV44" s="2"/>
    </row>
    <row r="45" spans="1:1326" x14ac:dyDescent="0.3">
      <c r="DR45" s="2"/>
      <c r="DS45" s="2"/>
      <c r="DT45" s="2"/>
      <c r="DU45" s="2"/>
      <c r="DV45" s="2"/>
      <c r="DY45" s="2"/>
      <c r="DZ45" s="2"/>
      <c r="EA45" s="2"/>
      <c r="EB45" s="2"/>
      <c r="EC45" s="2"/>
      <c r="ED45" s="2"/>
      <c r="EE45" s="2"/>
      <c r="EF45" s="2"/>
      <c r="EG45" s="2"/>
      <c r="EH45" s="2"/>
      <c r="EI45" s="2"/>
      <c r="EJ45" s="2"/>
      <c r="EK45" s="2"/>
      <c r="EN45" s="2"/>
      <c r="EO45" s="2"/>
      <c r="EP45" s="2"/>
      <c r="EQ45" s="2"/>
      <c r="ER45" s="2"/>
      <c r="ES45" s="2"/>
      <c r="ET45" s="2"/>
      <c r="EU45" s="2"/>
      <c r="EV45" s="2"/>
      <c r="EW45" s="2"/>
      <c r="EX45" s="2"/>
      <c r="EY45" s="2"/>
      <c r="EZ45" s="2"/>
      <c r="GJ45" s="2"/>
      <c r="GK45" s="2"/>
      <c r="GL45" s="2"/>
      <c r="GM45" s="2"/>
      <c r="GN45" s="2"/>
      <c r="GO45" s="2"/>
      <c r="GP45" s="2"/>
      <c r="GQ45" s="2"/>
      <c r="GR45" s="2"/>
      <c r="GS45" s="2"/>
      <c r="GT45" s="2"/>
      <c r="GU45" s="2"/>
      <c r="GV45" s="2"/>
    </row>
    <row r="46" spans="1:1326" x14ac:dyDescent="0.3">
      <c r="GJ46" s="2"/>
      <c r="GK46" s="2"/>
      <c r="GL46" s="2"/>
      <c r="GM46" s="2"/>
      <c r="GN46" s="2"/>
      <c r="GO46" s="2"/>
      <c r="GP46" s="2"/>
      <c r="GQ46" s="2"/>
      <c r="GR46" s="2"/>
      <c r="GS46" s="2"/>
      <c r="GT46" s="2"/>
      <c r="GU46" s="2"/>
      <c r="GV46" s="2"/>
    </row>
    <row r="47" spans="1:1326" x14ac:dyDescent="0.3">
      <c r="DR47" s="2"/>
      <c r="DS47" s="2"/>
      <c r="DT47" s="2"/>
      <c r="DU47" s="2"/>
      <c r="DV47" s="2"/>
      <c r="DY47" s="2"/>
      <c r="DZ47" s="2"/>
      <c r="EA47" s="2"/>
      <c r="EB47" s="2"/>
      <c r="EC47" s="2"/>
      <c r="ED47" s="2"/>
      <c r="EE47" s="2"/>
      <c r="EF47" s="2"/>
      <c r="EG47" s="2"/>
      <c r="EH47" s="2"/>
      <c r="EI47" s="2"/>
      <c r="EJ47" s="2"/>
      <c r="EK47" s="2"/>
      <c r="EN47" s="2"/>
      <c r="EO47" s="2"/>
      <c r="EP47" s="2"/>
      <c r="EQ47" s="2"/>
      <c r="ER47" s="2"/>
      <c r="ES47" s="2"/>
      <c r="ET47" s="2"/>
      <c r="EU47" s="2"/>
      <c r="EV47" s="2"/>
      <c r="EW47" s="2"/>
      <c r="EX47" s="2"/>
      <c r="EY47" s="2"/>
      <c r="EZ47" s="2"/>
      <c r="GJ47" s="2"/>
      <c r="GK47" s="2"/>
      <c r="GL47" s="2"/>
      <c r="GM47" s="2"/>
      <c r="GN47" s="2"/>
      <c r="GO47" s="2"/>
      <c r="GP47" s="2"/>
      <c r="GQ47" s="2"/>
      <c r="GR47" s="2"/>
      <c r="GS47" s="2"/>
      <c r="GT47" s="2"/>
      <c r="GU47" s="2"/>
      <c r="GV47" s="2"/>
    </row>
    <row r="48" spans="1:1326" x14ac:dyDescent="0.3">
      <c r="DR48" s="2"/>
      <c r="DS48" s="2"/>
      <c r="DT48" s="2"/>
      <c r="DU48" s="2"/>
      <c r="DV48" s="2"/>
      <c r="DY48" s="2"/>
      <c r="DZ48" s="2"/>
      <c r="EA48" s="2"/>
      <c r="EB48" s="2"/>
      <c r="EC48" s="2"/>
      <c r="ED48" s="2"/>
      <c r="EE48" s="2"/>
      <c r="EF48" s="2"/>
      <c r="EG48" s="2"/>
      <c r="EH48" s="2"/>
      <c r="EI48" s="2"/>
      <c r="EJ48" s="2"/>
      <c r="EK48" s="2"/>
      <c r="EN48" s="2"/>
      <c r="EO48" s="2"/>
      <c r="EP48" s="2"/>
      <c r="EQ48" s="2"/>
      <c r="ER48" s="2"/>
      <c r="ES48" s="2"/>
      <c r="ET48" s="2"/>
      <c r="EU48" s="2"/>
      <c r="EV48" s="2"/>
      <c r="EW48" s="2"/>
      <c r="EX48" s="2"/>
      <c r="EY48" s="2"/>
      <c r="EZ48" s="2"/>
      <c r="FD48" s="2"/>
      <c r="FE48" s="2"/>
      <c r="FF48" s="2"/>
      <c r="FG48" s="2"/>
      <c r="FH48" s="2"/>
      <c r="FI48" s="2"/>
      <c r="FJ48" s="2"/>
      <c r="FM48" s="2"/>
      <c r="FN48" s="2"/>
      <c r="FO48" s="2"/>
      <c r="FP48" s="2"/>
      <c r="FQ48" s="2"/>
      <c r="FR48" s="2"/>
      <c r="FS48" s="2"/>
      <c r="FT48" s="2"/>
      <c r="FU48" s="2"/>
      <c r="FV48" s="2"/>
      <c r="FW48" s="2"/>
      <c r="FX48" s="2"/>
      <c r="FY48" s="2"/>
      <c r="GJ48" s="2"/>
      <c r="GK48" s="2"/>
      <c r="GL48" s="2"/>
      <c r="GM48" s="2"/>
      <c r="GN48" s="2"/>
      <c r="GO48" s="2"/>
      <c r="GP48" s="2"/>
      <c r="GQ48" s="2"/>
      <c r="GR48" s="2"/>
      <c r="GS48" s="2"/>
      <c r="GT48" s="2"/>
      <c r="GU48" s="2"/>
      <c r="GV48" s="2"/>
    </row>
    <row r="49" spans="122:869" x14ac:dyDescent="0.3">
      <c r="DR49" s="2"/>
      <c r="DS49" s="2"/>
      <c r="DT49" s="2"/>
      <c r="DU49" s="2"/>
      <c r="DV49" s="2"/>
      <c r="DY49" s="2"/>
      <c r="DZ49" s="2"/>
      <c r="EA49" s="2"/>
      <c r="EB49" s="2"/>
      <c r="EC49" s="2"/>
      <c r="ED49" s="2"/>
      <c r="EE49" s="2"/>
      <c r="EF49" s="2"/>
      <c r="EG49" s="2"/>
      <c r="EH49" s="2"/>
      <c r="EI49" s="2"/>
      <c r="EJ49" s="2"/>
      <c r="EK49" s="2"/>
      <c r="EN49" s="2"/>
      <c r="EO49" s="2"/>
      <c r="EP49" s="2"/>
      <c r="EQ49" s="2"/>
      <c r="ER49" s="2"/>
      <c r="ES49" s="2"/>
      <c r="ET49" s="2"/>
      <c r="EU49" s="2"/>
      <c r="EV49" s="2"/>
      <c r="EW49" s="2"/>
      <c r="EX49" s="2"/>
      <c r="EY49" s="2"/>
      <c r="EZ49" s="2"/>
      <c r="GJ49" s="2"/>
      <c r="GK49" s="2"/>
      <c r="GL49" s="2"/>
      <c r="GM49" s="2"/>
      <c r="GN49" s="2"/>
      <c r="GO49" s="2"/>
      <c r="GP49" s="2"/>
      <c r="GQ49" s="2"/>
      <c r="GR49" s="2"/>
      <c r="GS49" s="2"/>
      <c r="GT49" s="2"/>
      <c r="GU49" s="2"/>
      <c r="GV49" s="2"/>
    </row>
    <row r="50" spans="122:869" x14ac:dyDescent="0.3">
      <c r="DR50" s="2"/>
      <c r="DS50" s="2"/>
      <c r="DT50" s="2"/>
      <c r="DU50" s="2"/>
      <c r="DV50" s="2"/>
      <c r="DY50" s="2"/>
      <c r="DZ50" s="2"/>
      <c r="EA50" s="2"/>
      <c r="EB50" s="2"/>
      <c r="EC50" s="2"/>
      <c r="ED50" s="2"/>
      <c r="EE50" s="2"/>
      <c r="EF50" s="2"/>
      <c r="EG50" s="2"/>
      <c r="EH50" s="2"/>
      <c r="EI50" s="2"/>
      <c r="EJ50" s="2"/>
      <c r="EK50" s="2"/>
      <c r="EN50" s="2"/>
      <c r="EO50" s="2"/>
      <c r="EP50" s="2"/>
      <c r="EQ50" s="2"/>
      <c r="ER50" s="2"/>
      <c r="ES50" s="2"/>
      <c r="ET50" s="2"/>
      <c r="EU50" s="2"/>
      <c r="EV50" s="2"/>
      <c r="EW50" s="2"/>
      <c r="EX50" s="2"/>
      <c r="EY50" s="2"/>
      <c r="EZ50" s="2"/>
      <c r="FD50" s="2"/>
      <c r="FE50" s="2"/>
      <c r="FF50" s="2"/>
      <c r="FG50" s="2"/>
      <c r="FH50" s="2"/>
      <c r="FI50" s="2"/>
      <c r="FJ50" s="2"/>
      <c r="FM50" s="2"/>
      <c r="FN50" s="2"/>
      <c r="FO50" s="2"/>
      <c r="FP50" s="2"/>
      <c r="FQ50" s="2"/>
      <c r="FR50" s="2"/>
      <c r="FS50" s="2"/>
      <c r="FT50" s="2"/>
      <c r="FU50" s="2"/>
      <c r="FV50" s="2"/>
      <c r="FW50" s="2"/>
      <c r="FX50" s="2"/>
      <c r="FY50" s="2"/>
      <c r="GJ50" s="2"/>
      <c r="GK50" s="2"/>
      <c r="GL50" s="2"/>
      <c r="GM50" s="2"/>
      <c r="GN50" s="2"/>
      <c r="GO50" s="2"/>
      <c r="GP50" s="2"/>
      <c r="GQ50" s="2"/>
      <c r="GR50" s="2"/>
      <c r="GS50" s="2"/>
      <c r="GT50" s="2"/>
      <c r="GU50" s="2"/>
      <c r="GV50" s="2"/>
    </row>
    <row r="51" spans="122:869" x14ac:dyDescent="0.3">
      <c r="DR51" s="2"/>
      <c r="DS51" s="2"/>
      <c r="DT51" s="2"/>
      <c r="DU51" s="2"/>
      <c r="DV51" s="2"/>
      <c r="DY51" s="2"/>
      <c r="DZ51" s="2"/>
      <c r="EA51" s="2"/>
      <c r="EB51" s="2"/>
      <c r="EC51" s="2"/>
      <c r="ED51" s="2"/>
      <c r="EE51" s="2"/>
      <c r="EF51" s="2"/>
      <c r="EG51" s="2"/>
      <c r="EH51" s="2"/>
      <c r="EI51" s="2"/>
      <c r="EJ51" s="2"/>
      <c r="EK51" s="2"/>
      <c r="EN51" s="2"/>
      <c r="EO51" s="2"/>
      <c r="EP51" s="2"/>
      <c r="EQ51" s="2"/>
      <c r="ER51" s="2"/>
      <c r="ES51" s="2"/>
      <c r="ET51" s="2"/>
      <c r="EU51" s="2"/>
      <c r="EV51" s="2"/>
      <c r="EW51" s="2"/>
      <c r="EX51" s="2"/>
      <c r="EY51" s="2"/>
      <c r="EZ51" s="2"/>
      <c r="FD51" s="2"/>
      <c r="FE51" s="2"/>
      <c r="FF51" s="2"/>
      <c r="FG51" s="2"/>
      <c r="FH51" s="2"/>
      <c r="FI51" s="2"/>
      <c r="FJ51" s="2"/>
      <c r="FM51" s="2"/>
      <c r="FN51" s="2"/>
      <c r="FO51" s="2"/>
      <c r="FP51" s="2"/>
      <c r="FQ51" s="2"/>
      <c r="FR51" s="2"/>
      <c r="FS51" s="2"/>
      <c r="FT51" s="2"/>
      <c r="FU51" s="2"/>
      <c r="FV51" s="2"/>
      <c r="FW51" s="2"/>
      <c r="FX51" s="2"/>
      <c r="FY51" s="2"/>
      <c r="GJ51" s="2"/>
      <c r="GK51" s="2"/>
      <c r="GL51" s="2"/>
      <c r="GM51" s="2"/>
      <c r="GN51" s="2"/>
      <c r="GO51" s="2"/>
      <c r="GP51" s="2"/>
      <c r="GQ51" s="2"/>
      <c r="GR51" s="2"/>
      <c r="GS51" s="2"/>
      <c r="GT51" s="2"/>
      <c r="GU51" s="2"/>
      <c r="GV51" s="2"/>
    </row>
    <row r="52" spans="122:869" x14ac:dyDescent="0.3">
      <c r="DR52" s="2"/>
      <c r="DS52" s="2"/>
      <c r="DT52" s="2"/>
      <c r="DU52" s="2"/>
      <c r="DV52" s="2"/>
      <c r="DY52" s="2"/>
      <c r="DZ52" s="2"/>
      <c r="EA52" s="2"/>
      <c r="EB52" s="2"/>
      <c r="EC52" s="2"/>
      <c r="ED52" s="2"/>
      <c r="EE52" s="2"/>
      <c r="EF52" s="2"/>
      <c r="EG52" s="2"/>
      <c r="EH52" s="2"/>
      <c r="EI52" s="2"/>
      <c r="EJ52" s="2"/>
      <c r="EK52" s="2"/>
      <c r="EN52" s="2"/>
      <c r="EO52" s="2"/>
      <c r="EP52" s="2"/>
      <c r="EQ52" s="2"/>
      <c r="ER52" s="2"/>
      <c r="ES52" s="2"/>
      <c r="ET52" s="2"/>
      <c r="EU52" s="2"/>
      <c r="EV52" s="2"/>
      <c r="EW52" s="2"/>
      <c r="EX52" s="2"/>
      <c r="EY52" s="2"/>
      <c r="EZ52" s="2"/>
      <c r="FD52" s="2"/>
      <c r="FE52" s="2"/>
      <c r="FF52" s="2"/>
      <c r="FG52" s="2"/>
      <c r="FH52" s="2"/>
      <c r="FI52" s="2"/>
      <c r="FJ52" s="2"/>
      <c r="FM52" s="2"/>
      <c r="FN52" s="2"/>
      <c r="FO52" s="2"/>
      <c r="FP52" s="2"/>
      <c r="FQ52" s="2"/>
      <c r="FR52" s="2"/>
      <c r="FS52" s="2"/>
      <c r="FT52" s="2"/>
      <c r="FU52" s="2"/>
      <c r="FV52" s="2"/>
      <c r="FW52" s="2"/>
      <c r="FX52" s="2"/>
      <c r="FY52" s="2"/>
      <c r="GJ52" s="2"/>
      <c r="GK52" s="2"/>
      <c r="GL52" s="2"/>
      <c r="GM52" s="2"/>
      <c r="GN52" s="2"/>
      <c r="GO52" s="2"/>
      <c r="GP52" s="2"/>
      <c r="GQ52" s="2"/>
      <c r="GR52" s="2"/>
      <c r="GS52" s="2"/>
      <c r="GT52" s="2"/>
      <c r="GU52" s="2"/>
      <c r="GV52" s="2"/>
    </row>
    <row r="53" spans="122:869" x14ac:dyDescent="0.3">
      <c r="DR53" s="2"/>
      <c r="DS53" s="2"/>
      <c r="DT53" s="2"/>
      <c r="DU53" s="2"/>
      <c r="DV53" s="2"/>
      <c r="DY53" s="2"/>
      <c r="DZ53" s="2"/>
      <c r="EA53" s="2"/>
      <c r="EB53" s="2"/>
      <c r="EC53" s="2"/>
      <c r="ED53" s="2"/>
      <c r="EE53" s="2"/>
      <c r="EF53" s="2"/>
      <c r="EG53" s="2"/>
      <c r="EH53" s="2"/>
      <c r="EI53" s="2"/>
      <c r="EJ53" s="2"/>
      <c r="EK53" s="2"/>
      <c r="EN53" s="2"/>
      <c r="EO53" s="2"/>
      <c r="EP53" s="2"/>
      <c r="EQ53" s="2"/>
      <c r="ER53" s="2"/>
      <c r="ES53" s="2"/>
      <c r="ET53" s="2"/>
      <c r="EU53" s="2"/>
      <c r="EV53" s="2"/>
      <c r="EW53" s="2"/>
      <c r="EX53" s="2"/>
      <c r="EY53" s="2"/>
      <c r="EZ53" s="2"/>
      <c r="FD53" s="2"/>
      <c r="FE53" s="2"/>
      <c r="FF53" s="2"/>
      <c r="FG53" s="2"/>
      <c r="FH53" s="2"/>
      <c r="FI53" s="2"/>
      <c r="FJ53" s="2"/>
      <c r="FM53" s="2"/>
      <c r="FN53" s="2"/>
      <c r="FO53" s="2"/>
      <c r="FP53" s="2"/>
      <c r="FQ53" s="2"/>
      <c r="FR53" s="2"/>
      <c r="FS53" s="2"/>
      <c r="FT53" s="2"/>
      <c r="FU53" s="2"/>
      <c r="FV53" s="2"/>
      <c r="FW53" s="2"/>
      <c r="FX53" s="2"/>
      <c r="FY53" s="2"/>
      <c r="GJ53" s="2"/>
      <c r="GK53" s="2"/>
      <c r="GL53" s="2"/>
      <c r="GM53" s="2"/>
      <c r="GN53" s="2"/>
      <c r="GO53" s="2"/>
      <c r="GP53" s="2"/>
      <c r="GQ53" s="2"/>
      <c r="GR53" s="2"/>
      <c r="GS53" s="2"/>
      <c r="GT53" s="2"/>
      <c r="GU53" s="2"/>
      <c r="GV53" s="2"/>
    </row>
    <row r="54" spans="122:869" x14ac:dyDescent="0.3">
      <c r="ZT54" s="62"/>
      <c r="AGK54" s="85"/>
    </row>
    <row r="55" spans="122:869" x14ac:dyDescent="0.3">
      <c r="DR55" s="2"/>
      <c r="DS55" s="2"/>
      <c r="DT55" s="2"/>
      <c r="DU55" s="2"/>
      <c r="DV55" s="2"/>
      <c r="DY55" s="2"/>
      <c r="DZ55" s="2"/>
      <c r="EA55" s="2"/>
      <c r="EB55" s="2"/>
      <c r="EC55" s="2"/>
      <c r="ED55" s="2"/>
      <c r="EE55" s="2"/>
      <c r="EF55" s="2"/>
      <c r="EG55" s="2"/>
      <c r="EH55" s="2"/>
      <c r="EI55" s="2"/>
      <c r="EJ55" s="2"/>
      <c r="EK55" s="2"/>
      <c r="EN55" s="2"/>
      <c r="EO55" s="2"/>
      <c r="EP55" s="2"/>
      <c r="EQ55" s="2"/>
      <c r="ER55" s="2"/>
      <c r="ES55" s="2"/>
      <c r="ET55" s="2"/>
      <c r="EU55" s="2"/>
      <c r="EV55" s="2"/>
      <c r="EW55" s="2"/>
      <c r="EX55" s="2"/>
      <c r="EY55" s="2"/>
      <c r="EZ55" s="2"/>
      <c r="GJ55" s="2"/>
      <c r="GK55" s="2"/>
      <c r="GL55" s="2"/>
      <c r="GM55" s="2"/>
      <c r="GN55" s="2"/>
      <c r="GO55" s="2"/>
      <c r="GP55" s="2"/>
      <c r="GQ55" s="2"/>
      <c r="GR55" s="2"/>
      <c r="GS55" s="2"/>
      <c r="GT55" s="2"/>
      <c r="GU55" s="2"/>
      <c r="GV55" s="2"/>
    </row>
    <row r="56" spans="122:869" x14ac:dyDescent="0.3">
      <c r="ZT56" s="62"/>
    </row>
    <row r="57" spans="122:869" x14ac:dyDescent="0.3">
      <c r="DR57" s="2"/>
      <c r="DS57" s="2"/>
      <c r="DT57" s="2"/>
      <c r="DU57" s="2"/>
      <c r="DV57" s="2"/>
      <c r="DY57" s="2"/>
      <c r="DZ57" s="2"/>
      <c r="EA57" s="2"/>
      <c r="EB57" s="2"/>
      <c r="EC57" s="2"/>
      <c r="ED57" s="2"/>
      <c r="EE57" s="2"/>
      <c r="EF57" s="2"/>
      <c r="EG57" s="2"/>
      <c r="EH57" s="2"/>
      <c r="EI57" s="2"/>
      <c r="EJ57" s="2"/>
      <c r="EK57" s="2"/>
      <c r="EN57" s="2"/>
      <c r="EO57" s="2"/>
      <c r="EP57" s="2"/>
      <c r="EQ57" s="2"/>
      <c r="ER57" s="2"/>
      <c r="ES57" s="2"/>
      <c r="ET57" s="2"/>
      <c r="EU57" s="2"/>
      <c r="EV57" s="2"/>
      <c r="EW57" s="2"/>
      <c r="EX57" s="2"/>
      <c r="EY57" s="2"/>
      <c r="EZ57" s="2"/>
      <c r="GJ57" s="2"/>
      <c r="GK57" s="2"/>
      <c r="GL57" s="2"/>
      <c r="GM57" s="2"/>
      <c r="GN57" s="2"/>
      <c r="GO57" s="2"/>
      <c r="GP57" s="2"/>
      <c r="GQ57" s="2"/>
      <c r="GR57" s="2"/>
      <c r="GS57" s="2"/>
      <c r="GT57" s="2"/>
      <c r="GU57" s="2"/>
      <c r="GV57" s="2"/>
    </row>
    <row r="58" spans="122:869" x14ac:dyDescent="0.3">
      <c r="ZS58" s="56"/>
      <c r="ZT58" s="62"/>
      <c r="ZU58" s="56"/>
    </row>
    <row r="61" spans="122:869" x14ac:dyDescent="0.3">
      <c r="DR61" s="2"/>
      <c r="DS61" s="2"/>
      <c r="DT61" s="2"/>
      <c r="DU61" s="2"/>
      <c r="DV61" s="2"/>
      <c r="DY61" s="2"/>
      <c r="DZ61" s="2"/>
      <c r="EA61" s="2"/>
      <c r="EB61" s="2"/>
      <c r="EC61" s="2"/>
      <c r="ED61" s="2"/>
      <c r="EE61" s="2"/>
      <c r="EF61" s="2"/>
      <c r="EG61" s="2"/>
      <c r="EH61" s="2"/>
      <c r="EI61" s="2"/>
      <c r="EJ61" s="2"/>
      <c r="EK61" s="2"/>
      <c r="EN61" s="2"/>
      <c r="EO61" s="2"/>
      <c r="EP61" s="2"/>
      <c r="EQ61" s="2"/>
      <c r="ER61" s="2"/>
      <c r="ES61" s="2"/>
      <c r="ET61" s="2"/>
      <c r="EU61" s="2"/>
      <c r="EV61" s="2"/>
      <c r="EW61" s="2"/>
      <c r="EX61" s="2"/>
      <c r="EY61" s="2"/>
      <c r="EZ61" s="2"/>
      <c r="GJ61" s="2"/>
      <c r="GK61" s="2"/>
      <c r="GL61" s="2"/>
      <c r="GM61" s="2"/>
      <c r="GN61" s="2"/>
      <c r="GO61" s="2"/>
      <c r="GP61" s="2"/>
      <c r="GQ61" s="2"/>
      <c r="GR61" s="2"/>
      <c r="GS61" s="2"/>
      <c r="GT61" s="2"/>
      <c r="GU61" s="2"/>
      <c r="GV61" s="2"/>
    </row>
    <row r="62" spans="122:869" x14ac:dyDescent="0.3">
      <c r="DR62" s="2"/>
      <c r="DS62" s="2"/>
      <c r="DT62" s="2"/>
      <c r="DU62" s="2"/>
      <c r="DV62" s="2"/>
      <c r="DY62" s="2"/>
      <c r="DZ62" s="2"/>
      <c r="EA62" s="2"/>
      <c r="EB62" s="2"/>
      <c r="EC62" s="2"/>
      <c r="ED62" s="2"/>
      <c r="EE62" s="2"/>
      <c r="EF62" s="2"/>
      <c r="EG62" s="2"/>
      <c r="EH62" s="2"/>
      <c r="EI62" s="2"/>
      <c r="EJ62" s="2"/>
      <c r="EK62" s="2"/>
      <c r="EN62" s="2"/>
      <c r="EO62" s="2"/>
      <c r="EP62" s="2"/>
      <c r="EQ62" s="2"/>
      <c r="ER62" s="2"/>
      <c r="ES62" s="2"/>
      <c r="ET62" s="2"/>
      <c r="EU62" s="2"/>
      <c r="EV62" s="2"/>
      <c r="EW62" s="2"/>
      <c r="EX62" s="2"/>
      <c r="EY62" s="2"/>
      <c r="EZ62" s="2"/>
      <c r="GJ62" s="2"/>
      <c r="GK62" s="2"/>
      <c r="GL62" s="2"/>
      <c r="GM62" s="2"/>
      <c r="GN62" s="2"/>
      <c r="GO62" s="2"/>
      <c r="GP62" s="2"/>
      <c r="GQ62" s="2"/>
      <c r="GR62" s="2"/>
      <c r="GS62" s="2"/>
      <c r="GT62" s="2"/>
      <c r="GU62" s="2"/>
      <c r="GV62" s="2"/>
    </row>
    <row r="63" spans="122:869" x14ac:dyDescent="0.3">
      <c r="DR63" s="2"/>
      <c r="DS63" s="2"/>
      <c r="DT63" s="2"/>
      <c r="DU63" s="2"/>
      <c r="DV63" s="2"/>
      <c r="DY63" s="2"/>
      <c r="DZ63" s="2"/>
      <c r="EA63" s="2"/>
      <c r="EB63" s="2"/>
      <c r="EC63" s="2"/>
      <c r="ED63" s="2"/>
      <c r="EE63" s="2"/>
      <c r="EF63" s="2"/>
      <c r="EG63" s="2"/>
      <c r="EH63" s="2"/>
      <c r="EI63" s="2"/>
      <c r="EJ63" s="2"/>
      <c r="EK63" s="2"/>
      <c r="EN63" s="2"/>
      <c r="EO63" s="2"/>
      <c r="EP63" s="2"/>
      <c r="EQ63" s="2"/>
      <c r="ER63" s="2"/>
      <c r="ES63" s="2"/>
      <c r="ET63" s="2"/>
      <c r="EU63" s="2"/>
      <c r="EV63" s="2"/>
      <c r="EW63" s="2"/>
      <c r="EX63" s="2"/>
      <c r="EY63" s="2"/>
      <c r="EZ63" s="2"/>
      <c r="GJ63" s="2"/>
      <c r="GK63" s="2"/>
      <c r="GL63" s="2"/>
      <c r="GM63" s="2"/>
      <c r="GN63" s="2"/>
      <c r="GO63" s="2"/>
      <c r="GP63" s="2"/>
      <c r="GQ63" s="2"/>
      <c r="GR63" s="2"/>
      <c r="GS63" s="2"/>
      <c r="GT63" s="2"/>
      <c r="GU63" s="2"/>
      <c r="GV63" s="2"/>
    </row>
    <row r="65" spans="501:501" ht="14.5" x14ac:dyDescent="0.35">
      <c r="SG65"/>
    </row>
    <row r="66" spans="501:501" ht="14.5" x14ac:dyDescent="0.35">
      <c r="SG66"/>
    </row>
  </sheetData>
  <autoFilter ref="A1:AXY6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Z208"/>
  <sheetViews>
    <sheetView zoomScale="90" zoomScaleNormal="90" workbookViewId="0">
      <selection activeCell="H15" sqref="H15"/>
    </sheetView>
  </sheetViews>
  <sheetFormatPr defaultColWidth="8.81640625" defaultRowHeight="14" x14ac:dyDescent="0.3"/>
  <cols>
    <col min="1" max="1" width="15.1796875" style="9" customWidth="1"/>
    <col min="2" max="2" width="12.6328125" style="9" customWidth="1"/>
    <col min="3" max="3" width="13.90625" style="9" customWidth="1"/>
    <col min="4" max="4" width="16.36328125" style="9" customWidth="1"/>
    <col min="5" max="5" width="16.81640625" style="9" customWidth="1"/>
    <col min="6" max="6" width="12.6328125" style="9" customWidth="1"/>
    <col min="7" max="7" width="12.36328125" style="9" customWidth="1"/>
    <col min="8" max="8" width="12.1796875" style="9" customWidth="1"/>
    <col min="9" max="9" width="8.81640625" style="9"/>
    <col min="10" max="10" width="11.81640625" style="9" customWidth="1"/>
    <col min="11" max="11" width="16.453125" style="9" customWidth="1"/>
    <col min="12" max="12" width="19.453125" style="9" customWidth="1"/>
    <col min="13" max="16384" width="8.81640625" style="9"/>
  </cols>
  <sheetData>
    <row r="2" spans="1:7" ht="15.5" x14ac:dyDescent="0.35">
      <c r="A2" s="8" t="s">
        <v>1284</v>
      </c>
    </row>
    <row r="3" spans="1:7" ht="15.5" x14ac:dyDescent="0.35">
      <c r="A3" s="28" t="s">
        <v>1397</v>
      </c>
      <c r="B3" s="20">
        <f>COUNTIFS('ZEMIO_Cleaned Data'!N:N,"education",'ZEMIO_Cleaned Data'!K:K,"zemio")</f>
        <v>8</v>
      </c>
    </row>
    <row r="5" spans="1:7" ht="15.5" x14ac:dyDescent="0.35">
      <c r="A5" s="28" t="s">
        <v>1734</v>
      </c>
    </row>
    <row r="6" spans="1:7" ht="42" x14ac:dyDescent="0.3">
      <c r="A6" s="3"/>
      <c r="B6" s="7" t="s">
        <v>1265</v>
      </c>
      <c r="C6" s="7" t="s">
        <v>1266</v>
      </c>
      <c r="D6" s="7" t="s">
        <v>1267</v>
      </c>
      <c r="E6" s="7" t="s">
        <v>2059</v>
      </c>
      <c r="F6" s="7" t="s">
        <v>2314</v>
      </c>
      <c r="G6" s="50" t="s">
        <v>2008</v>
      </c>
    </row>
    <row r="7" spans="1:7" x14ac:dyDescent="0.3">
      <c r="A7" s="3" t="s">
        <v>1198</v>
      </c>
      <c r="B7" s="4">
        <f>COUNTIF('ZEMIO_Cleaned Data'!YK:ZT,"public")</f>
        <v>4</v>
      </c>
      <c r="C7" s="4">
        <f>COUNTIF('ZEMIO_Cleaned Data'!ZT:ZT,"prive")</f>
        <v>2</v>
      </c>
      <c r="D7" s="4">
        <f>COUNTIF('ZEMIO_Cleaned Data'!ZT:ZT,"religieux")</f>
        <v>0</v>
      </c>
      <c r="E7" s="4">
        <f>COUNTIF('ZEMIO_Cleaned Data'!ZT:ZT,"communautaire")</f>
        <v>1</v>
      </c>
      <c r="F7" s="4">
        <f>COUNTIF('ZEMIO_Cleaned Data'!ZT:ZT,"ecac")</f>
        <v>1</v>
      </c>
      <c r="G7" s="51">
        <f>SUM(B7:F7)</f>
        <v>8</v>
      </c>
    </row>
    <row r="8" spans="1:7" ht="26" x14ac:dyDescent="0.3">
      <c r="A8" s="52" t="s">
        <v>2007</v>
      </c>
      <c r="B8" s="6">
        <f>(B7/$B$3)</f>
        <v>0.5</v>
      </c>
      <c r="C8" s="6">
        <f t="shared" ref="C8:D8" si="0">(C7/$B$3)</f>
        <v>0.25</v>
      </c>
      <c r="D8" s="6">
        <f t="shared" si="0"/>
        <v>0</v>
      </c>
      <c r="E8" s="6">
        <f t="shared" ref="E8:F8" si="1">(E7/$B$3)</f>
        <v>0.125</v>
      </c>
      <c r="F8" s="6">
        <f t="shared" si="1"/>
        <v>0.125</v>
      </c>
      <c r="G8" s="105">
        <f>SUM(B8:F8)</f>
        <v>1</v>
      </c>
    </row>
    <row r="9" spans="1:7" x14ac:dyDescent="0.3">
      <c r="A9" s="13"/>
      <c r="B9" s="14"/>
      <c r="C9" s="14"/>
      <c r="D9" s="14"/>
    </row>
    <row r="10" spans="1:7" ht="15.5" x14ac:dyDescent="0.35">
      <c r="A10" s="44" t="s">
        <v>1758</v>
      </c>
      <c r="B10" s="14"/>
      <c r="C10" s="14"/>
      <c r="D10" s="13"/>
      <c r="E10" s="13"/>
    </row>
    <row r="11" spans="1:7" ht="42" x14ac:dyDescent="0.3">
      <c r="A11" s="3"/>
      <c r="B11" s="7" t="s">
        <v>1759</v>
      </c>
      <c r="C11" s="7" t="s">
        <v>1760</v>
      </c>
      <c r="D11" s="7" t="s">
        <v>1761</v>
      </c>
      <c r="E11" s="7" t="s">
        <v>1762</v>
      </c>
      <c r="F11" s="7" t="s">
        <v>1196</v>
      </c>
      <c r="G11" s="106" t="s">
        <v>1197</v>
      </c>
    </row>
    <row r="12" spans="1:7" x14ac:dyDescent="0.3">
      <c r="A12" s="3" t="s">
        <v>1198</v>
      </c>
      <c r="B12" s="4">
        <f>COUNTIF('ZEMIO_Cleaned Data'!ABE:ABE,"f1")</f>
        <v>5</v>
      </c>
      <c r="C12" s="4">
        <f>COUNTIF('ZEMIO_Cleaned Data'!ABE:ABE,"f2")+COUNTIF('ZEMIO_Cleaned Data'!ABE:ABE,"f1 f2")</f>
        <v>3</v>
      </c>
      <c r="D12" s="4">
        <f>COUNTIF('ZEMIO_Cleaned Data'!ABE:ABE,"etp")</f>
        <v>0</v>
      </c>
      <c r="E12" s="4">
        <f>COUNTIF('ZEMIO_Cleaned Data'!ABE:ABE,"coranique")</f>
        <v>0</v>
      </c>
      <c r="F12" s="4">
        <f>COUNTIF('ZEMIO_Cleaned Data'!ABE:ABE,"autre")</f>
        <v>0</v>
      </c>
      <c r="G12" s="103">
        <f>SUM(B12:F12)</f>
        <v>8</v>
      </c>
    </row>
    <row r="13" spans="1:7" ht="26" x14ac:dyDescent="0.3">
      <c r="A13" s="52" t="s">
        <v>2007</v>
      </c>
      <c r="B13" s="6">
        <f>(B12/$B$3)</f>
        <v>0.625</v>
      </c>
      <c r="C13" s="6">
        <f t="shared" ref="C13:F13" si="2">(C12/$B$3)</f>
        <v>0.375</v>
      </c>
      <c r="D13" s="6">
        <f t="shared" si="2"/>
        <v>0</v>
      </c>
      <c r="E13" s="6">
        <f t="shared" si="2"/>
        <v>0</v>
      </c>
      <c r="F13" s="6">
        <f t="shared" si="2"/>
        <v>0</v>
      </c>
      <c r="G13" s="107">
        <f>SUM(B13:F13)</f>
        <v>1</v>
      </c>
    </row>
    <row r="14" spans="1:7" x14ac:dyDescent="0.3">
      <c r="F14" s="73"/>
    </row>
    <row r="15" spans="1:7" ht="15.5" x14ac:dyDescent="0.35">
      <c r="A15" s="8" t="s">
        <v>1275</v>
      </c>
    </row>
    <row r="16" spans="1:7" ht="15.5" x14ac:dyDescent="0.35">
      <c r="A16" s="28" t="s">
        <v>1735</v>
      </c>
    </row>
    <row r="17" spans="1:26" x14ac:dyDescent="0.3">
      <c r="A17" s="3"/>
      <c r="B17" s="7" t="s">
        <v>1268</v>
      </c>
      <c r="C17" s="7" t="s">
        <v>1269</v>
      </c>
      <c r="D17" s="7" t="s">
        <v>1270</v>
      </c>
      <c r="E17" s="106" t="s">
        <v>1197</v>
      </c>
    </row>
    <row r="18" spans="1:26" x14ac:dyDescent="0.3">
      <c r="A18" s="3" t="s">
        <v>1198</v>
      </c>
      <c r="B18" s="4">
        <f>COUNTIF('ZEMIO_Cleaned Data'!ZV:ZV,"durable")</f>
        <v>7</v>
      </c>
      <c r="C18" s="4">
        <f>COUNTIF('ZEMIO_Cleaned Data'!ZV:ZV,"hangar")</f>
        <v>0</v>
      </c>
      <c r="D18" s="4">
        <f>COUNTIF('ZEMIO_Cleaned Data'!ZV:ZV,"hangar_traditionnel")</f>
        <v>1</v>
      </c>
      <c r="E18" s="103">
        <f>SUM(B18:D18)</f>
        <v>8</v>
      </c>
    </row>
    <row r="19" spans="1:26" ht="26" x14ac:dyDescent="0.3">
      <c r="A19" s="52" t="s">
        <v>2007</v>
      </c>
      <c r="B19" s="6">
        <f>B18/$B$3</f>
        <v>0.875</v>
      </c>
      <c r="C19" s="6">
        <f t="shared" ref="C19:D19" si="3">C18/$B$3</f>
        <v>0</v>
      </c>
      <c r="D19" s="6">
        <f t="shared" si="3"/>
        <v>0.125</v>
      </c>
      <c r="E19" s="107">
        <f>SUM(B19:D19)</f>
        <v>1</v>
      </c>
    </row>
    <row r="20" spans="1:26" x14ac:dyDescent="0.3">
      <c r="A20" s="13"/>
      <c r="B20" s="14"/>
      <c r="C20" s="14"/>
      <c r="D20" s="14"/>
      <c r="E20" s="25"/>
    </row>
    <row r="21" spans="1:26" ht="15.5" x14ac:dyDescent="0.35">
      <c r="A21" s="44" t="s">
        <v>1736</v>
      </c>
      <c r="B21" s="14"/>
      <c r="C21" s="14"/>
      <c r="D21" s="14"/>
      <c r="E21" s="25"/>
    </row>
    <row r="22" spans="1:26" ht="28" x14ac:dyDescent="0.3">
      <c r="A22" s="3"/>
      <c r="B22" s="7" t="s">
        <v>1201</v>
      </c>
      <c r="C22" s="7" t="s">
        <v>1200</v>
      </c>
      <c r="D22" s="7" t="s">
        <v>1737</v>
      </c>
      <c r="E22" s="70" t="s">
        <v>1775</v>
      </c>
    </row>
    <row r="23" spans="1:26" x14ac:dyDescent="0.3">
      <c r="A23" s="3" t="s">
        <v>1198</v>
      </c>
      <c r="B23" s="4">
        <f>COUNTIF('ZEMIO_Cleaned Data'!ZX:ZX,"Oui")</f>
        <v>5</v>
      </c>
      <c r="C23" s="4">
        <f>COUNTIF('ZEMIO_Cleaned Data'!ZX:ZX,"non")</f>
        <v>2</v>
      </c>
      <c r="D23" s="4">
        <f>COUNTIF('ZEMIO_Cleaned Data'!ZX:ZX,"partiel")</f>
        <v>1</v>
      </c>
      <c r="E23" s="71">
        <f>B23+D23</f>
        <v>6</v>
      </c>
    </row>
    <row r="24" spans="1:26" ht="26" x14ac:dyDescent="0.3">
      <c r="A24" s="52" t="s">
        <v>2007</v>
      </c>
      <c r="B24" s="6">
        <f>B23/$B$3</f>
        <v>0.625</v>
      </c>
      <c r="C24" s="6">
        <f t="shared" ref="C24:D24" si="4">C23/$B$3</f>
        <v>0.25</v>
      </c>
      <c r="D24" s="6">
        <f t="shared" si="4"/>
        <v>0.125</v>
      </c>
      <c r="E24" s="109">
        <f>B24+D24</f>
        <v>0.75</v>
      </c>
    </row>
    <row r="25" spans="1:26" x14ac:dyDescent="0.3">
      <c r="A25" s="13"/>
      <c r="B25" s="14"/>
      <c r="C25" s="14"/>
      <c r="D25" s="14"/>
      <c r="E25" s="25"/>
    </row>
    <row r="26" spans="1:26" x14ac:dyDescent="0.3">
      <c r="B26" s="17" t="s">
        <v>1753</v>
      </c>
      <c r="D26" s="95" t="s">
        <v>1994</v>
      </c>
    </row>
    <row r="27" spans="1:26" s="35" customFormat="1" ht="77.5" customHeight="1" x14ac:dyDescent="0.3">
      <c r="B27" s="3"/>
      <c r="C27" s="11" t="s">
        <v>1738</v>
      </c>
      <c r="D27" s="11" t="s">
        <v>1739</v>
      </c>
      <c r="E27" s="11" t="s">
        <v>1740</v>
      </c>
      <c r="F27" s="11" t="s">
        <v>1741</v>
      </c>
      <c r="G27" s="11" t="s">
        <v>1742</v>
      </c>
      <c r="H27" s="11" t="s">
        <v>1743</v>
      </c>
      <c r="I27" s="11" t="s">
        <v>1744</v>
      </c>
      <c r="J27" s="11" t="s">
        <v>1706</v>
      </c>
      <c r="K27" s="11" t="s">
        <v>1211</v>
      </c>
    </row>
    <row r="28" spans="1:26" x14ac:dyDescent="0.3">
      <c r="B28" s="3" t="s">
        <v>1198</v>
      </c>
      <c r="C28" s="3">
        <f>COUNTIF('ZEMIO_Cleaned Data'!AAK:AAK,"1")</f>
        <v>0</v>
      </c>
      <c r="D28" s="3">
        <f>COUNTIF('ZEMIO_Cleaned Data'!AAL:AAL,"1")</f>
        <v>1</v>
      </c>
      <c r="E28" s="3">
        <f>COUNTIF('ZEMIO_Cleaned Data'!AAM:AAM,"1")</f>
        <v>0</v>
      </c>
      <c r="F28" s="3">
        <f>COUNTIF('ZEMIO_Cleaned Data'!AAN:AAN,"1")</f>
        <v>1</v>
      </c>
      <c r="G28" s="3">
        <f>COUNTIF('ZEMIO_Cleaned Data'!AAO:AAO,"1")</f>
        <v>0</v>
      </c>
      <c r="H28" s="3">
        <f>COUNTIF('ZEMIO_Cleaned Data'!AAP:AAP,"1")</f>
        <v>2</v>
      </c>
      <c r="I28" s="3">
        <f>COUNTIF('ZEMIO_Cleaned Data'!AAQ:AAQ,"1")</f>
        <v>0</v>
      </c>
      <c r="J28" s="3">
        <f>COUNTIF('ZEMIO_Cleaned Data'!AAR:AAR,"1")</f>
        <v>0</v>
      </c>
      <c r="K28" s="3">
        <f>COUNTIF('ZEMIO_Cleaned Data'!AAS:AAS,"1")</f>
        <v>0</v>
      </c>
    </row>
    <row r="29" spans="1:26" ht="37.5" x14ac:dyDescent="0.3">
      <c r="B29" s="52" t="s">
        <v>2009</v>
      </c>
      <c r="C29" s="6">
        <f>C28/$C$23</f>
        <v>0</v>
      </c>
      <c r="D29" s="6">
        <f t="shared" ref="D29:K29" si="5">D28/$C$23</f>
        <v>0.5</v>
      </c>
      <c r="E29" s="6">
        <f t="shared" si="5"/>
        <v>0</v>
      </c>
      <c r="F29" s="6">
        <f t="shared" si="5"/>
        <v>0.5</v>
      </c>
      <c r="G29" s="6">
        <f t="shared" si="5"/>
        <v>0</v>
      </c>
      <c r="H29" s="6">
        <f t="shared" si="5"/>
        <v>1</v>
      </c>
      <c r="I29" s="6">
        <f t="shared" si="5"/>
        <v>0</v>
      </c>
      <c r="J29" s="6">
        <f t="shared" si="5"/>
        <v>0</v>
      </c>
      <c r="K29" s="6">
        <f t="shared" si="5"/>
        <v>0</v>
      </c>
    </row>
    <row r="31" spans="1:26" s="1" customFormat="1" x14ac:dyDescent="0.3">
      <c r="A31" s="9"/>
      <c r="B31" s="16" t="s">
        <v>1752</v>
      </c>
      <c r="C31" s="13"/>
      <c r="D31" s="9"/>
      <c r="E31" s="9"/>
      <c r="F31" s="9"/>
      <c r="G31" s="9"/>
      <c r="I31" s="9"/>
      <c r="J31" s="9"/>
      <c r="K31" s="9"/>
      <c r="L31" s="9"/>
      <c r="M31" s="9"/>
      <c r="N31" s="9"/>
      <c r="O31" s="9"/>
      <c r="P31" s="9"/>
      <c r="Q31" s="9"/>
      <c r="R31" s="9"/>
      <c r="S31" s="9"/>
      <c r="T31" s="9"/>
      <c r="U31" s="9"/>
      <c r="V31" s="9"/>
      <c r="W31" s="9"/>
      <c r="X31" s="9"/>
      <c r="Y31" s="9"/>
      <c r="Z31" s="9"/>
    </row>
    <row r="32" spans="1:26" s="1" customFormat="1" x14ac:dyDescent="0.3">
      <c r="A32" s="9"/>
      <c r="B32" s="3"/>
      <c r="C32" s="108" t="s">
        <v>1663</v>
      </c>
      <c r="D32" s="108" t="s">
        <v>1664</v>
      </c>
      <c r="E32" s="108" t="s">
        <v>1665</v>
      </c>
      <c r="F32" s="108" t="s">
        <v>1666</v>
      </c>
      <c r="G32" s="108" t="s">
        <v>1706</v>
      </c>
      <c r="H32" s="106" t="s">
        <v>1197</v>
      </c>
      <c r="I32" s="9"/>
      <c r="J32" s="9"/>
      <c r="K32" s="9"/>
      <c r="L32" s="9"/>
      <c r="M32" s="9"/>
      <c r="N32" s="9"/>
      <c r="O32" s="9"/>
      <c r="P32" s="9"/>
      <c r="Q32" s="9"/>
      <c r="R32" s="9"/>
      <c r="S32" s="9"/>
      <c r="T32" s="9"/>
      <c r="U32" s="9"/>
      <c r="V32" s="9"/>
      <c r="W32" s="9"/>
      <c r="X32" s="9"/>
      <c r="Y32" s="9"/>
      <c r="Z32" s="9"/>
    </row>
    <row r="33" spans="1:26" s="1" customFormat="1" ht="14.5" customHeight="1" x14ac:dyDescent="0.3">
      <c r="A33" s="9"/>
      <c r="B33" s="3" t="s">
        <v>1198</v>
      </c>
      <c r="C33" s="3">
        <f>COUNTIF('ZEMIO_Cleaned Data'!AAU:AAU,"moins_six_mois")</f>
        <v>0</v>
      </c>
      <c r="D33" s="3">
        <f>COUNTIF('ZEMIO_Cleaned Data'!AAU:AAU,"six_mois_un_an ")</f>
        <v>0</v>
      </c>
      <c r="E33" s="3">
        <f>COUNTIF('ZEMIO_Cleaned Data'!AAU:AAU,"un_an_trois_ans")</f>
        <v>0</v>
      </c>
      <c r="F33" s="3">
        <f>COUNTIF('ZEMIO_Cleaned Data'!AAU:AAU,"plus_trois_ans")</f>
        <v>2</v>
      </c>
      <c r="G33" s="3">
        <f>COUNTIF('ZEMIO_Cleaned Data'!AAU:AAU,"nsp")</f>
        <v>0</v>
      </c>
      <c r="H33" s="103">
        <f>SUM(C33:G33)</f>
        <v>2</v>
      </c>
      <c r="I33" s="9"/>
      <c r="J33" s="9"/>
      <c r="K33" s="73"/>
      <c r="L33" s="9"/>
      <c r="M33" s="9"/>
      <c r="N33" s="9"/>
      <c r="O33" s="9"/>
      <c r="P33" s="9"/>
      <c r="Q33" s="9"/>
      <c r="R33" s="9"/>
      <c r="S33" s="9"/>
      <c r="T33" s="9"/>
      <c r="U33" s="9"/>
      <c r="V33" s="9"/>
      <c r="W33" s="9"/>
      <c r="X33" s="9"/>
      <c r="Y33" s="9"/>
      <c r="Z33" s="9"/>
    </row>
    <row r="34" spans="1:26" ht="37.5" x14ac:dyDescent="0.3">
      <c r="B34" s="52" t="s">
        <v>2009</v>
      </c>
      <c r="C34" s="6">
        <f>C33/$C$23</f>
        <v>0</v>
      </c>
      <c r="D34" s="6">
        <f t="shared" ref="D34:G34" si="6">D33/$C$23</f>
        <v>0</v>
      </c>
      <c r="E34" s="6">
        <f t="shared" si="6"/>
        <v>0</v>
      </c>
      <c r="F34" s="6">
        <f t="shared" si="6"/>
        <v>1</v>
      </c>
      <c r="G34" s="6">
        <f t="shared" si="6"/>
        <v>0</v>
      </c>
      <c r="H34" s="107">
        <f>SUM(C34:G34)</f>
        <v>1</v>
      </c>
    </row>
    <row r="35" spans="1:26" x14ac:dyDescent="0.3">
      <c r="A35" s="13"/>
      <c r="B35" s="14"/>
      <c r="C35" s="14"/>
      <c r="D35" s="14"/>
      <c r="E35" s="25"/>
    </row>
    <row r="36" spans="1:26" x14ac:dyDescent="0.3">
      <c r="B36" s="17" t="s">
        <v>1754</v>
      </c>
      <c r="E36" s="95" t="s">
        <v>1994</v>
      </c>
    </row>
    <row r="37" spans="1:26" ht="77.5" customHeight="1" x14ac:dyDescent="0.3">
      <c r="B37" s="3"/>
      <c r="C37" s="11" t="s">
        <v>1745</v>
      </c>
      <c r="D37" s="11" t="s">
        <v>1750</v>
      </c>
      <c r="E37" s="11" t="s">
        <v>1746</v>
      </c>
      <c r="F37" s="11" t="s">
        <v>1747</v>
      </c>
      <c r="G37" s="11" t="s">
        <v>1748</v>
      </c>
      <c r="H37" s="11" t="s">
        <v>1749</v>
      </c>
      <c r="I37" s="11" t="s">
        <v>1706</v>
      </c>
      <c r="J37" s="11" t="s">
        <v>1211</v>
      </c>
    </row>
    <row r="38" spans="1:26" x14ac:dyDescent="0.3">
      <c r="B38" s="3" t="s">
        <v>1198</v>
      </c>
      <c r="C38" s="3">
        <f>COUNTIF('ZEMIO_Cleaned Data'!ZZ:ZZ,"1")</f>
        <v>0</v>
      </c>
      <c r="D38" s="3">
        <f>COUNTIF('ZEMIO_Cleaned Data'!AAA:AAA,"1")</f>
        <v>1</v>
      </c>
      <c r="E38" s="3">
        <f>COUNTIF('ZEMIO_Cleaned Data'!AAB:AAB,"1")</f>
        <v>0</v>
      </c>
      <c r="F38" s="3">
        <f>COUNTIF('ZEMIO_Cleaned Data'!AAC:AAC,"1")</f>
        <v>0</v>
      </c>
      <c r="G38" s="3">
        <f>COUNTIF('ZEMIO_Cleaned Data'!AAD:AAD,"1")</f>
        <v>0</v>
      </c>
      <c r="H38" s="3">
        <f>COUNTIF('ZEMIO_Cleaned Data'!AAE:AAE,"1")</f>
        <v>1</v>
      </c>
      <c r="I38" s="3">
        <f>COUNTIF('ZEMIO_Cleaned Data'!AAF:AAF,"1")</f>
        <v>0</v>
      </c>
      <c r="J38" s="3">
        <f>COUNTIF('ZEMIO_Cleaned Data'!AAG:AAG,"1")</f>
        <v>0</v>
      </c>
    </row>
    <row r="39" spans="1:26" ht="49" x14ac:dyDescent="0.3">
      <c r="B39" s="52" t="s">
        <v>2010</v>
      </c>
      <c r="C39" s="6">
        <f>C38/$D$23</f>
        <v>0</v>
      </c>
      <c r="D39" s="6">
        <f t="shared" ref="D39:J39" si="7">D38/$D$23</f>
        <v>1</v>
      </c>
      <c r="E39" s="6">
        <f t="shared" si="7"/>
        <v>0</v>
      </c>
      <c r="F39" s="6">
        <f t="shared" si="7"/>
        <v>0</v>
      </c>
      <c r="G39" s="6">
        <f t="shared" si="7"/>
        <v>0</v>
      </c>
      <c r="H39" s="6">
        <f t="shared" si="7"/>
        <v>1</v>
      </c>
      <c r="I39" s="6">
        <f t="shared" si="7"/>
        <v>0</v>
      </c>
      <c r="J39" s="6">
        <f t="shared" si="7"/>
        <v>0</v>
      </c>
    </row>
    <row r="40" spans="1:26" x14ac:dyDescent="0.3">
      <c r="B40" s="49"/>
    </row>
    <row r="41" spans="1:26" s="1" customFormat="1" x14ac:dyDescent="0.3">
      <c r="A41" s="9"/>
      <c r="B41" s="16" t="s">
        <v>1751</v>
      </c>
      <c r="D41" s="13"/>
      <c r="E41" s="9"/>
      <c r="F41" s="9"/>
      <c r="G41" s="9"/>
      <c r="H41" s="9"/>
      <c r="I41" s="9"/>
      <c r="J41" s="9"/>
      <c r="K41" s="9"/>
      <c r="L41" s="9"/>
      <c r="M41" s="9"/>
      <c r="N41" s="9"/>
      <c r="O41" s="9"/>
      <c r="P41" s="9"/>
      <c r="Q41" s="9"/>
      <c r="R41" s="9"/>
      <c r="S41" s="9"/>
      <c r="T41" s="9"/>
      <c r="U41" s="9"/>
      <c r="V41" s="9"/>
      <c r="W41" s="9"/>
      <c r="X41" s="9"/>
      <c r="Y41" s="9"/>
      <c r="Z41" s="9"/>
    </row>
    <row r="42" spans="1:26" s="1" customFormat="1" x14ac:dyDescent="0.3">
      <c r="A42" s="9"/>
      <c r="B42" s="3"/>
      <c r="C42" s="5" t="s">
        <v>1663</v>
      </c>
      <c r="D42" s="5" t="s">
        <v>1664</v>
      </c>
      <c r="E42" s="5" t="s">
        <v>1665</v>
      </c>
      <c r="F42" s="5" t="s">
        <v>1666</v>
      </c>
      <c r="G42" s="5" t="s">
        <v>1706</v>
      </c>
      <c r="H42" s="106" t="s">
        <v>1197</v>
      </c>
      <c r="I42" s="9"/>
      <c r="J42" s="9"/>
      <c r="K42" s="9"/>
      <c r="L42" s="9"/>
      <c r="M42" s="9"/>
      <c r="N42" s="9"/>
      <c r="O42" s="9"/>
      <c r="P42" s="9"/>
      <c r="Q42" s="9"/>
      <c r="R42" s="9"/>
      <c r="S42" s="9"/>
      <c r="T42" s="9"/>
      <c r="U42" s="9"/>
      <c r="V42" s="9"/>
      <c r="W42" s="9"/>
      <c r="X42" s="9"/>
      <c r="Y42" s="9"/>
      <c r="Z42" s="9"/>
    </row>
    <row r="43" spans="1:26" s="1" customFormat="1" x14ac:dyDescent="0.3">
      <c r="A43" s="9"/>
      <c r="B43" s="3" t="s">
        <v>1198</v>
      </c>
      <c r="C43" s="3">
        <f>COUNTIF('ZEMIO_Cleaned Data'!AAI:AAI,"moins_six_mois")</f>
        <v>0</v>
      </c>
      <c r="D43" s="3">
        <f>COUNTIF('ZEMIO_Cleaned Data'!AAI:AAI,"six_mois_un_an ")</f>
        <v>0</v>
      </c>
      <c r="E43" s="3">
        <f>COUNTIF('ZEMIO_Cleaned Data'!AAI:AAI,"un_an_trois_ans")</f>
        <v>0</v>
      </c>
      <c r="F43" s="3">
        <f>COUNTIF('ZEMIO_Cleaned Data'!AAI:AAI,"plus_trois_ans")</f>
        <v>1</v>
      </c>
      <c r="G43" s="3">
        <f>COUNTIF('ZEMIO_Cleaned Data'!AAI:AAI,"nsp")</f>
        <v>0</v>
      </c>
      <c r="H43" s="103">
        <f>SUM(C43:G43)</f>
        <v>1</v>
      </c>
      <c r="I43" s="9"/>
      <c r="J43" s="9"/>
      <c r="K43" s="9"/>
      <c r="L43" s="9"/>
      <c r="M43" s="9"/>
      <c r="N43" s="9"/>
      <c r="O43" s="9"/>
      <c r="P43" s="9"/>
      <c r="Q43" s="9"/>
      <c r="R43" s="9"/>
      <c r="S43" s="9"/>
      <c r="T43" s="9"/>
      <c r="U43" s="9"/>
      <c r="V43" s="9"/>
      <c r="W43" s="9"/>
      <c r="X43" s="9"/>
      <c r="Y43" s="9"/>
      <c r="Z43" s="9"/>
    </row>
    <row r="44" spans="1:26" s="1" customFormat="1" ht="53" customHeight="1" x14ac:dyDescent="0.3">
      <c r="A44" s="9"/>
      <c r="B44" s="52" t="s">
        <v>2010</v>
      </c>
      <c r="C44" s="6">
        <f>C43/$D$23</f>
        <v>0</v>
      </c>
      <c r="D44" s="6">
        <f t="shared" ref="D44:G44" si="8">D43/$D$23</f>
        <v>0</v>
      </c>
      <c r="E44" s="6">
        <f t="shared" si="8"/>
        <v>0</v>
      </c>
      <c r="F44" s="6">
        <f t="shared" si="8"/>
        <v>1</v>
      </c>
      <c r="G44" s="6">
        <f t="shared" si="8"/>
        <v>0</v>
      </c>
      <c r="H44" s="107">
        <f>SUM(C44:G44)</f>
        <v>1</v>
      </c>
      <c r="I44" s="9"/>
      <c r="J44" s="9"/>
      <c r="K44" s="9"/>
      <c r="L44" s="9"/>
      <c r="M44" s="9"/>
      <c r="N44" s="9"/>
      <c r="O44" s="9"/>
      <c r="P44" s="9"/>
      <c r="Q44" s="9"/>
      <c r="R44" s="9"/>
      <c r="S44" s="9"/>
      <c r="T44" s="9"/>
      <c r="U44" s="9"/>
      <c r="V44" s="9"/>
      <c r="W44" s="9"/>
      <c r="X44" s="9"/>
      <c r="Y44" s="9"/>
      <c r="Z44" s="9"/>
    </row>
    <row r="45" spans="1:26" ht="14.5" customHeight="1" x14ac:dyDescent="0.3">
      <c r="B45" s="13"/>
      <c r="C45" s="14"/>
      <c r="D45" s="14"/>
      <c r="E45" s="14"/>
      <c r="F45" s="14"/>
      <c r="G45" s="14"/>
    </row>
    <row r="46" spans="1:26" ht="14.5" customHeight="1" x14ac:dyDescent="0.35">
      <c r="A46" s="28" t="s">
        <v>2726</v>
      </c>
      <c r="B46" s="13"/>
      <c r="C46" s="14"/>
      <c r="D46" s="14"/>
      <c r="E46" s="95" t="s">
        <v>1994</v>
      </c>
      <c r="F46" s="14"/>
      <c r="G46" s="14"/>
    </row>
    <row r="47" spans="1:26" s="63" customFormat="1" ht="63.5" customHeight="1" x14ac:dyDescent="0.35">
      <c r="A47" s="53"/>
      <c r="B47" s="34" t="s">
        <v>1271</v>
      </c>
      <c r="C47" s="34" t="s">
        <v>1756</v>
      </c>
      <c r="D47" s="34" t="s">
        <v>1272</v>
      </c>
      <c r="E47" s="34" t="s">
        <v>1273</v>
      </c>
      <c r="F47" s="34" t="s">
        <v>1274</v>
      </c>
      <c r="G47" s="34" t="s">
        <v>1196</v>
      </c>
      <c r="H47" s="34" t="s">
        <v>1706</v>
      </c>
    </row>
    <row r="48" spans="1:26" ht="14.5" customHeight="1" x14ac:dyDescent="0.3">
      <c r="A48" s="3" t="s">
        <v>1198</v>
      </c>
      <c r="B48" s="4">
        <f>COUNTIF('ZEMIO_Cleaned Data'!AAW:AAW,"1")</f>
        <v>0</v>
      </c>
      <c r="C48" s="4">
        <f>COUNTIF('ZEMIO_Cleaned Data'!AAX:AAX,"1")</f>
        <v>0</v>
      </c>
      <c r="D48" s="4">
        <f>COUNTIF('ZEMIO_Cleaned Data'!AAY:AAY,"1")</f>
        <v>0</v>
      </c>
      <c r="E48" s="4">
        <f>COUNTIF('ZEMIO_Cleaned Data'!AAZ:AAZ,"1")</f>
        <v>0</v>
      </c>
      <c r="F48" s="4">
        <f>COUNTIF('ZEMIO_Cleaned Data'!ABA:ABA,"1")</f>
        <v>0</v>
      </c>
      <c r="G48" s="4">
        <f>COUNTIF('ZEMIO_Cleaned Data'!ABB:ABB,"1")</f>
        <v>0</v>
      </c>
      <c r="H48" s="4">
        <f>COUNTIF('ZEMIO_Cleaned Data'!ABC:ABC,"1")</f>
        <v>0</v>
      </c>
      <c r="J48" s="84"/>
    </row>
    <row r="49" spans="1:12" ht="40" customHeight="1" x14ac:dyDescent="0.3">
      <c r="A49" s="53" t="s">
        <v>1757</v>
      </c>
      <c r="B49" s="6" t="e">
        <f>B48/SUM(C28,C38)</f>
        <v>#DIV/0!</v>
      </c>
      <c r="C49" s="6" t="e">
        <f>C48/SUM(C28,C38)</f>
        <v>#DIV/0!</v>
      </c>
      <c r="D49" s="6" t="e">
        <f>D48/SUM(C28,C38)</f>
        <v>#DIV/0!</v>
      </c>
      <c r="E49" s="6" t="e">
        <f>E48/SUM(C28,C38)</f>
        <v>#DIV/0!</v>
      </c>
      <c r="F49" s="6" t="e">
        <f>F48/SUM(C28,C38)</f>
        <v>#DIV/0!</v>
      </c>
      <c r="G49" s="6" t="e">
        <f>G48/SUM(C28,C38)</f>
        <v>#DIV/0!</v>
      </c>
      <c r="H49" s="6" t="e">
        <f>H48/SUM(C28,C38)</f>
        <v>#DIV/0!</v>
      </c>
    </row>
    <row r="50" spans="1:12" ht="18.5" customHeight="1" x14ac:dyDescent="0.3">
      <c r="A50" s="64"/>
      <c r="B50" s="14"/>
      <c r="C50" s="14"/>
      <c r="D50" s="14"/>
      <c r="E50" s="14"/>
      <c r="F50" s="14"/>
      <c r="G50" s="14"/>
    </row>
    <row r="51" spans="1:12" ht="15.5" x14ac:dyDescent="0.35">
      <c r="A51" s="28" t="s">
        <v>1293</v>
      </c>
      <c r="C51" s="95" t="s">
        <v>1994</v>
      </c>
    </row>
    <row r="52" spans="1:12" ht="42" x14ac:dyDescent="0.3">
      <c r="A52" s="53"/>
      <c r="B52" s="7" t="s">
        <v>1698</v>
      </c>
      <c r="C52" s="7" t="s">
        <v>1691</v>
      </c>
      <c r="D52" s="7" t="s">
        <v>1692</v>
      </c>
      <c r="E52" s="7" t="s">
        <v>1695</v>
      </c>
      <c r="F52" s="7" t="s">
        <v>1229</v>
      </c>
      <c r="G52" s="7" t="s">
        <v>1696</v>
      </c>
      <c r="H52" s="7" t="s">
        <v>1697</v>
      </c>
      <c r="I52" s="7" t="s">
        <v>1706</v>
      </c>
      <c r="J52" s="7" t="s">
        <v>1196</v>
      </c>
      <c r="K52" s="7" t="s">
        <v>1693</v>
      </c>
      <c r="L52" s="7" t="s">
        <v>1694</v>
      </c>
    </row>
    <row r="53" spans="1:12" x14ac:dyDescent="0.3">
      <c r="A53" s="3" t="s">
        <v>1198</v>
      </c>
      <c r="B53" s="4">
        <f>COUNTIF('ZEMIO_Cleaned Data'!ABM:ABM,"1")</f>
        <v>0</v>
      </c>
      <c r="C53" s="4">
        <f>COUNTIF('ZEMIO_Cleaned Data'!ABN:ABN,"1")</f>
        <v>0</v>
      </c>
      <c r="D53" s="4">
        <f>COUNTIF('ZEMIO_Cleaned Data'!ABO:ABO,"1")</f>
        <v>1</v>
      </c>
      <c r="E53" s="4">
        <f>COUNTIF('ZEMIO_Cleaned Data'!ABP:ABP,"1")</f>
        <v>0</v>
      </c>
      <c r="F53" s="4">
        <f>COUNTIF('ZEMIO_Cleaned Data'!ABQ:ABQ,"1")</f>
        <v>2</v>
      </c>
      <c r="G53" s="4">
        <f>COUNTIF('ZEMIO_Cleaned Data'!ABR:ABR,"1")</f>
        <v>3</v>
      </c>
      <c r="H53" s="4">
        <f>COUNTIF('ZEMIO_Cleaned Data'!ABX:ABX,"1")</f>
        <v>1</v>
      </c>
      <c r="I53" s="4">
        <f>COUNTIF('ZEMIO_Cleaned Data'!ABT:ABT,"1")</f>
        <v>0</v>
      </c>
      <c r="J53" s="4">
        <f>COUNTIF('ZEMIO_Cleaned Data'!ABU:ABU,"1")</f>
        <v>1</v>
      </c>
      <c r="K53" s="4">
        <f>COUNTIF('ZEMIO_Cleaned Data'!ABV:ABV,"1")</f>
        <v>0</v>
      </c>
      <c r="L53" s="4">
        <f>COUNTIF('ZEMIO_Cleaned Data'!ABW:ABW,"1")</f>
        <v>1</v>
      </c>
    </row>
    <row r="54" spans="1:12" ht="26" x14ac:dyDescent="0.3">
      <c r="A54" s="52" t="s">
        <v>2007</v>
      </c>
      <c r="B54" s="6">
        <f>B53/$B$3</f>
        <v>0</v>
      </c>
      <c r="C54" s="6">
        <f t="shared" ref="C54:L54" si="9">C53/$B$3</f>
        <v>0</v>
      </c>
      <c r="D54" s="6">
        <f t="shared" si="9"/>
        <v>0.125</v>
      </c>
      <c r="E54" s="6">
        <f t="shared" si="9"/>
        <v>0</v>
      </c>
      <c r="F54" s="6">
        <f t="shared" si="9"/>
        <v>0.25</v>
      </c>
      <c r="G54" s="6">
        <f t="shared" si="9"/>
        <v>0.375</v>
      </c>
      <c r="H54" s="6">
        <f t="shared" si="9"/>
        <v>0.125</v>
      </c>
      <c r="I54" s="6">
        <f t="shared" si="9"/>
        <v>0</v>
      </c>
      <c r="J54" s="6">
        <f t="shared" si="9"/>
        <v>0.125</v>
      </c>
      <c r="K54" s="6">
        <f t="shared" si="9"/>
        <v>0</v>
      </c>
      <c r="L54" s="6">
        <f t="shared" si="9"/>
        <v>0.125</v>
      </c>
    </row>
    <row r="55" spans="1:12" x14ac:dyDescent="0.3">
      <c r="A55" s="64"/>
      <c r="J55" s="73" t="s">
        <v>2727</v>
      </c>
    </row>
    <row r="56" spans="1:12" x14ac:dyDescent="0.3">
      <c r="A56" s="17" t="s">
        <v>1276</v>
      </c>
    </row>
    <row r="57" spans="1:12" x14ac:dyDescent="0.3">
      <c r="A57" s="3"/>
      <c r="B57" s="7" t="s">
        <v>1201</v>
      </c>
      <c r="C57" s="7" t="s">
        <v>1200</v>
      </c>
      <c r="D57" s="106" t="s">
        <v>1197</v>
      </c>
    </row>
    <row r="58" spans="1:12" x14ac:dyDescent="0.3">
      <c r="A58" s="3" t="s">
        <v>1198</v>
      </c>
      <c r="B58" s="4">
        <f>COUNTIF('ZEMIO_Cleaned Data'!ACA:ACA,"Oui")</f>
        <v>7</v>
      </c>
      <c r="C58" s="4">
        <f>COUNTIF('ZEMIO_Cleaned Data'!ACA:ACA,"non")</f>
        <v>1</v>
      </c>
      <c r="D58" s="103">
        <f>SUM(B58:C58)</f>
        <v>8</v>
      </c>
    </row>
    <row r="59" spans="1:12" ht="26" x14ac:dyDescent="0.3">
      <c r="A59" s="52" t="s">
        <v>2007</v>
      </c>
      <c r="B59" s="6">
        <f>B58/$B$3</f>
        <v>0.875</v>
      </c>
      <c r="C59" s="6">
        <f>C58/$B$3</f>
        <v>0.125</v>
      </c>
      <c r="D59" s="107">
        <f>SUM(B59:C59)</f>
        <v>1</v>
      </c>
    </row>
    <row r="61" spans="1:12" x14ac:dyDescent="0.3">
      <c r="B61" s="17" t="s">
        <v>1277</v>
      </c>
    </row>
    <row r="62" spans="1:12" x14ac:dyDescent="0.3">
      <c r="B62" s="136">
        <f>AVERAGE('ZEMIO_Cleaned Data'!ACB:ACB)</f>
        <v>4</v>
      </c>
    </row>
    <row r="63" spans="1:12" x14ac:dyDescent="0.3">
      <c r="B63" s="20"/>
    </row>
    <row r="64" spans="1:12" x14ac:dyDescent="0.3">
      <c r="B64" s="17" t="s">
        <v>1278</v>
      </c>
    </row>
    <row r="65" spans="1:5" x14ac:dyDescent="0.3">
      <c r="B65" s="3"/>
      <c r="C65" s="10" t="s">
        <v>1201</v>
      </c>
      <c r="D65" s="10" t="s">
        <v>1200</v>
      </c>
      <c r="E65" s="106" t="s">
        <v>1197</v>
      </c>
    </row>
    <row r="66" spans="1:5" x14ac:dyDescent="0.3">
      <c r="B66" s="3" t="s">
        <v>1198</v>
      </c>
      <c r="C66" s="4">
        <f>COUNTIF('ZEMIO_Cleaned Data'!ACC:ACC,"Oui")</f>
        <v>6</v>
      </c>
      <c r="D66" s="4">
        <f>COUNTIF('ZEMIO_Cleaned Data'!ACC:ACC,"non")</f>
        <v>1</v>
      </c>
      <c r="E66" s="103">
        <f>SUM(C66:D66)</f>
        <v>7</v>
      </c>
    </row>
    <row r="67" spans="1:5" ht="49" x14ac:dyDescent="0.3">
      <c r="B67" s="52" t="s">
        <v>2011</v>
      </c>
      <c r="C67" s="6">
        <f>C66/$B$58</f>
        <v>0.8571428571428571</v>
      </c>
      <c r="D67" s="6">
        <f>D66/$B$58</f>
        <v>0.14285714285714285</v>
      </c>
      <c r="E67" s="107">
        <f>SUM(C67:D67)</f>
        <v>1</v>
      </c>
    </row>
    <row r="68" spans="1:5" x14ac:dyDescent="0.3">
      <c r="B68" s="13"/>
      <c r="C68" s="14"/>
      <c r="D68" s="14"/>
    </row>
    <row r="69" spans="1:5" x14ac:dyDescent="0.3">
      <c r="C69" s="17" t="s">
        <v>1279</v>
      </c>
    </row>
    <row r="70" spans="1:5" x14ac:dyDescent="0.3">
      <c r="C70" s="136">
        <f>AVERAGE('ZEMIO_Cleaned Data'!ACD:ACD)</f>
        <v>2</v>
      </c>
    </row>
    <row r="71" spans="1:5" x14ac:dyDescent="0.3">
      <c r="C71" s="17" t="s">
        <v>1280</v>
      </c>
    </row>
    <row r="72" spans="1:5" x14ac:dyDescent="0.3">
      <c r="C72" s="136">
        <f>AVERAGE('ZEMIO_Cleaned Data'!ACF:ACF)</f>
        <v>2</v>
      </c>
    </row>
    <row r="73" spans="1:5" x14ac:dyDescent="0.3">
      <c r="B73" s="20"/>
    </row>
    <row r="74" spans="1:5" x14ac:dyDescent="0.3">
      <c r="B74" s="17" t="s">
        <v>1282</v>
      </c>
    </row>
    <row r="75" spans="1:5" x14ac:dyDescent="0.3">
      <c r="B75" s="3"/>
      <c r="C75" s="10" t="s">
        <v>1201</v>
      </c>
      <c r="D75" s="10" t="s">
        <v>1200</v>
      </c>
      <c r="E75" s="106" t="s">
        <v>1197</v>
      </c>
    </row>
    <row r="76" spans="1:5" x14ac:dyDescent="0.3">
      <c r="B76" s="3" t="s">
        <v>1198</v>
      </c>
      <c r="C76" s="4">
        <f>COUNTIF('ZEMIO_Cleaned Data'!ACI:ACI,"Oui")</f>
        <v>4</v>
      </c>
      <c r="D76" s="4">
        <f>COUNTIF('ZEMIO_Cleaned Data'!ACI:ACI,"non")</f>
        <v>3</v>
      </c>
      <c r="E76" s="103">
        <f>SUM(C76:D76)</f>
        <v>7</v>
      </c>
    </row>
    <row r="77" spans="1:5" ht="49" x14ac:dyDescent="0.3">
      <c r="B77" s="52" t="s">
        <v>2011</v>
      </c>
      <c r="C77" s="6">
        <f>C76/$B$58</f>
        <v>0.5714285714285714</v>
      </c>
      <c r="D77" s="6">
        <f>D76/$B$58</f>
        <v>0.42857142857142855</v>
      </c>
      <c r="E77" s="107">
        <f>SUM(C77:D77)</f>
        <v>1</v>
      </c>
    </row>
    <row r="78" spans="1:5" x14ac:dyDescent="0.3">
      <c r="B78" s="17"/>
    </row>
    <row r="79" spans="1:5" x14ac:dyDescent="0.3">
      <c r="A79" s="17" t="s">
        <v>1281</v>
      </c>
    </row>
    <row r="80" spans="1:5" x14ac:dyDescent="0.3">
      <c r="A80" s="3"/>
      <c r="B80" s="7" t="s">
        <v>1201</v>
      </c>
      <c r="C80" s="7" t="s">
        <v>1200</v>
      </c>
      <c r="D80" s="106" t="s">
        <v>1197</v>
      </c>
    </row>
    <row r="81" spans="1:12" x14ac:dyDescent="0.3">
      <c r="A81" s="3" t="s">
        <v>1198</v>
      </c>
      <c r="B81" s="4">
        <f>COUNTIF('ZEMIO_Cleaned Data'!ACJ:ACJ,"Oui")</f>
        <v>1</v>
      </c>
      <c r="C81" s="4">
        <f>COUNTIF('ZEMIO_Cleaned Data'!ACJ:ACJ,"non")</f>
        <v>7</v>
      </c>
      <c r="D81" s="103">
        <f>SUM(B81:C81)</f>
        <v>8</v>
      </c>
    </row>
    <row r="82" spans="1:12" ht="26" x14ac:dyDescent="0.3">
      <c r="A82" s="52" t="s">
        <v>2007</v>
      </c>
      <c r="B82" s="6">
        <f>B81/$B$3</f>
        <v>0.125</v>
      </c>
      <c r="C82" s="6">
        <f>C81/$B$3</f>
        <v>0.875</v>
      </c>
      <c r="D82" s="107">
        <f>SUM(B82:C82)</f>
        <v>1</v>
      </c>
    </row>
    <row r="83" spans="1:12" x14ac:dyDescent="0.3">
      <c r="A83" s="13"/>
      <c r="B83" s="14"/>
      <c r="C83" s="14"/>
    </row>
    <row r="84" spans="1:12" x14ac:dyDescent="0.3">
      <c r="A84" s="13"/>
      <c r="B84" s="14" t="s">
        <v>1964</v>
      </c>
      <c r="C84" s="14"/>
    </row>
    <row r="85" spans="1:12" ht="45.5" customHeight="1" x14ac:dyDescent="0.3">
      <c r="A85" s="13"/>
      <c r="B85" s="3"/>
      <c r="C85" s="10" t="s">
        <v>1971</v>
      </c>
      <c r="D85" s="10" t="s">
        <v>1965</v>
      </c>
      <c r="E85" s="10" t="s">
        <v>1966</v>
      </c>
      <c r="F85" s="10" t="s">
        <v>1194</v>
      </c>
      <c r="G85" s="10" t="s">
        <v>1970</v>
      </c>
      <c r="H85" s="10" t="s">
        <v>1969</v>
      </c>
      <c r="I85" s="10" t="s">
        <v>1968</v>
      </c>
      <c r="J85" s="10" t="s">
        <v>1967</v>
      </c>
      <c r="K85" s="10" t="s">
        <v>1196</v>
      </c>
      <c r="L85" s="106" t="s">
        <v>1197</v>
      </c>
    </row>
    <row r="86" spans="1:12" x14ac:dyDescent="0.3">
      <c r="A86" s="13"/>
      <c r="B86" s="3" t="s">
        <v>1198</v>
      </c>
      <c r="C86" s="4">
        <f>COUNTIF('ZEMIO_Cleaned Data'!ACK:ACK,"fontaine")</f>
        <v>0</v>
      </c>
      <c r="D86" s="4">
        <f>COUNTIF('ZEMIO_Cleaned Data'!ACK:ACK,"pompe_main")</f>
        <v>1</v>
      </c>
      <c r="E86" s="4">
        <f>COUNTIF('ZEMIO_Cleaned Data'!ACK:ACK,"pompe_pied")</f>
        <v>0</v>
      </c>
      <c r="F86" s="4">
        <f>COUNTIF('ZEMIO_Cleaned Data'!ACK:ACK,"puits_protege")</f>
        <v>0</v>
      </c>
      <c r="G86" s="4">
        <f>COUNTIF('ZEMIO_Cleaned Data'!ACK:ACK,"puits_non_protege")</f>
        <v>0</v>
      </c>
      <c r="H86" s="4">
        <f>COUNTIF('ZEMIO_Cleaned Data'!ACK:ACK,"source_amenagee")</f>
        <v>0</v>
      </c>
      <c r="I86" s="4">
        <f>COUNTIF('ZEMIO_Cleaned Data'!ACK:ACK,"source_non_amenagee")</f>
        <v>0</v>
      </c>
      <c r="J86" s="4">
        <f>COUNTIF('ZEMIO_Cleaned Data'!ACK:ACK,"camion")</f>
        <v>0</v>
      </c>
      <c r="K86" s="4">
        <f>COUNTIF('ZEMIO_Cleaned Data'!ACK:ACK,"autre")</f>
        <v>0</v>
      </c>
      <c r="L86" s="103">
        <f>SUM(C86:K86)</f>
        <v>1</v>
      </c>
    </row>
    <row r="87" spans="1:12" ht="49" x14ac:dyDescent="0.3">
      <c r="A87" s="13"/>
      <c r="B87" s="52" t="s">
        <v>2012</v>
      </c>
      <c r="C87" s="6">
        <f>C86/$B$81</f>
        <v>0</v>
      </c>
      <c r="D87" s="6">
        <f t="shared" ref="D87:K87" si="10">D86/$B$81</f>
        <v>1</v>
      </c>
      <c r="E87" s="6">
        <f t="shared" si="10"/>
        <v>0</v>
      </c>
      <c r="F87" s="6">
        <f t="shared" si="10"/>
        <v>0</v>
      </c>
      <c r="G87" s="6">
        <f t="shared" si="10"/>
        <v>0</v>
      </c>
      <c r="H87" s="6">
        <f t="shared" si="10"/>
        <v>0</v>
      </c>
      <c r="I87" s="6">
        <f t="shared" si="10"/>
        <v>0</v>
      </c>
      <c r="J87" s="6">
        <f t="shared" si="10"/>
        <v>0</v>
      </c>
      <c r="K87" s="6">
        <f t="shared" si="10"/>
        <v>0</v>
      </c>
      <c r="L87" s="107">
        <f>SUM(C87:K87)</f>
        <v>1</v>
      </c>
    </row>
    <row r="89" spans="1:12" x14ac:dyDescent="0.3">
      <c r="A89" s="20" t="s">
        <v>1292</v>
      </c>
    </row>
    <row r="90" spans="1:12" ht="15.5" x14ac:dyDescent="0.35">
      <c r="A90" s="66" t="s">
        <v>1765</v>
      </c>
      <c r="E90" s="28" t="s">
        <v>1764</v>
      </c>
    </row>
    <row r="91" spans="1:12" x14ac:dyDescent="0.3">
      <c r="A91" s="65">
        <f>AVERAGE('ZEMIO_Cleaned Data'!ABZ:ABZ)</f>
        <v>6.8571428571428568</v>
      </c>
      <c r="E91" s="18">
        <f>AVERAGE('ZEMIO_Cleaned Data'!ACN:ACN)</f>
        <v>459.83333333333331</v>
      </c>
    </row>
    <row r="92" spans="1:12" x14ac:dyDescent="0.3">
      <c r="A92" s="65"/>
    </row>
    <row r="93" spans="1:12" x14ac:dyDescent="0.3">
      <c r="A93" s="65"/>
      <c r="D93" s="69">
        <f>E91/A91</f>
        <v>67.059027777777786</v>
      </c>
      <c r="E93" s="67" t="s">
        <v>1766</v>
      </c>
    </row>
    <row r="94" spans="1:12" x14ac:dyDescent="0.3">
      <c r="A94" s="65"/>
    </row>
    <row r="95" spans="1:12" ht="15.5" x14ac:dyDescent="0.35">
      <c r="A95" s="17" t="s">
        <v>1768</v>
      </c>
      <c r="E95" s="28" t="s">
        <v>1767</v>
      </c>
    </row>
    <row r="96" spans="1:12" x14ac:dyDescent="0.3">
      <c r="A96" s="68">
        <f>AVERAGEIF('ZEMIO_Cleaned Data'!ZT:ZT,"public", 'ZEMIO_Cleaned Data'!ABZ:ABZ)</f>
        <v>5.5</v>
      </c>
      <c r="E96" s="18">
        <f>AVERAGEIF('ZEMIO_Cleaned Data'!ZT:ZT,"public",'ZEMIO_Cleaned Data'!ACN:ACN)</f>
        <v>189</v>
      </c>
    </row>
    <row r="98" spans="1:7" x14ac:dyDescent="0.3">
      <c r="D98" s="69">
        <f>E96/A96</f>
        <v>34.363636363636367</v>
      </c>
      <c r="E98" s="67" t="s">
        <v>1766</v>
      </c>
    </row>
    <row r="100" spans="1:7" ht="15.5" x14ac:dyDescent="0.35">
      <c r="A100" s="17" t="s">
        <v>1770</v>
      </c>
      <c r="E100" s="17"/>
    </row>
    <row r="101" spans="1:7" x14ac:dyDescent="0.3">
      <c r="A101" s="87">
        <f>AVERAGE('ZEMIO_Cleaned Data'!ACO:ACO)</f>
        <v>242</v>
      </c>
      <c r="E101" s="17"/>
    </row>
    <row r="102" spans="1:7" ht="15.5" x14ac:dyDescent="0.35">
      <c r="A102" s="28" t="s">
        <v>1769</v>
      </c>
      <c r="E102" s="17"/>
    </row>
    <row r="103" spans="1:7" x14ac:dyDescent="0.3">
      <c r="A103" s="87">
        <f>AVERAGE('ZEMIO_Cleaned Data'!ACQ:ACQ)</f>
        <v>217.83333333333334</v>
      </c>
      <c r="E103" s="18"/>
    </row>
    <row r="105" spans="1:7" x14ac:dyDescent="0.3">
      <c r="A105" s="30" t="s">
        <v>1776</v>
      </c>
    </row>
    <row r="106" spans="1:7" x14ac:dyDescent="0.3">
      <c r="A106" s="3"/>
      <c r="B106" s="7" t="s">
        <v>1201</v>
      </c>
      <c r="C106" s="7" t="s">
        <v>1200</v>
      </c>
      <c r="D106" s="7" t="s">
        <v>2006</v>
      </c>
      <c r="E106" s="106" t="s">
        <v>1197</v>
      </c>
    </row>
    <row r="107" spans="1:7" x14ac:dyDescent="0.3">
      <c r="A107" s="3" t="s">
        <v>1198</v>
      </c>
      <c r="B107" s="23">
        <f>COUNTIF('ZEMIO_Cleaned Data'!ACV:ACV,"Oui")</f>
        <v>6</v>
      </c>
      <c r="C107" s="23">
        <f>COUNTIF('ZEMIO_Cleaned Data'!ACV:ACV,"non")</f>
        <v>0</v>
      </c>
      <c r="D107" s="23">
        <f>COUNTIF('ZEMIO_Cleaned Data'!ACV:ACV,"nsp")</f>
        <v>0</v>
      </c>
      <c r="E107" s="103">
        <f>SUM(B107:D107)</f>
        <v>6</v>
      </c>
    </row>
    <row r="108" spans="1:7" ht="37.5" x14ac:dyDescent="0.3">
      <c r="A108" s="52" t="s">
        <v>2013</v>
      </c>
      <c r="B108" s="6">
        <f>B107/$E$23</f>
        <v>1</v>
      </c>
      <c r="C108" s="6">
        <f>C107/$E$23</f>
        <v>0</v>
      </c>
      <c r="D108" s="6">
        <f>D107/$E$23</f>
        <v>0</v>
      </c>
      <c r="E108" s="107">
        <f>SUM(B108:C108)</f>
        <v>1</v>
      </c>
    </row>
    <row r="109" spans="1:7" x14ac:dyDescent="0.3">
      <c r="A109" s="29"/>
    </row>
    <row r="110" spans="1:7" x14ac:dyDescent="0.3">
      <c r="A110" s="29"/>
      <c r="B110" s="17" t="s">
        <v>1296</v>
      </c>
    </row>
    <row r="111" spans="1:7" ht="28" x14ac:dyDescent="0.3">
      <c r="B111" s="3"/>
      <c r="C111" s="10" t="s">
        <v>1297</v>
      </c>
      <c r="D111" s="10" t="s">
        <v>1298</v>
      </c>
      <c r="E111" s="10" t="s">
        <v>1299</v>
      </c>
      <c r="F111" s="10" t="s">
        <v>1216</v>
      </c>
      <c r="G111" s="106" t="s">
        <v>1197</v>
      </c>
    </row>
    <row r="112" spans="1:7" x14ac:dyDescent="0.3">
      <c r="B112" s="3" t="s">
        <v>1198</v>
      </c>
      <c r="C112" s="23">
        <f>COUNTIF('ZEMIO_Cleaned Data'!ACW:ACW,"peu_diminue")</f>
        <v>3</v>
      </c>
      <c r="D112" s="23">
        <f>COUNTIF('ZEMIO_Cleaned Data'!ACW:ACW,"bcp_diminue")</f>
        <v>2</v>
      </c>
      <c r="E112" s="23">
        <f>COUNTIF('ZEMIO_Cleaned Data'!ACW:ACW,"peu_augmente")</f>
        <v>0</v>
      </c>
      <c r="F112" s="23">
        <f>COUNTIF('ZEMIO_Cleaned Data'!ACW:ACW,"bcp_augmente")</f>
        <v>1</v>
      </c>
      <c r="G112" s="103">
        <f>SUM(C112:F112)</f>
        <v>6</v>
      </c>
    </row>
    <row r="113" spans="1:10" ht="49" x14ac:dyDescent="0.3">
      <c r="B113" s="52" t="s">
        <v>2014</v>
      </c>
      <c r="C113" s="6">
        <f>C112/$B$107</f>
        <v>0.5</v>
      </c>
      <c r="D113" s="6">
        <f t="shared" ref="D113:F113" si="11">D112/$B$107</f>
        <v>0.33333333333333331</v>
      </c>
      <c r="E113" s="6">
        <f t="shared" si="11"/>
        <v>0</v>
      </c>
      <c r="F113" s="6">
        <f t="shared" si="11"/>
        <v>0.16666666666666666</v>
      </c>
      <c r="G113" s="6">
        <f>SUM(C113:F113)</f>
        <v>0.99999999999999989</v>
      </c>
    </row>
    <row r="115" spans="1:10" x14ac:dyDescent="0.3">
      <c r="B115" s="17" t="s">
        <v>1218</v>
      </c>
      <c r="D115" s="95" t="s">
        <v>1994</v>
      </c>
    </row>
    <row r="116" spans="1:10" ht="44" customHeight="1" x14ac:dyDescent="0.3">
      <c r="B116" s="3"/>
      <c r="C116" s="10" t="s">
        <v>1301</v>
      </c>
      <c r="D116" s="10" t="s">
        <v>1302</v>
      </c>
      <c r="E116" s="10" t="s">
        <v>1303</v>
      </c>
      <c r="F116" s="10" t="s">
        <v>1304</v>
      </c>
      <c r="G116" s="10" t="s">
        <v>1771</v>
      </c>
      <c r="H116" s="10" t="s">
        <v>1706</v>
      </c>
      <c r="I116" s="10" t="s">
        <v>1196</v>
      </c>
    </row>
    <row r="117" spans="1:10" x14ac:dyDescent="0.3">
      <c r="B117" s="3" t="s">
        <v>1198</v>
      </c>
      <c r="C117" s="23">
        <f>COUNTIF('ZEMIO_Cleaned Data'!ACY:ACY,"1")</f>
        <v>0</v>
      </c>
      <c r="D117" s="23">
        <f>COUNTIF('ZEMIO_Cleaned Data'!ACZ:ACZ,"1")</f>
        <v>1</v>
      </c>
      <c r="E117" s="23">
        <f>COUNTIF('ZEMIO_Cleaned Data'!ADA:ADA,"1")</f>
        <v>0</v>
      </c>
      <c r="F117" s="23">
        <f>COUNTIF('ZEMIO_Cleaned Data'!ADB:ADB,"1")</f>
        <v>0</v>
      </c>
      <c r="G117" s="23">
        <f>COUNTIF('ZEMIO_Cleaned Data'!ADE:ADE,"1")</f>
        <v>0</v>
      </c>
      <c r="H117" s="23">
        <f>COUNTIF('ZEMIO_Cleaned Data'!ADC:ADC,"1")</f>
        <v>0</v>
      </c>
      <c r="I117" s="23">
        <f>COUNTIF('ZEMIO_Cleaned Data'!ADD:ADD,"1")</f>
        <v>0</v>
      </c>
    </row>
    <row r="118" spans="1:10" ht="49" x14ac:dyDescent="0.3">
      <c r="B118" s="52" t="s">
        <v>2015</v>
      </c>
      <c r="C118" s="6">
        <f>C117/SUM(E112,F112)</f>
        <v>0</v>
      </c>
      <c r="D118" s="6">
        <f>D117/SUM(E112,F112)</f>
        <v>1</v>
      </c>
      <c r="E118" s="6">
        <f>E117/SUM(E112,F112)</f>
        <v>0</v>
      </c>
      <c r="F118" s="6">
        <f>F117/SUM(E112,F112)</f>
        <v>0</v>
      </c>
      <c r="G118" s="6">
        <f>G117/SUM(E112,F112)</f>
        <v>0</v>
      </c>
      <c r="H118" s="6">
        <f>H117/SUM(E112,F112)</f>
        <v>0</v>
      </c>
      <c r="I118" s="6">
        <f>I117/SUM(F112,G112)</f>
        <v>0</v>
      </c>
    </row>
    <row r="119" spans="1:10" x14ac:dyDescent="0.3">
      <c r="B119" s="49"/>
    </row>
    <row r="120" spans="1:10" x14ac:dyDescent="0.3">
      <c r="B120" s="17" t="s">
        <v>1300</v>
      </c>
      <c r="D120" s="95" t="s">
        <v>1994</v>
      </c>
    </row>
    <row r="121" spans="1:10" s="35" customFormat="1" ht="70" x14ac:dyDescent="0.35">
      <c r="B121" s="42"/>
      <c r="C121" s="10" t="s">
        <v>1305</v>
      </c>
      <c r="D121" s="10" t="s">
        <v>1306</v>
      </c>
      <c r="E121" s="10" t="s">
        <v>1772</v>
      </c>
      <c r="F121" s="10" t="s">
        <v>1307</v>
      </c>
      <c r="G121" s="10" t="s">
        <v>1308</v>
      </c>
      <c r="H121" s="10" t="s">
        <v>1773</v>
      </c>
      <c r="I121" s="10" t="s">
        <v>1706</v>
      </c>
      <c r="J121" s="10" t="s">
        <v>1196</v>
      </c>
    </row>
    <row r="122" spans="1:10" x14ac:dyDescent="0.3">
      <c r="B122" s="3" t="s">
        <v>1198</v>
      </c>
      <c r="C122" s="23">
        <f>COUNTIF('ZEMIO_Cleaned Data'!ADH:ADH,"1")</f>
        <v>3</v>
      </c>
      <c r="D122" s="23">
        <f>COUNTIF('ZEMIO_Cleaned Data'!ADI:ADI,"1")</f>
        <v>1</v>
      </c>
      <c r="E122" s="23">
        <f>COUNTIF('ZEMIO_Cleaned Data'!ADJ:ADJ,"1")</f>
        <v>2</v>
      </c>
      <c r="F122" s="23">
        <f>COUNTIF('ZEMIO_Cleaned Data'!ADK:ADK,"1")</f>
        <v>0</v>
      </c>
      <c r="G122" s="23">
        <f>COUNTIF('ZEMIO_Cleaned Data'!ADL:ADL,"1")</f>
        <v>0</v>
      </c>
      <c r="H122" s="23">
        <f>COUNTIF('ZEMIO_Cleaned Data'!ADO:ADO,"1")</f>
        <v>2</v>
      </c>
      <c r="I122" s="23">
        <f>COUNTIF('ZEMIO_Cleaned Data'!ADM:ADM,"1")</f>
        <v>0</v>
      </c>
      <c r="J122" s="23">
        <f>COUNTIF('ZEMIO_Cleaned Data'!ADN:ADN,"1")</f>
        <v>0</v>
      </c>
    </row>
    <row r="123" spans="1:10" ht="49" x14ac:dyDescent="0.3">
      <c r="B123" s="52" t="s">
        <v>2016</v>
      </c>
      <c r="C123" s="6">
        <f>C122/SUM(C112,D112)</f>
        <v>0.6</v>
      </c>
      <c r="D123" s="6">
        <f>D122/SUM(C112,D112)</f>
        <v>0.2</v>
      </c>
      <c r="E123" s="6">
        <f>E122/SUM(C112,D112)</f>
        <v>0.4</v>
      </c>
      <c r="F123" s="6">
        <f>F122/SUM(C112,D112)</f>
        <v>0</v>
      </c>
      <c r="G123" s="6">
        <f>G122/SUM(C112,D112)</f>
        <v>0</v>
      </c>
      <c r="H123" s="6">
        <f>H122/SUM(C112,D112)</f>
        <v>0.4</v>
      </c>
      <c r="I123" s="6">
        <f>I122/SUM(C112,D112)</f>
        <v>0</v>
      </c>
      <c r="J123" s="6">
        <f>J122/SUM(C112,D112)</f>
        <v>0</v>
      </c>
    </row>
    <row r="125" spans="1:10" x14ac:dyDescent="0.3">
      <c r="A125" s="17" t="s">
        <v>1313</v>
      </c>
    </row>
    <row r="126" spans="1:10" x14ac:dyDescent="0.3">
      <c r="A126" s="27">
        <f>AVERAGE('ZEMIO_Cleaned Data'!ADQ:ADQ)</f>
        <v>4.166666666666667</v>
      </c>
    </row>
    <row r="127" spans="1:10" x14ac:dyDescent="0.3">
      <c r="A127" s="27"/>
    </row>
    <row r="128" spans="1:10" x14ac:dyDescent="0.3">
      <c r="A128" s="17" t="s">
        <v>1309</v>
      </c>
    </row>
    <row r="129" spans="1:5" x14ac:dyDescent="0.3">
      <c r="A129" s="27">
        <f>AVERAGE('ZEMIO_Cleaned Data'!AEO:AEO)</f>
        <v>1.5</v>
      </c>
    </row>
    <row r="130" spans="1:5" x14ac:dyDescent="0.3">
      <c r="A130" s="26"/>
    </row>
    <row r="131" spans="1:5" x14ac:dyDescent="0.3">
      <c r="A131" s="17" t="s">
        <v>1310</v>
      </c>
    </row>
    <row r="132" spans="1:5" x14ac:dyDescent="0.3">
      <c r="A132" s="18">
        <f>AVERAGE('ZEMIO_Cleaned Data'!AFL:AFL)</f>
        <v>5.166666666666667</v>
      </c>
    </row>
    <row r="133" spans="1:5" x14ac:dyDescent="0.3">
      <c r="A133" s="18"/>
    </row>
    <row r="134" spans="1:5" x14ac:dyDescent="0.3">
      <c r="A134" s="30" t="s">
        <v>1311</v>
      </c>
    </row>
    <row r="135" spans="1:5" ht="42" x14ac:dyDescent="0.3">
      <c r="A135" s="3"/>
      <c r="B135" s="7" t="s">
        <v>1201</v>
      </c>
      <c r="C135" s="7" t="s">
        <v>1312</v>
      </c>
      <c r="D135" s="7" t="s">
        <v>1200</v>
      </c>
      <c r="E135" s="106" t="s">
        <v>1197</v>
      </c>
    </row>
    <row r="136" spans="1:5" x14ac:dyDescent="0.3">
      <c r="A136" s="3" t="s">
        <v>1198</v>
      </c>
      <c r="B136" s="23">
        <f>COUNTIF('ZEMIO_Cleaned Data'!AGH:AGH,"Oui")</f>
        <v>1</v>
      </c>
      <c r="C136" s="23">
        <f>COUNTIF('ZEMIO_Cleaned Data'!AGH:AGH,"oui_rc")</f>
        <v>4</v>
      </c>
      <c r="D136" s="23">
        <f>COUNTIF('ZEMIO_Cleaned Data'!AGH:AGH,"non_rc")</f>
        <v>1</v>
      </c>
      <c r="E136" s="103">
        <f>SUM(B136:D136)</f>
        <v>6</v>
      </c>
    </row>
    <row r="137" spans="1:5" ht="37.5" x14ac:dyDescent="0.3">
      <c r="A137" s="52" t="s">
        <v>1774</v>
      </c>
      <c r="B137" s="6">
        <f>B136/$E$23</f>
        <v>0.16666666666666666</v>
      </c>
      <c r="C137" s="6">
        <f t="shared" ref="C137:D137" si="12">C136/$E$23</f>
        <v>0.66666666666666663</v>
      </c>
      <c r="D137" s="6">
        <f t="shared" si="12"/>
        <v>0.16666666666666666</v>
      </c>
      <c r="E137" s="6">
        <f>SUM(B137:D137)</f>
        <v>0.99999999999999989</v>
      </c>
    </row>
    <row r="138" spans="1:5" x14ac:dyDescent="0.3">
      <c r="A138" s="18"/>
    </row>
    <row r="139" spans="1:5" x14ac:dyDescent="0.3">
      <c r="A139" s="30" t="s">
        <v>1976</v>
      </c>
    </row>
    <row r="140" spans="1:5" ht="42" x14ac:dyDescent="0.3">
      <c r="A140" s="3"/>
      <c r="B140" s="7" t="s">
        <v>1201</v>
      </c>
      <c r="C140" s="7" t="s">
        <v>1312</v>
      </c>
      <c r="D140" s="7" t="s">
        <v>1200</v>
      </c>
      <c r="E140" s="106" t="s">
        <v>1197</v>
      </c>
    </row>
    <row r="141" spans="1:5" x14ac:dyDescent="0.3">
      <c r="A141" s="3" t="s">
        <v>1198</v>
      </c>
      <c r="B141" s="23">
        <f>COUNTIF('ZEMIO_Cleaned Data'!AGI:AGI,"Oui")</f>
        <v>0</v>
      </c>
      <c r="C141" s="23">
        <f>COUNTIF('ZEMIO_Cleaned Data'!AGI:AGI,"oui_rc")</f>
        <v>3</v>
      </c>
      <c r="D141" s="23">
        <f>COUNTIF('ZEMIO_Cleaned Data'!AGI:AGI,"non_rc")</f>
        <v>3</v>
      </c>
      <c r="E141" s="103">
        <f>SUM(B141:D141)</f>
        <v>6</v>
      </c>
    </row>
    <row r="142" spans="1:5" ht="37.5" x14ac:dyDescent="0.3">
      <c r="A142" s="52" t="s">
        <v>2017</v>
      </c>
      <c r="B142" s="6">
        <f>B141/$E$23</f>
        <v>0</v>
      </c>
      <c r="C142" s="6">
        <f t="shared" ref="C142:D142" si="13">C141/$E$23</f>
        <v>0.5</v>
      </c>
      <c r="D142" s="6">
        <f t="shared" si="13"/>
        <v>0.5</v>
      </c>
      <c r="E142" s="6">
        <f>SUM(B142:D142)</f>
        <v>1</v>
      </c>
    </row>
    <row r="143" spans="1:5" x14ac:dyDescent="0.3">
      <c r="A143" s="18"/>
    </row>
    <row r="145" spans="1:8" ht="15.5" x14ac:dyDescent="0.35">
      <c r="A145" s="8" t="s">
        <v>1283</v>
      </c>
    </row>
    <row r="146" spans="1:8" x14ac:dyDescent="0.3">
      <c r="A146" s="17" t="s">
        <v>1763</v>
      </c>
    </row>
    <row r="147" spans="1:8" x14ac:dyDescent="0.3">
      <c r="A147" s="3"/>
      <c r="B147" s="7" t="s">
        <v>1201</v>
      </c>
      <c r="C147" s="7" t="s">
        <v>1200</v>
      </c>
      <c r="D147" s="7" t="s">
        <v>1897</v>
      </c>
      <c r="E147" s="106" t="s">
        <v>1197</v>
      </c>
    </row>
    <row r="148" spans="1:8" x14ac:dyDescent="0.3">
      <c r="A148" s="3" t="s">
        <v>1198</v>
      </c>
      <c r="B148" s="23">
        <f>COUNTIF('ZEMIO_Cleaned Data'!ACM:ACM,"Oui")</f>
        <v>0</v>
      </c>
      <c r="C148" s="23">
        <f>COUNTIF('ZEMIO_Cleaned Data'!ACM:ACM,"non")</f>
        <v>4</v>
      </c>
      <c r="D148" s="23">
        <f>COUNTIF('ZEMIO_Cleaned Data'!ACM:ACM,"difficilement")</f>
        <v>2</v>
      </c>
      <c r="E148" s="103">
        <f>SUM(B148:D148)</f>
        <v>6</v>
      </c>
    </row>
    <row r="149" spans="1:8" s="35" customFormat="1" ht="39" customHeight="1" x14ac:dyDescent="0.3">
      <c r="A149" s="52" t="s">
        <v>2017</v>
      </c>
      <c r="B149" s="54">
        <f>B148/$E$23</f>
        <v>0</v>
      </c>
      <c r="C149" s="54">
        <f>C148/$E$23</f>
        <v>0.66666666666666663</v>
      </c>
      <c r="D149" s="54">
        <f>D148/$E$23</f>
        <v>0.33333333333333331</v>
      </c>
      <c r="E149" s="6">
        <f>SUM(B149:D149)</f>
        <v>1</v>
      </c>
    </row>
    <row r="150" spans="1:8" ht="15.5" x14ac:dyDescent="0.35">
      <c r="A150" s="8"/>
    </row>
    <row r="151" spans="1:8" x14ac:dyDescent="0.3">
      <c r="A151" s="17" t="s">
        <v>1314</v>
      </c>
    </row>
    <row r="152" spans="1:8" x14ac:dyDescent="0.3">
      <c r="A152" s="3"/>
      <c r="B152" s="7" t="s">
        <v>1201</v>
      </c>
      <c r="C152" s="7" t="s">
        <v>1200</v>
      </c>
      <c r="D152" s="106" t="s">
        <v>1197</v>
      </c>
    </row>
    <row r="153" spans="1:8" x14ac:dyDescent="0.3">
      <c r="A153" s="3" t="s">
        <v>1198</v>
      </c>
      <c r="B153" s="23">
        <f>COUNTIF('ZEMIO_Cleaned Data'!AGJ:AGJ,"Oui")</f>
        <v>4</v>
      </c>
      <c r="C153" s="23">
        <f>COUNTIF('ZEMIO_Cleaned Data'!AGJ:AGJ,"non")</f>
        <v>2</v>
      </c>
      <c r="D153" s="103">
        <f>SUM(B153:C153)</f>
        <v>6</v>
      </c>
    </row>
    <row r="154" spans="1:8" s="35" customFormat="1" ht="37.5" x14ac:dyDescent="0.3">
      <c r="A154" s="52" t="s">
        <v>2017</v>
      </c>
      <c r="B154" s="54">
        <f>B153/$E$23</f>
        <v>0.66666666666666663</v>
      </c>
      <c r="C154" s="54">
        <f>C153/$E$23</f>
        <v>0.33333333333333331</v>
      </c>
      <c r="D154" s="6">
        <f>SUM(B154:C154)</f>
        <v>1</v>
      </c>
    </row>
    <row r="155" spans="1:8" x14ac:dyDescent="0.3">
      <c r="A155" s="13"/>
      <c r="B155" s="14"/>
      <c r="C155" s="14"/>
    </row>
    <row r="156" spans="1:8" x14ac:dyDescent="0.3">
      <c r="A156" s="33" t="s">
        <v>1972</v>
      </c>
      <c r="B156" s="14"/>
      <c r="C156" s="14"/>
      <c r="E156" s="17" t="s">
        <v>1777</v>
      </c>
    </row>
    <row r="157" spans="1:8" x14ac:dyDescent="0.3">
      <c r="A157" s="31">
        <f>AVERAGE('ZEMIO_Cleaned Data'!AGK35:AGK38)</f>
        <v>3000</v>
      </c>
      <c r="B157" s="32" t="s">
        <v>1315</v>
      </c>
      <c r="C157" s="14"/>
      <c r="E157" s="3"/>
      <c r="F157" s="10" t="s">
        <v>1201</v>
      </c>
      <c r="G157" s="10" t="s">
        <v>1200</v>
      </c>
      <c r="H157" s="106" t="s">
        <v>1197</v>
      </c>
    </row>
    <row r="158" spans="1:8" x14ac:dyDescent="0.3">
      <c r="A158" s="31"/>
      <c r="B158" s="32"/>
      <c r="C158" s="14"/>
      <c r="E158" s="3" t="s">
        <v>1198</v>
      </c>
      <c r="F158" s="23">
        <f>COUNTIF('ZEMIO_Cleaned Data'!AGT:AGT,"Oui")</f>
        <v>1</v>
      </c>
      <c r="G158" s="23">
        <f>COUNTIF('ZEMIO_Cleaned Data'!AGT:AGT,"non")</f>
        <v>3</v>
      </c>
      <c r="H158" s="103">
        <f>SUM(F158:G158)</f>
        <v>4</v>
      </c>
    </row>
    <row r="159" spans="1:8" ht="26" x14ac:dyDescent="0.3">
      <c r="A159" s="33" t="s">
        <v>1973</v>
      </c>
      <c r="B159" s="32"/>
      <c r="C159" s="14"/>
      <c r="E159" s="52" t="s">
        <v>2018</v>
      </c>
      <c r="F159" s="6">
        <f>F158/$B$153</f>
        <v>0.25</v>
      </c>
      <c r="G159" s="6">
        <f>G158/$B$153</f>
        <v>0.75</v>
      </c>
      <c r="H159" s="6">
        <f>SUM(F159:G159)</f>
        <v>1</v>
      </c>
    </row>
    <row r="160" spans="1:8" x14ac:dyDescent="0.3">
      <c r="A160" s="31" t="e">
        <f>AVERAGE('ZEMIO_Cleaned Data'!#REF!)</f>
        <v>#REF!</v>
      </c>
      <c r="B160" s="32" t="s">
        <v>1315</v>
      </c>
      <c r="C160" s="14"/>
    </row>
    <row r="161" spans="1:13" x14ac:dyDescent="0.3">
      <c r="A161" s="31"/>
      <c r="B161" s="32"/>
      <c r="C161" s="14"/>
    </row>
    <row r="162" spans="1:13" x14ac:dyDescent="0.3">
      <c r="A162" s="16" t="s">
        <v>1316</v>
      </c>
      <c r="B162" s="32"/>
      <c r="C162" s="95" t="s">
        <v>1994</v>
      </c>
    </row>
    <row r="163" spans="1:13" s="35" customFormat="1" ht="59.5" customHeight="1" x14ac:dyDescent="0.35">
      <c r="A163" s="7" t="s">
        <v>1317</v>
      </c>
      <c r="B163" s="7" t="s">
        <v>1318</v>
      </c>
      <c r="C163" s="7" t="s">
        <v>1319</v>
      </c>
      <c r="D163" s="7" t="s">
        <v>1320</v>
      </c>
      <c r="E163" s="7" t="s">
        <v>1706</v>
      </c>
      <c r="F163" s="7" t="s">
        <v>1196</v>
      </c>
    </row>
    <row r="164" spans="1:13" x14ac:dyDescent="0.3">
      <c r="A164" s="3">
        <f>COUNTIF('ZEMIO_Cleaned Data'!AGM:AGM,"1")</f>
        <v>4</v>
      </c>
      <c r="B164" s="3">
        <f>COUNTIF('ZEMIO_Cleaned Data'!AGN:AGN,"1")</f>
        <v>4</v>
      </c>
      <c r="C164" s="3">
        <f>COUNTIF('ZEMIO_Cleaned Data'!AGO:AGO,"1")</f>
        <v>0</v>
      </c>
      <c r="D164" s="3">
        <f>COUNTIF('ZEMIO_Cleaned Data'!AGP:AGP,"1")</f>
        <v>1</v>
      </c>
      <c r="E164" s="3">
        <f>COUNTIF('ZEMIO_Cleaned Data'!AGQ:AGQ,"1")</f>
        <v>0</v>
      </c>
      <c r="F164" s="3">
        <f>COUNTIF('ZEMIO_Cleaned Data'!AGR:AGR,"1")</f>
        <v>0</v>
      </c>
    </row>
    <row r="165" spans="1:13" x14ac:dyDescent="0.3">
      <c r="A165" s="13"/>
      <c r="B165" s="13"/>
      <c r="C165" s="13"/>
      <c r="D165" s="13"/>
      <c r="E165" s="13"/>
      <c r="F165" s="75"/>
    </row>
    <row r="166" spans="1:13" x14ac:dyDescent="0.3">
      <c r="A166" s="17" t="s">
        <v>1321</v>
      </c>
      <c r="C166" s="95" t="s">
        <v>1994</v>
      </c>
    </row>
    <row r="167" spans="1:13" x14ac:dyDescent="0.3">
      <c r="A167" s="3"/>
      <c r="B167" s="7" t="s">
        <v>1240</v>
      </c>
      <c r="C167" s="7" t="s">
        <v>1241</v>
      </c>
      <c r="D167" s="34" t="s">
        <v>1706</v>
      </c>
      <c r="E167" s="7" t="s">
        <v>1196</v>
      </c>
      <c r="F167" s="7" t="s">
        <v>1242</v>
      </c>
    </row>
    <row r="168" spans="1:13" x14ac:dyDescent="0.3">
      <c r="A168" s="3" t="s">
        <v>1198</v>
      </c>
      <c r="B168" s="3">
        <f>COUNTIF('ZEMIO_Cleaned Data'!AHR:AHR,"1")</f>
        <v>1</v>
      </c>
      <c r="C168" s="3">
        <f>COUNTIF('ZEMIO_Cleaned Data'!AHS:AHS,"1")</f>
        <v>0</v>
      </c>
      <c r="D168" s="3">
        <f>COUNTIF('ZEMIO_Cleaned Data'!AHT:AHT,"1")</f>
        <v>1</v>
      </c>
      <c r="E168" s="3">
        <f>COUNTIF('ZEMIO_Cleaned Data'!AHU:AHU,"1")</f>
        <v>0</v>
      </c>
      <c r="F168" s="3">
        <f>COUNTIF('ZEMIO_Cleaned Data'!AHV:AHV,"1")</f>
        <v>4</v>
      </c>
    </row>
    <row r="169" spans="1:13" s="35" customFormat="1" ht="37" x14ac:dyDescent="0.25">
      <c r="A169" s="52" t="s">
        <v>2017</v>
      </c>
      <c r="B169" s="54">
        <f>B168/$E$23</f>
        <v>0.16666666666666666</v>
      </c>
      <c r="C169" s="54">
        <f t="shared" ref="C169:F169" si="14">C168/$E$23</f>
        <v>0</v>
      </c>
      <c r="D169" s="54">
        <f t="shared" si="14"/>
        <v>0.16666666666666666</v>
      </c>
      <c r="E169" s="54">
        <f t="shared" si="14"/>
        <v>0</v>
      </c>
      <c r="F169" s="54">
        <f t="shared" si="14"/>
        <v>0.66666666666666663</v>
      </c>
    </row>
    <row r="171" spans="1:13" ht="15.5" x14ac:dyDescent="0.35">
      <c r="A171" s="28" t="s">
        <v>1289</v>
      </c>
      <c r="C171" s="95" t="s">
        <v>1994</v>
      </c>
    </row>
    <row r="172" spans="1:13" ht="70" x14ac:dyDescent="0.3">
      <c r="A172" s="7" t="s">
        <v>1462</v>
      </c>
      <c r="B172" s="7" t="s">
        <v>1322</v>
      </c>
      <c r="C172" s="7" t="s">
        <v>1323</v>
      </c>
      <c r="D172" s="7" t="s">
        <v>1778</v>
      </c>
      <c r="E172" s="7" t="s">
        <v>1779</v>
      </c>
      <c r="F172" s="7" t="s">
        <v>1780</v>
      </c>
      <c r="G172" s="7" t="s">
        <v>1781</v>
      </c>
      <c r="H172" s="7" t="s">
        <v>1645</v>
      </c>
      <c r="I172" s="7" t="s">
        <v>1706</v>
      </c>
      <c r="J172" s="7" t="s">
        <v>1196</v>
      </c>
    </row>
    <row r="173" spans="1:13" x14ac:dyDescent="0.3">
      <c r="A173" s="3">
        <f>COUNTIF('ZEMIO_Cleaned Data'!AHY:AHY,"1")</f>
        <v>5</v>
      </c>
      <c r="B173" s="3">
        <f>COUNTIF('ZEMIO_Cleaned Data'!AHZ:AHZ,"1")</f>
        <v>4</v>
      </c>
      <c r="C173" s="3">
        <f>COUNTIF('ZEMIO_Cleaned Data'!AIA:AIA,"1")</f>
        <v>5</v>
      </c>
      <c r="D173" s="3">
        <f>COUNTIF('ZEMIO_Cleaned Data'!AIB:AIB,"1")</f>
        <v>5</v>
      </c>
      <c r="E173" s="3">
        <f>COUNTIF('ZEMIO_Cleaned Data'!AIC:AIC,"1")</f>
        <v>4</v>
      </c>
      <c r="F173" s="3">
        <f>COUNTIF('ZEMIO_Cleaned Data'!AID:AID,"1")</f>
        <v>3</v>
      </c>
      <c r="G173" s="3">
        <f>COUNTIF('ZEMIO_Cleaned Data'!AIE:AIE,"1")</f>
        <v>0</v>
      </c>
      <c r="H173" s="3">
        <f>COUNTIF('ZEMIO_Cleaned Data'!AIG:AIG,"1")</f>
        <v>0</v>
      </c>
      <c r="I173" s="3">
        <f>COUNTIF('ZEMIO_Cleaned Data'!AIH:AIH,"1")</f>
        <v>0</v>
      </c>
      <c r="J173" s="3">
        <f>COUNTIF('ZEMIO_Cleaned Data'!AII:AII,"1")</f>
        <v>0</v>
      </c>
    </row>
    <row r="174" spans="1:13" x14ac:dyDescent="0.3">
      <c r="J174" s="73"/>
    </row>
    <row r="175" spans="1:13" ht="15.5" x14ac:dyDescent="0.35">
      <c r="A175" s="28" t="s">
        <v>1290</v>
      </c>
      <c r="D175" s="95" t="s">
        <v>1994</v>
      </c>
    </row>
    <row r="176" spans="1:13" ht="42" x14ac:dyDescent="0.3">
      <c r="A176" s="7" t="s">
        <v>1713</v>
      </c>
      <c r="B176" s="7" t="s">
        <v>1782</v>
      </c>
      <c r="C176" s="7" t="s">
        <v>1714</v>
      </c>
      <c r="D176" s="7" t="s">
        <v>1715</v>
      </c>
      <c r="E176" s="7" t="s">
        <v>1716</v>
      </c>
      <c r="F176" s="7" t="s">
        <v>1717</v>
      </c>
      <c r="G176" s="7" t="s">
        <v>1718</v>
      </c>
      <c r="H176" s="7" t="s">
        <v>1719</v>
      </c>
      <c r="I176" s="7" t="s">
        <v>1720</v>
      </c>
      <c r="J176" s="7" t="s">
        <v>1721</v>
      </c>
      <c r="K176" s="7" t="s">
        <v>1242</v>
      </c>
      <c r="L176" s="7" t="s">
        <v>1706</v>
      </c>
      <c r="M176" s="7" t="s">
        <v>1196</v>
      </c>
    </row>
    <row r="177" spans="1:16" x14ac:dyDescent="0.3">
      <c r="A177" s="23">
        <f>COUNTIF('ZEMIO_Cleaned Data'!AIL:AIL,"1")</f>
        <v>1</v>
      </c>
      <c r="B177" s="23">
        <f>COUNTIF('ZEMIO_Cleaned Data'!AIM:AIM,"1")</f>
        <v>1</v>
      </c>
      <c r="C177" s="23">
        <f>COUNTIF('ZEMIO_Cleaned Data'!AIN:AIN,"1")</f>
        <v>0</v>
      </c>
      <c r="D177" s="23">
        <f>COUNTIF('ZEMIO_Cleaned Data'!AIO:AIO,"1")</f>
        <v>0</v>
      </c>
      <c r="E177" s="23">
        <f>COUNTIF('ZEMIO_Cleaned Data'!AIP:AIP,"1")</f>
        <v>1</v>
      </c>
      <c r="F177" s="23">
        <f>COUNTIF('ZEMIO_Cleaned Data'!AIQ:AIQ,"1")</f>
        <v>0</v>
      </c>
      <c r="G177" s="23">
        <f>COUNTIF('ZEMIO_Cleaned Data'!AIR:AIR,"1")</f>
        <v>0</v>
      </c>
      <c r="H177" s="23">
        <f>COUNTIF('ZEMIO_Cleaned Data'!AIS:AIS,"1")</f>
        <v>0</v>
      </c>
      <c r="I177" s="23">
        <f>COUNTIF('ZEMIO_Cleaned Data'!AIT:AIT,"1")</f>
        <v>0</v>
      </c>
      <c r="J177" s="23">
        <f>COUNTIF('ZEMIO_Cleaned Data'!AIX:AIX,"1")</f>
        <v>2</v>
      </c>
      <c r="K177" s="23">
        <f>COUNTIF('ZEMIO_Cleaned Data'!AIU:AIU,"1")</f>
        <v>3</v>
      </c>
      <c r="L177" s="23">
        <f>COUNTIF('ZEMIO_Cleaned Data'!AIV:AIV,"1")</f>
        <v>0</v>
      </c>
      <c r="M177" s="23">
        <f>COUNTIF('ZEMIO_Cleaned Data'!AIW:AIW,"1")</f>
        <v>0</v>
      </c>
    </row>
    <row r="179" spans="1:16" ht="15.5" x14ac:dyDescent="0.35">
      <c r="A179" s="28" t="s">
        <v>1324</v>
      </c>
    </row>
    <row r="180" spans="1:16" x14ac:dyDescent="0.3">
      <c r="A180" s="3"/>
      <c r="B180" s="7" t="s">
        <v>1201</v>
      </c>
      <c r="C180" s="7" t="s">
        <v>1200</v>
      </c>
      <c r="D180" s="106" t="s">
        <v>1197</v>
      </c>
    </row>
    <row r="181" spans="1:16" x14ac:dyDescent="0.3">
      <c r="A181" s="3" t="s">
        <v>1198</v>
      </c>
      <c r="B181" s="23">
        <f>COUNTIF('ZEMIO_Cleaned Data'!AIZ:AIZ,"OUI")</f>
        <v>4</v>
      </c>
      <c r="C181" s="23">
        <f>COUNTIF('ZEMIO_Cleaned Data'!AIZ:AIZ,"non")</f>
        <v>4</v>
      </c>
      <c r="D181" s="103">
        <f>SUM(B181:C181)</f>
        <v>8</v>
      </c>
    </row>
    <row r="182" spans="1:16" ht="26" x14ac:dyDescent="0.3">
      <c r="A182" s="52" t="s">
        <v>2007</v>
      </c>
      <c r="B182" s="6">
        <f>(B181/$B$3)</f>
        <v>0.5</v>
      </c>
      <c r="C182" s="6">
        <f>(C181/$B$3)</f>
        <v>0.5</v>
      </c>
      <c r="D182" s="6">
        <f>SUM(B182:C182)</f>
        <v>1</v>
      </c>
    </row>
    <row r="184" spans="1:16" x14ac:dyDescent="0.3">
      <c r="B184" s="17" t="s">
        <v>1252</v>
      </c>
      <c r="D184" s="95" t="s">
        <v>1994</v>
      </c>
    </row>
    <row r="185" spans="1:16" ht="14.5" x14ac:dyDescent="0.35">
      <c r="B185" s="3"/>
      <c r="C185" s="10" t="s">
        <v>1253</v>
      </c>
      <c r="D185" s="10" t="s">
        <v>1254</v>
      </c>
      <c r="E185" s="10" t="s">
        <v>1246</v>
      </c>
      <c r="F185" s="10" t="s">
        <v>1247</v>
      </c>
      <c r="G185" s="10" t="s">
        <v>1230</v>
      </c>
      <c r="H185" s="10" t="s">
        <v>1706</v>
      </c>
      <c r="I185" s="10" t="s">
        <v>1196</v>
      </c>
      <c r="J185" s="22"/>
      <c r="K185" s="22"/>
    </row>
    <row r="186" spans="1:16" x14ac:dyDescent="0.3">
      <c r="B186" s="3" t="s">
        <v>1198</v>
      </c>
      <c r="C186" s="23">
        <f>COUNTIF('ZEMIO_Cleaned Data'!AJB:AJB,"1")</f>
        <v>0</v>
      </c>
      <c r="D186" s="23">
        <f>COUNTIF('ZEMIO_Cleaned Data'!AJC:AJC,"1")</f>
        <v>0</v>
      </c>
      <c r="E186" s="23">
        <f>COUNTIF('ZEMIO_Cleaned Data'!AJD:AJD,"1")</f>
        <v>0</v>
      </c>
      <c r="F186" s="23">
        <f>COUNTIF('ZEMIO_Cleaned Data'!AJE:AJE,"1")</f>
        <v>0</v>
      </c>
      <c r="G186" s="23">
        <f>COUNTIF('ZEMIO_Cleaned Data'!AJF:AJF,"1")</f>
        <v>4</v>
      </c>
      <c r="H186" s="23">
        <f>COUNTIF('ZEMIO_Cleaned Data'!AJG:AJG,"1")</f>
        <v>0</v>
      </c>
      <c r="I186" s="23">
        <f>COUNTIF('ZEMIO_Cleaned Data'!AJH:AJH,"1")</f>
        <v>0</v>
      </c>
    </row>
    <row r="187" spans="1:16" ht="37.5" x14ac:dyDescent="0.3">
      <c r="B187" s="52" t="s">
        <v>2019</v>
      </c>
      <c r="C187" s="6">
        <f>C186/$B$181</f>
        <v>0</v>
      </c>
      <c r="D187" s="6">
        <f t="shared" ref="D187:I187" si="15">D186/$B$181</f>
        <v>0</v>
      </c>
      <c r="E187" s="6">
        <f t="shared" si="15"/>
        <v>0</v>
      </c>
      <c r="F187" s="6">
        <f t="shared" si="15"/>
        <v>0</v>
      </c>
      <c r="G187" s="6">
        <f t="shared" si="15"/>
        <v>1</v>
      </c>
      <c r="H187" s="6">
        <f t="shared" si="15"/>
        <v>0</v>
      </c>
      <c r="I187" s="6">
        <f t="shared" si="15"/>
        <v>0</v>
      </c>
    </row>
    <row r="189" spans="1:16" x14ac:dyDescent="0.3">
      <c r="B189" s="17" t="s">
        <v>1255</v>
      </c>
      <c r="D189" s="95" t="s">
        <v>1994</v>
      </c>
    </row>
    <row r="190" spans="1:16" ht="70" x14ac:dyDescent="0.35">
      <c r="B190" s="3"/>
      <c r="C190" s="10" t="s">
        <v>1518</v>
      </c>
      <c r="D190" s="10" t="s">
        <v>1519</v>
      </c>
      <c r="E190" s="10" t="s">
        <v>1785</v>
      </c>
      <c r="F190" s="10" t="s">
        <v>1520</v>
      </c>
      <c r="G190" s="10" t="s">
        <v>1786</v>
      </c>
      <c r="H190" s="10" t="s">
        <v>1787</v>
      </c>
      <c r="I190" s="10" t="s">
        <v>1788</v>
      </c>
      <c r="J190" s="10" t="s">
        <v>1511</v>
      </c>
      <c r="K190" s="10" t="s">
        <v>1512</v>
      </c>
      <c r="L190" s="10" t="s">
        <v>1510</v>
      </c>
      <c r="M190" s="10" t="s">
        <v>1706</v>
      </c>
      <c r="N190" s="10" t="s">
        <v>1196</v>
      </c>
      <c r="P190" s="22"/>
    </row>
    <row r="191" spans="1:16" x14ac:dyDescent="0.3">
      <c r="B191" s="3" t="s">
        <v>1198</v>
      </c>
      <c r="C191" s="23">
        <f>COUNTIF('ZEMIO_Cleaned Data'!AJK:AJK,"1")</f>
        <v>1</v>
      </c>
      <c r="D191" s="23">
        <f>COUNTIF('ZEMIO_Cleaned Data'!AJL:AJL,"1")</f>
        <v>1</v>
      </c>
      <c r="E191" s="23">
        <f>COUNTIF('ZEMIO_Cleaned Data'!AJM:AJM,"1")</f>
        <v>1</v>
      </c>
      <c r="F191" s="23">
        <f>COUNTIF('ZEMIO_Cleaned Data'!AJN:AJN,"1")</f>
        <v>0</v>
      </c>
      <c r="G191" s="23">
        <f>COUNTIF('ZEMIO_Cleaned Data'!AJO:AJO,"1")</f>
        <v>1</v>
      </c>
      <c r="H191" s="23">
        <f>COUNTIF('ZEMIO_Cleaned Data'!AJP:AJP,"1")</f>
        <v>1</v>
      </c>
      <c r="I191" s="23">
        <f>COUNTIF('ZEMIO_Cleaned Data'!AJQ:AJQ,"1")</f>
        <v>1</v>
      </c>
      <c r="J191" s="23">
        <f>COUNTIF('ZEMIO_Cleaned Data'!AJR:AJR,"1")</f>
        <v>1</v>
      </c>
      <c r="K191" s="23">
        <f>COUNTIF('ZEMIO_Cleaned Data'!AJS:AJS,"1")</f>
        <v>0</v>
      </c>
      <c r="L191" s="23">
        <f>COUNTIF('ZEMIO_Cleaned Data'!AJT:AJT,"1")</f>
        <v>1</v>
      </c>
      <c r="M191" s="23">
        <f>COUNTIF('ZEMIO_Cleaned Data'!AJU:AJU,"1")</f>
        <v>0</v>
      </c>
      <c r="N191" s="23">
        <f>COUNTIF('ZEMIO_Cleaned Data'!AJV:AJV,"1")</f>
        <v>0</v>
      </c>
    </row>
    <row r="192" spans="1:16" ht="37.5" x14ac:dyDescent="0.3">
      <c r="B192" s="52" t="s">
        <v>2019</v>
      </c>
      <c r="C192" s="6">
        <f>C191/$B$181</f>
        <v>0.25</v>
      </c>
      <c r="D192" s="6">
        <f t="shared" ref="D192:N192" si="16">D191/$B$181</f>
        <v>0.25</v>
      </c>
      <c r="E192" s="6">
        <f t="shared" si="16"/>
        <v>0.25</v>
      </c>
      <c r="F192" s="6">
        <f t="shared" si="16"/>
        <v>0</v>
      </c>
      <c r="G192" s="6">
        <f t="shared" si="16"/>
        <v>0.25</v>
      </c>
      <c r="H192" s="6">
        <f t="shared" si="16"/>
        <v>0.25</v>
      </c>
      <c r="I192" s="6">
        <f t="shared" si="16"/>
        <v>0.25</v>
      </c>
      <c r="J192" s="6">
        <f t="shared" si="16"/>
        <v>0.25</v>
      </c>
      <c r="K192" s="6">
        <f t="shared" si="16"/>
        <v>0</v>
      </c>
      <c r="L192" s="6">
        <f t="shared" si="16"/>
        <v>0.25</v>
      </c>
      <c r="M192" s="6">
        <f t="shared" si="16"/>
        <v>0</v>
      </c>
      <c r="N192" s="6">
        <f t="shared" si="16"/>
        <v>0</v>
      </c>
    </row>
    <row r="193" spans="1:12" x14ac:dyDescent="0.3">
      <c r="B193" s="49"/>
    </row>
    <row r="194" spans="1:12" x14ac:dyDescent="0.3">
      <c r="B194" s="17" t="s">
        <v>1394</v>
      </c>
    </row>
    <row r="195" spans="1:12" x14ac:dyDescent="0.3">
      <c r="B195" s="3"/>
      <c r="C195" s="10" t="s">
        <v>1201</v>
      </c>
      <c r="D195" s="10" t="s">
        <v>1200</v>
      </c>
      <c r="E195" s="106" t="s">
        <v>1197</v>
      </c>
    </row>
    <row r="196" spans="1:12" x14ac:dyDescent="0.3">
      <c r="B196" s="3" t="s">
        <v>1198</v>
      </c>
      <c r="C196" s="23">
        <f>COUNTIF('ZEMIO_Cleaned Data'!AJX:AJX,"OUI")</f>
        <v>0</v>
      </c>
      <c r="D196" s="23">
        <f>COUNTIF('ZEMIO_Cleaned Data'!AJX:AJX,"non")</f>
        <v>4</v>
      </c>
      <c r="E196" s="103">
        <f>SUM(C196:D196)</f>
        <v>4</v>
      </c>
    </row>
    <row r="197" spans="1:12" ht="37.5" x14ac:dyDescent="0.3">
      <c r="B197" s="52" t="s">
        <v>2019</v>
      </c>
      <c r="C197" s="6">
        <f>(C196/$B$181)</f>
        <v>0</v>
      </c>
      <c r="D197" s="6">
        <f>(D196/$B$181)</f>
        <v>1</v>
      </c>
      <c r="E197" s="6">
        <f>SUM(C197:D197)</f>
        <v>1</v>
      </c>
    </row>
    <row r="199" spans="1:12" x14ac:dyDescent="0.3">
      <c r="C199" s="17" t="s">
        <v>1260</v>
      </c>
      <c r="E199" s="95" t="s">
        <v>1994</v>
      </c>
    </row>
    <row r="200" spans="1:12" x14ac:dyDescent="0.3">
      <c r="C200" s="3"/>
      <c r="D200" s="10" t="s">
        <v>1261</v>
      </c>
      <c r="E200" s="10" t="s">
        <v>1262</v>
      </c>
      <c r="F200" s="10" t="s">
        <v>1263</v>
      </c>
      <c r="G200" s="10" t="s">
        <v>1264</v>
      </c>
      <c r="H200" s="10" t="s">
        <v>1196</v>
      </c>
    </row>
    <row r="201" spans="1:12" x14ac:dyDescent="0.3">
      <c r="C201" s="3" t="s">
        <v>1198</v>
      </c>
      <c r="D201" s="4">
        <f>COUNTIF('ZEMIO_Cleaned Data'!AJZ:AJZ,"1")</f>
        <v>2</v>
      </c>
      <c r="E201" s="4">
        <f>COUNTIF('ZEMIO_Cleaned Data'!AKA:AKA,"1")</f>
        <v>2</v>
      </c>
      <c r="F201" s="4">
        <f>COUNTIF('ZEMIO_Cleaned Data'!AKB:AKB,"1")</f>
        <v>1</v>
      </c>
      <c r="G201" s="4">
        <f>COUNTIF('ZEMIO_Cleaned Data'!AKC:AKC,"1")</f>
        <v>0</v>
      </c>
      <c r="H201" s="4">
        <f>COUNTIF('ZEMIO_Cleaned Data'!AKD:AKD,"1")</f>
        <v>0</v>
      </c>
    </row>
    <row r="202" spans="1:12" ht="49" x14ac:dyDescent="0.3">
      <c r="C202" s="52" t="s">
        <v>2020</v>
      </c>
      <c r="D202" s="6">
        <f>D201/$D$196</f>
        <v>0.5</v>
      </c>
      <c r="E202" s="6">
        <f t="shared" ref="E202:H202" si="17">E201/$D$196</f>
        <v>0.5</v>
      </c>
      <c r="F202" s="6">
        <f t="shared" si="17"/>
        <v>0.25</v>
      </c>
      <c r="G202" s="6">
        <f t="shared" si="17"/>
        <v>0</v>
      </c>
      <c r="H202" s="6">
        <f t="shared" si="17"/>
        <v>0</v>
      </c>
    </row>
    <row r="204" spans="1:12" ht="15.5" x14ac:dyDescent="0.35">
      <c r="A204" s="8" t="s">
        <v>1291</v>
      </c>
      <c r="C204" s="95" t="s">
        <v>1994</v>
      </c>
    </row>
    <row r="206" spans="1:12" ht="70" x14ac:dyDescent="0.3">
      <c r="A206" s="7" t="s">
        <v>1518</v>
      </c>
      <c r="B206" s="7" t="s">
        <v>1519</v>
      </c>
      <c r="C206" s="7" t="s">
        <v>1785</v>
      </c>
      <c r="D206" s="7" t="s">
        <v>1520</v>
      </c>
      <c r="E206" s="7" t="s">
        <v>1786</v>
      </c>
      <c r="F206" s="7" t="s">
        <v>1787</v>
      </c>
      <c r="G206" s="7" t="s">
        <v>1788</v>
      </c>
      <c r="H206" s="7" t="s">
        <v>1511</v>
      </c>
      <c r="I206" s="7" t="s">
        <v>1512</v>
      </c>
      <c r="J206" s="7" t="s">
        <v>1510</v>
      </c>
      <c r="K206" s="7" t="s">
        <v>1706</v>
      </c>
      <c r="L206" s="7" t="s">
        <v>1196</v>
      </c>
    </row>
    <row r="207" spans="1:12" x14ac:dyDescent="0.3">
      <c r="A207" s="23">
        <f>COUNTIF('ZEMIO_Cleaned Data'!AKG:AKG,"1")</f>
        <v>4</v>
      </c>
      <c r="B207" s="23">
        <f>COUNTIF('ZEMIO_Cleaned Data'!AKH:AKH,"1")</f>
        <v>4</v>
      </c>
      <c r="C207" s="23">
        <f>COUNTIF('ZEMIO_Cleaned Data'!AKI:AKI,"1")</f>
        <v>5</v>
      </c>
      <c r="D207" s="23">
        <f>COUNTIF('ZEMIO_Cleaned Data'!AKJ:AKJ,"1")</f>
        <v>5</v>
      </c>
      <c r="E207" s="23">
        <f>COUNTIF('ZEMIO_Cleaned Data'!AKK:AKK,"1")</f>
        <v>5</v>
      </c>
      <c r="F207" s="23">
        <f>COUNTIF('ZEMIO_Cleaned Data'!AKL:AKL,"1")</f>
        <v>4</v>
      </c>
      <c r="G207" s="23">
        <f>COUNTIF('ZEMIO_Cleaned Data'!AKM:AKM,"1")</f>
        <v>5</v>
      </c>
      <c r="H207" s="23">
        <f>COUNTIF('ZEMIO_Cleaned Data'!AKN:AKN,"1")</f>
        <v>4</v>
      </c>
      <c r="I207" s="23">
        <f>COUNTIF('ZEMIO_Cleaned Data'!AKO:AKO,"1")</f>
        <v>3</v>
      </c>
      <c r="J207" s="23">
        <f>COUNTIF('ZEMIO_Cleaned Data'!AKP:AKP,"1")</f>
        <v>3</v>
      </c>
      <c r="K207" s="23">
        <f>COUNTIF('ZEMIO_Cleaned Data'!AKQ:AKQ,"1")</f>
        <v>0</v>
      </c>
      <c r="L207" s="23">
        <f>COUNTIF('ZEMIO_Cleaned Data'!AKR:AKR,"1")</f>
        <v>0</v>
      </c>
    </row>
    <row r="208" spans="1:12" x14ac:dyDescent="0.3">
      <c r="L208" s="73"/>
    </row>
  </sheetData>
  <conditionalFormatting sqref="B53:L53">
    <cfRule type="colorScale" priority="45">
      <colorScale>
        <cfvo type="min"/>
        <cfvo type="max"/>
        <color theme="6" tint="0.79998168889431442"/>
        <color theme="5" tint="0.39997558519241921"/>
      </colorScale>
    </cfRule>
  </conditionalFormatting>
  <conditionalFormatting sqref="C112:F112">
    <cfRule type="colorScale" priority="44">
      <colorScale>
        <cfvo type="min"/>
        <cfvo type="max"/>
        <color theme="6" tint="0.79998168889431442"/>
        <color theme="5" tint="0.39997558519241921"/>
      </colorScale>
    </cfRule>
  </conditionalFormatting>
  <conditionalFormatting sqref="C117:I117">
    <cfRule type="colorScale" priority="43">
      <colorScale>
        <cfvo type="min"/>
        <cfvo type="max"/>
        <color theme="6" tint="0.79998168889431442"/>
        <color theme="5" tint="0.39997558519241921"/>
      </colorScale>
    </cfRule>
  </conditionalFormatting>
  <conditionalFormatting sqref="C122:J122">
    <cfRule type="colorScale" priority="42">
      <colorScale>
        <cfvo type="min"/>
        <cfvo type="max"/>
        <color theme="6" tint="0.79998168889431442"/>
        <color theme="5" tint="0.39997558519241921"/>
      </colorScale>
    </cfRule>
  </conditionalFormatting>
  <conditionalFormatting sqref="A164:F165">
    <cfRule type="colorScale" priority="46">
      <colorScale>
        <cfvo type="min"/>
        <cfvo type="max"/>
        <color theme="6" tint="0.79998168889431442"/>
        <color theme="5" tint="0.39997558519241921"/>
      </colorScale>
    </cfRule>
  </conditionalFormatting>
  <conditionalFormatting sqref="B168:F168">
    <cfRule type="colorScale" priority="41">
      <colorScale>
        <cfvo type="min"/>
        <cfvo type="max"/>
        <color theme="6" tint="0.79998168889431442"/>
        <color theme="5" tint="0.39997558519241921"/>
      </colorScale>
    </cfRule>
  </conditionalFormatting>
  <conditionalFormatting sqref="A173:J173">
    <cfRule type="colorScale" priority="47">
      <colorScale>
        <cfvo type="min"/>
        <cfvo type="max"/>
        <color theme="6" tint="0.79998168889431442"/>
        <color theme="5" tint="0.39997558519241921"/>
      </colorScale>
    </cfRule>
  </conditionalFormatting>
  <conditionalFormatting sqref="A177:M177">
    <cfRule type="colorScale" priority="40">
      <colorScale>
        <cfvo type="min"/>
        <cfvo type="max"/>
        <color theme="6" tint="0.79998168889431442"/>
        <color theme="5" tint="0.39997558519241921"/>
      </colorScale>
    </cfRule>
  </conditionalFormatting>
  <conditionalFormatting sqref="D201:H201">
    <cfRule type="colorScale" priority="39">
      <colorScale>
        <cfvo type="min"/>
        <cfvo type="max"/>
        <color theme="6" tint="0.79998168889431442"/>
        <color theme="5" tint="0.39997558519241921"/>
      </colorScale>
    </cfRule>
  </conditionalFormatting>
  <conditionalFormatting sqref="A207:L207">
    <cfRule type="colorScale" priority="38">
      <colorScale>
        <cfvo type="min"/>
        <cfvo type="max"/>
        <color theme="6" tint="0.79998168889431442"/>
        <color theme="5" tint="0.39997558519241921"/>
      </colorScale>
    </cfRule>
  </conditionalFormatting>
  <conditionalFormatting sqref="C191:N191">
    <cfRule type="colorScale" priority="37">
      <colorScale>
        <cfvo type="min"/>
        <cfvo type="max"/>
        <color theme="6" tint="0.79998168889431442"/>
        <color theme="5" tint="0.39997558519241921"/>
      </colorScale>
    </cfRule>
  </conditionalFormatting>
  <conditionalFormatting sqref="B7:E7">
    <cfRule type="colorScale" priority="36">
      <colorScale>
        <cfvo type="min"/>
        <cfvo type="max"/>
        <color theme="6" tint="0.79998168889431442"/>
        <color theme="5" tint="0.39997558519241921"/>
      </colorScale>
    </cfRule>
  </conditionalFormatting>
  <conditionalFormatting sqref="B18:D18">
    <cfRule type="colorScale" priority="35">
      <colorScale>
        <cfvo type="min"/>
        <cfvo type="max"/>
        <color theme="6" tint="0.79998168889431442"/>
        <color theme="5" tint="0.39997558519241921"/>
      </colorScale>
    </cfRule>
  </conditionalFormatting>
  <conditionalFormatting sqref="B23:D23">
    <cfRule type="colorScale" priority="34">
      <colorScale>
        <cfvo type="min"/>
        <cfvo type="max"/>
        <color theme="6" tint="0.79998168889431442"/>
        <color theme="5" tint="0.39997558519241921"/>
      </colorScale>
    </cfRule>
  </conditionalFormatting>
  <conditionalFormatting sqref="C28:K28">
    <cfRule type="colorScale" priority="33">
      <colorScale>
        <cfvo type="min"/>
        <cfvo type="max"/>
        <color theme="6" tint="0.79998168889431442"/>
        <color theme="5" tint="0.39997558519241921"/>
      </colorScale>
    </cfRule>
  </conditionalFormatting>
  <conditionalFormatting sqref="C38:J38">
    <cfRule type="colorScale" priority="32">
      <colorScale>
        <cfvo type="min"/>
        <cfvo type="max"/>
        <color theme="6" tint="0.79998168889431442"/>
        <color theme="5" tint="0.39997558519241921"/>
      </colorScale>
    </cfRule>
  </conditionalFormatting>
  <conditionalFormatting sqref="C33:G33">
    <cfRule type="colorScale" priority="31">
      <colorScale>
        <cfvo type="min"/>
        <cfvo type="max"/>
        <color theme="6" tint="0.79998168889431442"/>
        <color theme="5" tint="0.39997558519241921"/>
      </colorScale>
    </cfRule>
  </conditionalFormatting>
  <conditionalFormatting sqref="C43:G43">
    <cfRule type="colorScale" priority="30">
      <colorScale>
        <cfvo type="min"/>
        <cfvo type="max"/>
        <color theme="6" tint="0.79998168889431442"/>
        <color theme="5" tint="0.39997558519241921"/>
      </colorScale>
    </cfRule>
  </conditionalFormatting>
  <conditionalFormatting sqref="B48:H48">
    <cfRule type="colorScale" priority="29">
      <colorScale>
        <cfvo type="min"/>
        <cfvo type="max"/>
        <color theme="6" tint="0.79998168889431442"/>
        <color theme="5" tint="0.39997558519241921"/>
      </colorScale>
    </cfRule>
  </conditionalFormatting>
  <conditionalFormatting sqref="B58:C58">
    <cfRule type="colorScale" priority="28">
      <colorScale>
        <cfvo type="min"/>
        <cfvo type="max"/>
        <color theme="6" tint="0.79998168889431442"/>
        <color theme="5" tint="0.39997558519241921"/>
      </colorScale>
    </cfRule>
  </conditionalFormatting>
  <conditionalFormatting sqref="C66:D66">
    <cfRule type="colorScale" priority="27">
      <colorScale>
        <cfvo type="min"/>
        <cfvo type="max"/>
        <color theme="6" tint="0.79998168889431442"/>
        <color theme="5" tint="0.39997558519241921"/>
      </colorScale>
    </cfRule>
  </conditionalFormatting>
  <conditionalFormatting sqref="C76:D76">
    <cfRule type="colorScale" priority="26">
      <colorScale>
        <cfvo type="min"/>
        <cfvo type="max"/>
        <color theme="6" tint="0.79998168889431442"/>
        <color theme="5" tint="0.39997558519241921"/>
      </colorScale>
    </cfRule>
  </conditionalFormatting>
  <conditionalFormatting sqref="B81:C81">
    <cfRule type="colorScale" priority="25">
      <colorScale>
        <cfvo type="min"/>
        <cfvo type="max"/>
        <color theme="6" tint="0.79998168889431442"/>
        <color theme="5" tint="0.39997558519241921"/>
      </colorScale>
    </cfRule>
  </conditionalFormatting>
  <conditionalFormatting sqref="B148:C148">
    <cfRule type="colorScale" priority="24">
      <colorScale>
        <cfvo type="min"/>
        <cfvo type="max"/>
        <color theme="6" tint="0.79998168889431442"/>
        <color theme="5" tint="0.39997558519241921"/>
      </colorScale>
    </cfRule>
  </conditionalFormatting>
  <conditionalFormatting sqref="B136:D136">
    <cfRule type="colorScale" priority="22">
      <colorScale>
        <cfvo type="min"/>
        <cfvo type="max"/>
        <color theme="6" tint="0.79998168889431442"/>
        <color theme="5" tint="0.39997558519241921"/>
      </colorScale>
    </cfRule>
  </conditionalFormatting>
  <conditionalFormatting sqref="B141:D141">
    <cfRule type="colorScale" priority="21">
      <colorScale>
        <cfvo type="min"/>
        <cfvo type="max"/>
        <color theme="6" tint="0.79998168889431442"/>
        <color theme="5" tint="0.39997558519241921"/>
      </colorScale>
    </cfRule>
  </conditionalFormatting>
  <conditionalFormatting sqref="B153:C153">
    <cfRule type="colorScale" priority="20">
      <colorScale>
        <cfvo type="min"/>
        <cfvo type="max"/>
        <color theme="6" tint="0.79998168889431442"/>
        <color theme="5" tint="0.39997558519241921"/>
      </colorScale>
    </cfRule>
  </conditionalFormatting>
  <conditionalFormatting sqref="F158:G158">
    <cfRule type="colorScale" priority="19">
      <colorScale>
        <cfvo type="min"/>
        <cfvo type="max"/>
        <color theme="6" tint="0.79998168889431442"/>
        <color theme="5" tint="0.39997558519241921"/>
      </colorScale>
    </cfRule>
  </conditionalFormatting>
  <conditionalFormatting sqref="B181:C181">
    <cfRule type="colorScale" priority="18">
      <colorScale>
        <cfvo type="min"/>
        <cfvo type="max"/>
        <color theme="6" tint="0.79998168889431442"/>
        <color theme="5" tint="0.39997558519241921"/>
      </colorScale>
    </cfRule>
  </conditionalFormatting>
  <conditionalFormatting sqref="C186:I186">
    <cfRule type="colorScale" priority="17">
      <colorScale>
        <cfvo type="min"/>
        <cfvo type="max"/>
        <color theme="6" tint="0.79998168889431442"/>
        <color theme="5" tint="0.39997558519241921"/>
      </colorScale>
    </cfRule>
  </conditionalFormatting>
  <conditionalFormatting sqref="C196:D196">
    <cfRule type="colorScale" priority="16">
      <colorScale>
        <cfvo type="min"/>
        <cfvo type="max"/>
        <color theme="6" tint="0.79998168889431442"/>
        <color theme="5" tint="0.39997558519241921"/>
      </colorScale>
    </cfRule>
  </conditionalFormatting>
  <conditionalFormatting sqref="B12:F12">
    <cfRule type="colorScale" priority="15">
      <colorScale>
        <cfvo type="min"/>
        <cfvo type="max"/>
        <color theme="6" tint="0.79998168889431442"/>
        <color theme="5" tint="0.39997558519241921"/>
      </colorScale>
    </cfRule>
  </conditionalFormatting>
  <conditionalFormatting sqref="D148">
    <cfRule type="colorScale" priority="14">
      <colorScale>
        <cfvo type="min"/>
        <cfvo type="max"/>
        <color theme="6" tint="0.79998168889431442"/>
        <color theme="5" tint="0.39997558519241921"/>
      </colorScale>
    </cfRule>
  </conditionalFormatting>
  <conditionalFormatting sqref="C86:K86">
    <cfRule type="colorScale" priority="4">
      <colorScale>
        <cfvo type="min"/>
        <cfvo type="max"/>
        <color theme="6" tint="0.79998168889431442"/>
        <color theme="5" tint="0.39997558519241921"/>
      </colorScale>
    </cfRule>
  </conditionalFormatting>
  <conditionalFormatting sqref="F7">
    <cfRule type="colorScale" priority="2">
      <colorScale>
        <cfvo type="min"/>
        <cfvo type="max"/>
        <color theme="6" tint="0.79998168889431442"/>
        <color theme="5" tint="0.39997558519241921"/>
      </colorScale>
    </cfRule>
  </conditionalFormatting>
  <conditionalFormatting sqref="B107:D107">
    <cfRule type="colorScale" priority="1">
      <colorScale>
        <cfvo type="min"/>
        <cfvo type="max"/>
        <color theme="6" tint="0.79998168889431442"/>
        <color theme="5" tint="0.39997558519241921"/>
      </colorScale>
    </cfRule>
  </conditionalFormatting>
  <pageMargins left="0.70866141732283472" right="0.70866141732283472" top="0.74803149606299213" bottom="0.74803149606299213" header="0.31496062992125984" footer="0.31496062992125984"/>
  <pageSetup paperSize="9" scale="64" fitToHeight="4"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S228"/>
  <sheetViews>
    <sheetView zoomScale="90" zoomScaleNormal="90" workbookViewId="0">
      <selection activeCell="I12" sqref="I12"/>
    </sheetView>
  </sheetViews>
  <sheetFormatPr defaultColWidth="8.81640625" defaultRowHeight="14" x14ac:dyDescent="0.3"/>
  <cols>
    <col min="1" max="1" width="16.36328125" style="1" customWidth="1"/>
    <col min="2" max="2" width="11.81640625" style="1" customWidth="1"/>
    <col min="3" max="4" width="13.08984375" style="1" customWidth="1"/>
    <col min="5" max="5" width="12.1796875" style="1" customWidth="1"/>
    <col min="6" max="6" width="12.08984375" style="1" customWidth="1"/>
    <col min="7" max="7" width="14" style="1" customWidth="1"/>
    <col min="8" max="8" width="12.453125" style="1" customWidth="1"/>
    <col min="9" max="9" width="12.36328125" style="1" customWidth="1"/>
    <col min="10" max="10" width="12.453125" style="1" customWidth="1"/>
    <col min="11" max="11" width="12.6328125" style="1" customWidth="1"/>
    <col min="12" max="12" width="9.81640625" style="1" customWidth="1"/>
    <col min="13" max="13" width="9.90625" style="1" customWidth="1"/>
    <col min="14" max="14" width="9.81640625" style="1" customWidth="1"/>
    <col min="15" max="15" width="11.36328125" style="1" customWidth="1"/>
    <col min="16" max="16" width="8.81640625" style="1"/>
    <col min="17" max="17" width="10.54296875" style="1" customWidth="1"/>
    <col min="18" max="18" width="8.81640625" style="1"/>
    <col min="19" max="26" width="8.81640625" style="9"/>
    <col min="27" max="16384" width="8.81640625" style="1"/>
  </cols>
  <sheetData>
    <row r="1" spans="1:26" s="9" customFormat="1" x14ac:dyDescent="0.3"/>
    <row r="2" spans="1:26" ht="15.5" x14ac:dyDescent="0.35">
      <c r="A2" s="8" t="s">
        <v>1284</v>
      </c>
      <c r="B2" s="9"/>
      <c r="C2" s="9"/>
      <c r="D2" s="9"/>
      <c r="E2" s="9"/>
      <c r="F2" s="9"/>
      <c r="G2" s="9"/>
      <c r="H2" s="9"/>
      <c r="I2" s="9"/>
      <c r="J2" s="9"/>
      <c r="K2" s="9"/>
      <c r="L2" s="9"/>
      <c r="M2" s="9"/>
      <c r="N2" s="9"/>
      <c r="O2" s="9"/>
      <c r="P2" s="9"/>
      <c r="Q2" s="9"/>
      <c r="R2" s="9"/>
    </row>
    <row r="3" spans="1:26" ht="15.5" x14ac:dyDescent="0.35">
      <c r="A3" s="28" t="s">
        <v>1396</v>
      </c>
      <c r="B3" s="20">
        <f>COUNTIFS('ZEMIO_Cleaned Data'!N:N,"eau",'ZEMIO_Cleaned Data'!K:K,"zemio")</f>
        <v>27</v>
      </c>
      <c r="C3" s="9"/>
      <c r="D3" s="9"/>
      <c r="E3" s="9"/>
      <c r="F3" s="9"/>
      <c r="G3" s="9"/>
      <c r="H3" s="9"/>
      <c r="I3" s="9"/>
      <c r="J3" s="9"/>
      <c r="K3" s="9"/>
      <c r="L3" s="9"/>
      <c r="M3" s="9"/>
      <c r="N3" s="9"/>
      <c r="O3" s="9"/>
      <c r="P3" s="9"/>
      <c r="Q3" s="9"/>
      <c r="R3" s="9"/>
    </row>
    <row r="4" spans="1:26" ht="15.5" x14ac:dyDescent="0.35">
      <c r="A4" s="8"/>
      <c r="B4" s="9"/>
      <c r="C4" s="9"/>
      <c r="D4" s="9"/>
      <c r="E4" s="9"/>
      <c r="F4" s="9"/>
      <c r="G4" s="9"/>
      <c r="H4" s="9"/>
      <c r="I4" s="9"/>
      <c r="J4" s="9"/>
      <c r="K4" s="9"/>
      <c r="L4" s="9"/>
      <c r="M4" s="9"/>
      <c r="N4" s="9"/>
      <c r="O4" s="9"/>
      <c r="P4" s="9"/>
      <c r="Q4" s="9"/>
      <c r="R4" s="9"/>
    </row>
    <row r="5" spans="1:26" x14ac:dyDescent="0.3">
      <c r="A5" s="9"/>
      <c r="B5" s="9"/>
      <c r="C5" s="9"/>
      <c r="D5" s="9"/>
      <c r="E5" s="9"/>
      <c r="F5" s="9"/>
      <c r="G5" s="9"/>
      <c r="H5" s="9"/>
      <c r="I5" s="9"/>
      <c r="J5" s="9"/>
      <c r="K5" s="9"/>
      <c r="L5" s="9"/>
      <c r="M5" s="9"/>
      <c r="N5" s="9"/>
      <c r="O5" s="9"/>
      <c r="P5" s="9"/>
      <c r="Q5" s="9"/>
      <c r="R5" s="9"/>
    </row>
    <row r="6" spans="1:26" ht="31.5" customHeight="1" x14ac:dyDescent="0.3">
      <c r="A6" s="3"/>
      <c r="B6" s="7" t="s">
        <v>1192</v>
      </c>
      <c r="C6" s="7" t="s">
        <v>1658</v>
      </c>
      <c r="D6" s="7" t="s">
        <v>1193</v>
      </c>
      <c r="E6" s="7" t="s">
        <v>1390</v>
      </c>
      <c r="F6" s="7" t="s">
        <v>1194</v>
      </c>
      <c r="G6" s="7" t="s">
        <v>1195</v>
      </c>
      <c r="H6" s="7" t="s">
        <v>1993</v>
      </c>
      <c r="I6" s="50" t="s">
        <v>1998</v>
      </c>
      <c r="J6" s="9"/>
      <c r="K6" s="9"/>
      <c r="L6" s="9"/>
      <c r="M6" s="9"/>
      <c r="N6" s="9"/>
      <c r="O6" s="9"/>
      <c r="P6" s="9"/>
      <c r="Q6" s="9"/>
      <c r="R6" s="9"/>
      <c r="Z6" s="1"/>
    </row>
    <row r="7" spans="1:26" x14ac:dyDescent="0.3">
      <c r="A7" s="3" t="s">
        <v>1198</v>
      </c>
      <c r="B7" s="23">
        <f>COUNTIF('ZEMIO_Cleaned Data'!U:U,"pompe_pied")</f>
        <v>0</v>
      </c>
      <c r="C7" s="23">
        <f>COUNTIF('ZEMIO_Cleaned Data'!U:U,"pompe_main")</f>
        <v>24</v>
      </c>
      <c r="D7" s="23">
        <f>COUNTIF('ZEMIO_Cleaned Data'!U:U,"source_amenagee")</f>
        <v>0</v>
      </c>
      <c r="E7" s="23">
        <f>COUNTIF('ZEMIO_Cleaned Data'!U:U,"source_non_amenagee")</f>
        <v>0</v>
      </c>
      <c r="F7" s="23">
        <f>COUNTIF('ZEMIO_Cleaned Data'!U:U,"puits_protege")</f>
        <v>1</v>
      </c>
      <c r="G7" s="23">
        <f>COUNTIF('ZEMIO_Cleaned Data'!U:U,"puits_non_protege")</f>
        <v>1</v>
      </c>
      <c r="H7" s="23">
        <f>COUNTIF('ZEMIO_Cleaned Data'!U:U,"camion")</f>
        <v>1</v>
      </c>
      <c r="I7" s="101">
        <f>SUM(B7:H7)</f>
        <v>27</v>
      </c>
      <c r="J7" s="9"/>
      <c r="K7" s="9"/>
      <c r="L7" s="9"/>
      <c r="M7" s="9"/>
      <c r="N7" s="9"/>
      <c r="O7" s="9"/>
      <c r="P7" s="9"/>
      <c r="Q7" s="9"/>
      <c r="R7" s="9"/>
      <c r="Z7" s="1"/>
    </row>
    <row r="8" spans="1:26" s="98" customFormat="1" ht="26" x14ac:dyDescent="0.3">
      <c r="A8" s="93" t="s">
        <v>1995</v>
      </c>
      <c r="B8" s="96">
        <f>(B7/$B$3)</f>
        <v>0</v>
      </c>
      <c r="C8" s="96">
        <f t="shared" ref="C8:H8" si="0">(C7/$B$3)</f>
        <v>0.88888888888888884</v>
      </c>
      <c r="D8" s="96">
        <f t="shared" si="0"/>
        <v>0</v>
      </c>
      <c r="E8" s="96">
        <f t="shared" si="0"/>
        <v>0</v>
      </c>
      <c r="F8" s="96">
        <f t="shared" si="0"/>
        <v>3.7037037037037035E-2</v>
      </c>
      <c r="G8" s="96">
        <f t="shared" si="0"/>
        <v>3.7037037037037035E-2</v>
      </c>
      <c r="H8" s="96">
        <f t="shared" si="0"/>
        <v>3.7037037037037035E-2</v>
      </c>
      <c r="I8" s="94">
        <f>SUM(B8:H8)</f>
        <v>0.99999999999999978</v>
      </c>
      <c r="J8" s="97"/>
      <c r="K8" s="97"/>
      <c r="L8" s="97"/>
      <c r="M8" s="97"/>
      <c r="N8" s="97"/>
      <c r="O8" s="97"/>
      <c r="P8" s="97"/>
      <c r="Q8" s="97"/>
      <c r="R8" s="97"/>
      <c r="S8" s="97"/>
      <c r="T8" s="97"/>
      <c r="U8" s="97"/>
      <c r="V8" s="97"/>
      <c r="W8" s="97"/>
      <c r="X8" s="97"/>
      <c r="Y8" s="97"/>
    </row>
    <row r="9" spans="1:26" x14ac:dyDescent="0.3">
      <c r="A9" s="13"/>
      <c r="B9" s="15"/>
      <c r="C9" s="15"/>
      <c r="D9" s="15"/>
      <c r="E9" s="15"/>
      <c r="F9" s="15"/>
      <c r="G9" s="13"/>
      <c r="H9" s="9"/>
      <c r="I9" s="9"/>
      <c r="J9" s="9"/>
      <c r="K9" s="9"/>
      <c r="L9" s="9"/>
      <c r="M9" s="9"/>
      <c r="N9" s="9"/>
      <c r="O9" s="9"/>
      <c r="P9" s="9"/>
      <c r="Q9" s="9"/>
      <c r="R9" s="9"/>
    </row>
    <row r="10" spans="1:26" ht="15.5" x14ac:dyDescent="0.35">
      <c r="A10" s="8" t="s">
        <v>1275</v>
      </c>
      <c r="B10" s="15"/>
      <c r="C10" s="15"/>
      <c r="D10" s="15"/>
      <c r="E10" s="15"/>
      <c r="F10" s="15"/>
      <c r="G10" s="13"/>
      <c r="H10" s="9"/>
      <c r="I10" s="9"/>
      <c r="J10" s="9"/>
      <c r="K10" s="9"/>
      <c r="L10" s="9"/>
      <c r="M10" s="9"/>
      <c r="N10" s="9"/>
      <c r="O10" s="9"/>
      <c r="P10" s="9"/>
      <c r="Q10" s="9"/>
      <c r="R10" s="9"/>
    </row>
    <row r="11" spans="1:26" ht="15.5" x14ac:dyDescent="0.35">
      <c r="A11" s="28" t="s">
        <v>1295</v>
      </c>
      <c r="B11" s="9"/>
      <c r="C11" s="9"/>
      <c r="D11" s="9"/>
      <c r="E11" s="9"/>
      <c r="F11" s="9"/>
      <c r="G11" s="9"/>
      <c r="H11" s="9"/>
      <c r="I11" s="9"/>
      <c r="J11" s="9"/>
      <c r="K11" s="9"/>
      <c r="L11" s="9"/>
      <c r="M11" s="9"/>
      <c r="N11" s="9"/>
      <c r="O11" s="9"/>
      <c r="P11" s="9"/>
      <c r="Q11" s="9"/>
      <c r="R11" s="9"/>
    </row>
    <row r="12" spans="1:26" ht="42" x14ac:dyDescent="0.3">
      <c r="A12" s="3"/>
      <c r="B12" s="7" t="s">
        <v>1201</v>
      </c>
      <c r="C12" s="7" t="s">
        <v>1200</v>
      </c>
      <c r="D12" s="7" t="s">
        <v>1660</v>
      </c>
      <c r="E12" s="50" t="s">
        <v>1684</v>
      </c>
      <c r="F12" s="9"/>
      <c r="G12" s="9"/>
      <c r="H12" s="9"/>
      <c r="I12" s="9"/>
      <c r="J12" s="9"/>
      <c r="K12" s="9"/>
      <c r="L12" s="9"/>
      <c r="M12" s="9"/>
      <c r="N12" s="9"/>
      <c r="O12" s="9"/>
      <c r="P12" s="9"/>
      <c r="Q12" s="9"/>
      <c r="R12" s="9"/>
    </row>
    <row r="13" spans="1:26" x14ac:dyDescent="0.3">
      <c r="A13" s="3" t="s">
        <v>1198</v>
      </c>
      <c r="B13" s="23">
        <f>COUNTIF('ZEMIO_Cleaned Data'!X:X,"oui")</f>
        <v>19</v>
      </c>
      <c r="C13" s="23">
        <f>COUNTIF('ZEMIO_Cleaned Data'!X:X,"non")</f>
        <v>5</v>
      </c>
      <c r="D13" s="23">
        <f>COUNTIF('ZEMIO_Cleaned Data'!X:X,"endommage")</f>
        <v>3</v>
      </c>
      <c r="E13" s="51">
        <f>SUM(B13,D13)</f>
        <v>22</v>
      </c>
      <c r="F13" s="9"/>
      <c r="G13" s="9"/>
      <c r="H13" s="9"/>
      <c r="I13" s="9"/>
      <c r="J13" s="9"/>
      <c r="K13" s="9"/>
      <c r="L13" s="9"/>
      <c r="M13" s="9"/>
      <c r="N13" s="9"/>
      <c r="O13" s="9"/>
      <c r="P13" s="9"/>
      <c r="Q13" s="9"/>
      <c r="R13" s="9"/>
    </row>
    <row r="14" spans="1:26" s="98" customFormat="1" ht="26" x14ac:dyDescent="0.3">
      <c r="A14" s="93" t="s">
        <v>1995</v>
      </c>
      <c r="B14" s="96">
        <f>(B13/$B$3)</f>
        <v>0.70370370370370372</v>
      </c>
      <c r="C14" s="96">
        <f t="shared" ref="C14:D14" si="1">(C13/$B$3)</f>
        <v>0.18518518518518517</v>
      </c>
      <c r="D14" s="96">
        <f t="shared" si="1"/>
        <v>0.1111111111111111</v>
      </c>
      <c r="E14" s="94">
        <f>E13/$B$3</f>
        <v>0.81481481481481477</v>
      </c>
      <c r="F14" s="97"/>
      <c r="G14" s="97"/>
      <c r="H14" s="97"/>
      <c r="I14" s="97"/>
      <c r="J14" s="97"/>
      <c r="K14" s="97"/>
      <c r="L14" s="97"/>
      <c r="M14" s="97"/>
      <c r="N14" s="97"/>
      <c r="O14" s="97"/>
      <c r="P14" s="97"/>
      <c r="Q14" s="97"/>
      <c r="R14" s="97"/>
      <c r="S14" s="97"/>
      <c r="T14" s="97"/>
      <c r="U14" s="97"/>
      <c r="V14" s="97"/>
      <c r="W14" s="97"/>
      <c r="X14" s="97"/>
      <c r="Y14" s="97"/>
      <c r="Z14" s="97"/>
    </row>
    <row r="15" spans="1:26" s="9" customFormat="1" x14ac:dyDescent="0.3">
      <c r="A15" s="13"/>
      <c r="B15" s="14"/>
      <c r="C15" s="14"/>
      <c r="D15" s="14"/>
      <c r="E15" s="14"/>
    </row>
    <row r="16" spans="1:26" x14ac:dyDescent="0.3">
      <c r="A16" s="13"/>
      <c r="B16" s="15"/>
      <c r="C16" s="16" t="s">
        <v>1661</v>
      </c>
      <c r="D16" s="13"/>
      <c r="E16" s="9"/>
      <c r="F16" s="9"/>
      <c r="G16" s="9"/>
      <c r="H16" s="9"/>
      <c r="I16" s="9"/>
      <c r="J16" s="9"/>
      <c r="K16" s="9"/>
      <c r="L16" s="9"/>
      <c r="M16" s="9"/>
      <c r="N16" s="9"/>
      <c r="O16" s="9"/>
      <c r="P16" s="9"/>
      <c r="Q16" s="9"/>
      <c r="R16" s="9"/>
    </row>
    <row r="17" spans="1:26" ht="42" x14ac:dyDescent="0.3">
      <c r="A17" s="9"/>
      <c r="B17" s="9"/>
      <c r="C17" s="3"/>
      <c r="D17" s="5" t="s">
        <v>1204</v>
      </c>
      <c r="E17" s="5" t="s">
        <v>1202</v>
      </c>
      <c r="F17" s="5" t="s">
        <v>1203</v>
      </c>
      <c r="G17" s="102" t="s">
        <v>1197</v>
      </c>
      <c r="H17" s="9"/>
      <c r="I17" s="9"/>
      <c r="J17" s="9"/>
      <c r="K17" s="9"/>
      <c r="L17" s="9"/>
      <c r="M17" s="9"/>
      <c r="N17" s="9"/>
      <c r="O17" s="9"/>
      <c r="P17" s="9"/>
      <c r="Q17" s="9"/>
      <c r="R17" s="9"/>
    </row>
    <row r="18" spans="1:26" x14ac:dyDescent="0.3">
      <c r="A18" s="9"/>
      <c r="B18" s="9"/>
      <c r="C18" s="3" t="s">
        <v>1198</v>
      </c>
      <c r="D18" s="23">
        <f>COUNTIF('ZEMIO_Cleaned Data'!Y:Y,"non_maintenance")</f>
        <v>1</v>
      </c>
      <c r="E18" s="23">
        <f>COUNTIF('ZEMIO_Cleaned Data'!Y:Y,"non_rehab")</f>
        <v>2</v>
      </c>
      <c r="F18" s="23">
        <f>COUNTIF('ZEMIO_Cleaned Data'!Y:Y,"non_destruction")</f>
        <v>0</v>
      </c>
      <c r="G18" s="103">
        <f>SUM(D18:F18)</f>
        <v>3</v>
      </c>
      <c r="H18" s="9"/>
      <c r="I18" s="9"/>
      <c r="J18" s="9"/>
      <c r="K18" s="9"/>
      <c r="L18" s="9"/>
      <c r="M18" s="9"/>
      <c r="N18" s="9"/>
      <c r="O18" s="9"/>
      <c r="P18" s="9"/>
      <c r="Q18" s="9"/>
      <c r="R18" s="9"/>
    </row>
    <row r="19" spans="1:26" s="98" customFormat="1" ht="37.5" x14ac:dyDescent="0.3">
      <c r="A19" s="97"/>
      <c r="B19" s="97"/>
      <c r="C19" s="93" t="s">
        <v>1996</v>
      </c>
      <c r="D19" s="96">
        <f>D18/$D$13</f>
        <v>0.33333333333333331</v>
      </c>
      <c r="E19" s="96">
        <f>E18/$D$13</f>
        <v>0.66666666666666663</v>
      </c>
      <c r="F19" s="96">
        <f>F18/$D$13</f>
        <v>0</v>
      </c>
      <c r="G19" s="92">
        <f>SUM(D19:F19)</f>
        <v>1</v>
      </c>
      <c r="H19" s="97"/>
      <c r="I19" s="97"/>
      <c r="J19" s="97"/>
      <c r="K19" s="97"/>
      <c r="L19" s="97"/>
      <c r="M19" s="97"/>
      <c r="N19" s="97"/>
      <c r="O19" s="97"/>
      <c r="P19" s="97"/>
      <c r="Q19" s="97"/>
      <c r="R19" s="97"/>
      <c r="S19" s="97"/>
      <c r="T19" s="97"/>
      <c r="U19" s="97"/>
      <c r="V19" s="97"/>
      <c r="W19" s="97"/>
      <c r="X19" s="97"/>
      <c r="Y19" s="97"/>
      <c r="Z19" s="97"/>
    </row>
    <row r="20" spans="1:26" x14ac:dyDescent="0.3">
      <c r="A20" s="9"/>
      <c r="B20" s="9"/>
      <c r="C20" s="9"/>
      <c r="D20" s="9"/>
      <c r="E20" s="9"/>
      <c r="F20" s="9"/>
      <c r="G20" s="9"/>
      <c r="H20" s="9"/>
      <c r="I20" s="9"/>
      <c r="J20" s="9"/>
      <c r="K20" s="9"/>
      <c r="L20" s="9"/>
      <c r="M20" s="9"/>
      <c r="N20" s="9"/>
      <c r="O20" s="9"/>
      <c r="P20" s="9"/>
      <c r="Q20" s="9"/>
      <c r="R20" s="9"/>
    </row>
    <row r="21" spans="1:26" x14ac:dyDescent="0.3">
      <c r="A21" s="9"/>
      <c r="B21" s="9"/>
      <c r="C21" s="16" t="s">
        <v>1662</v>
      </c>
      <c r="D21" s="13"/>
      <c r="E21" s="9"/>
      <c r="F21" s="9"/>
      <c r="G21" s="9"/>
      <c r="H21" s="9"/>
      <c r="I21" s="9"/>
      <c r="J21" s="9"/>
      <c r="K21" s="9"/>
      <c r="L21" s="9"/>
      <c r="M21" s="9"/>
      <c r="N21" s="9"/>
      <c r="O21" s="9"/>
      <c r="P21" s="9"/>
      <c r="Q21" s="9"/>
      <c r="R21" s="9"/>
    </row>
    <row r="22" spans="1:26" ht="28" x14ac:dyDescent="0.3">
      <c r="A22" s="9"/>
      <c r="B22" s="9"/>
      <c r="C22" s="3"/>
      <c r="D22" s="5" t="s">
        <v>1663</v>
      </c>
      <c r="E22" s="5" t="s">
        <v>1664</v>
      </c>
      <c r="F22" s="5" t="s">
        <v>1665</v>
      </c>
      <c r="G22" s="5" t="s">
        <v>1666</v>
      </c>
      <c r="H22" s="5" t="s">
        <v>1706</v>
      </c>
      <c r="I22" s="102" t="s">
        <v>1197</v>
      </c>
      <c r="J22" s="9"/>
      <c r="K22" s="9"/>
      <c r="L22" s="9"/>
      <c r="M22" s="9"/>
      <c r="N22" s="9"/>
      <c r="O22" s="9"/>
      <c r="P22" s="9"/>
      <c r="Q22" s="9"/>
      <c r="R22" s="9"/>
    </row>
    <row r="23" spans="1:26" x14ac:dyDescent="0.3">
      <c r="A23" s="9"/>
      <c r="B23" s="9"/>
      <c r="C23" s="3" t="s">
        <v>1198</v>
      </c>
      <c r="D23" s="23">
        <f>COUNTIF('ZEMIO_Cleaned Data'!AA:AA,"moins_six_mois")</f>
        <v>2</v>
      </c>
      <c r="E23" s="23">
        <f>COUNTIF('ZEMIO_Cleaned Data'!AA:AA,"six_mois_un_an")</f>
        <v>0</v>
      </c>
      <c r="F23" s="23">
        <f>COUNTIF('ZEMIO_Cleaned Data'!AA:AA,"un_an_trois_ans")</f>
        <v>0</v>
      </c>
      <c r="G23" s="23">
        <f>COUNTIF('ZEMIO_Cleaned Data'!AA:AA,"plus_trois_ans")</f>
        <v>1</v>
      </c>
      <c r="H23" s="23">
        <f>COUNTIF('ZEMIO_Cleaned Data'!AA:AA,"nsp")</f>
        <v>0</v>
      </c>
      <c r="I23" s="103">
        <f>SUM(D23:H23)</f>
        <v>3</v>
      </c>
      <c r="J23" s="9"/>
      <c r="K23" s="9"/>
      <c r="L23" s="9"/>
      <c r="M23" s="9"/>
      <c r="N23" s="9"/>
      <c r="O23" s="9"/>
      <c r="P23" s="9"/>
      <c r="Q23" s="9"/>
      <c r="R23" s="9"/>
    </row>
    <row r="24" spans="1:26" s="98" customFormat="1" ht="36.5" customHeight="1" x14ac:dyDescent="0.3">
      <c r="A24" s="97"/>
      <c r="B24" s="97"/>
      <c r="C24" s="93" t="s">
        <v>1996</v>
      </c>
      <c r="D24" s="96">
        <f>D23/$D$13</f>
        <v>0.66666666666666663</v>
      </c>
      <c r="E24" s="96">
        <f>E23/$D$13</f>
        <v>0</v>
      </c>
      <c r="F24" s="96">
        <f>F23/$D$13</f>
        <v>0</v>
      </c>
      <c r="G24" s="96">
        <f t="shared" ref="G24:H24" si="2">G23/$D$13</f>
        <v>0.33333333333333331</v>
      </c>
      <c r="H24" s="96">
        <f t="shared" si="2"/>
        <v>0</v>
      </c>
      <c r="I24" s="92">
        <f>SUM(D24:H24)</f>
        <v>1</v>
      </c>
      <c r="J24" s="97"/>
      <c r="K24" s="97"/>
      <c r="L24" s="97"/>
      <c r="M24" s="97"/>
      <c r="N24" s="97"/>
      <c r="O24" s="97"/>
      <c r="P24" s="97"/>
      <c r="Q24" s="97"/>
      <c r="R24" s="97"/>
      <c r="S24" s="97"/>
      <c r="T24" s="97"/>
      <c r="U24" s="97"/>
      <c r="V24" s="97"/>
      <c r="W24" s="97"/>
      <c r="X24" s="97"/>
      <c r="Y24" s="97"/>
      <c r="Z24" s="97"/>
    </row>
    <row r="25" spans="1:26" s="9" customFormat="1" x14ac:dyDescent="0.3">
      <c r="D25" s="48"/>
      <c r="E25" s="48"/>
      <c r="F25" s="48"/>
      <c r="G25" s="48"/>
      <c r="H25" s="48"/>
    </row>
    <row r="26" spans="1:26" x14ac:dyDescent="0.3">
      <c r="A26" s="9"/>
      <c r="B26" s="9"/>
      <c r="C26" s="16" t="s">
        <v>1205</v>
      </c>
      <c r="D26" s="9"/>
      <c r="E26" s="95" t="s">
        <v>1994</v>
      </c>
      <c r="F26" s="9"/>
      <c r="G26" s="9"/>
      <c r="H26" s="9"/>
      <c r="I26" s="9"/>
      <c r="J26" s="9"/>
      <c r="K26" s="9"/>
      <c r="L26" s="9"/>
      <c r="M26" s="9"/>
      <c r="N26" s="9"/>
      <c r="O26" s="9"/>
      <c r="P26" s="9"/>
      <c r="Q26" s="9"/>
      <c r="R26" s="9"/>
    </row>
    <row r="27" spans="1:26" ht="28" x14ac:dyDescent="0.3">
      <c r="A27" s="9"/>
      <c r="B27" s="9"/>
      <c r="C27" s="3"/>
      <c r="D27" s="5" t="s">
        <v>1206</v>
      </c>
      <c r="E27" s="5" t="s">
        <v>1207</v>
      </c>
      <c r="F27" s="5" t="s">
        <v>1208</v>
      </c>
      <c r="G27" s="5" t="s">
        <v>1209</v>
      </c>
      <c r="H27" s="5" t="s">
        <v>1210</v>
      </c>
      <c r="I27" s="5" t="s">
        <v>1211</v>
      </c>
      <c r="J27" s="9"/>
      <c r="K27" s="9"/>
      <c r="L27" s="9"/>
      <c r="M27" s="9"/>
      <c r="N27" s="9"/>
      <c r="O27" s="9"/>
      <c r="P27" s="9"/>
      <c r="Q27" s="9"/>
      <c r="R27" s="9"/>
      <c r="X27" s="1"/>
      <c r="Y27" s="1"/>
      <c r="Z27" s="1"/>
    </row>
    <row r="28" spans="1:26" x14ac:dyDescent="0.3">
      <c r="A28" s="9"/>
      <c r="B28" s="9"/>
      <c r="C28" s="3" t="s">
        <v>1198</v>
      </c>
      <c r="D28" s="23">
        <f>COUNTIF('ZEMIO_Cleaned Data'!AC:AC,"1")</f>
        <v>1</v>
      </c>
      <c r="E28" s="23">
        <f>COUNTIF('ZEMIO_Cleaned Data'!AD:AD,"1")</f>
        <v>0</v>
      </c>
      <c r="F28" s="23">
        <f>COUNTIF('ZEMIO_Cleaned Data'!AF:AF,"1")</f>
        <v>3</v>
      </c>
      <c r="G28" s="23">
        <f>COUNTIF('ZEMIO_Cleaned Data'!AH:AH,"1")</f>
        <v>1</v>
      </c>
      <c r="H28" s="23">
        <f>COUNTIF('ZEMIO_Cleaned Data'!AI:AI,"1")</f>
        <v>2</v>
      </c>
      <c r="I28" s="23">
        <f>COUNTIF('ZEMIO_Cleaned Data'!AK:AK,"1")</f>
        <v>0</v>
      </c>
      <c r="J28" s="9"/>
      <c r="K28" s="9"/>
      <c r="L28" s="9"/>
      <c r="M28" s="9"/>
      <c r="N28" s="9"/>
      <c r="O28" s="9"/>
      <c r="P28" s="9"/>
      <c r="Q28" s="9"/>
      <c r="R28" s="9"/>
      <c r="X28" s="1"/>
      <c r="Y28" s="1"/>
      <c r="Z28" s="1"/>
    </row>
    <row r="29" spans="1:26" s="97" customFormat="1" ht="37.5" x14ac:dyDescent="0.3">
      <c r="A29" s="99"/>
      <c r="B29" s="100"/>
      <c r="C29" s="93" t="s">
        <v>1997</v>
      </c>
      <c r="D29" s="96">
        <f>D28/$C$13</f>
        <v>0.2</v>
      </c>
      <c r="E29" s="96">
        <f t="shared" ref="E29:I29" si="3">E28/$C$13</f>
        <v>0</v>
      </c>
      <c r="F29" s="96">
        <f t="shared" si="3"/>
        <v>0.6</v>
      </c>
      <c r="G29" s="96">
        <f t="shared" si="3"/>
        <v>0.2</v>
      </c>
      <c r="H29" s="96">
        <f t="shared" si="3"/>
        <v>0.4</v>
      </c>
      <c r="I29" s="96">
        <f t="shared" si="3"/>
        <v>0</v>
      </c>
      <c r="J29" s="9"/>
    </row>
    <row r="30" spans="1:26" s="9" customFormat="1" x14ac:dyDescent="0.3">
      <c r="A30" s="13"/>
      <c r="B30" s="14"/>
      <c r="C30" s="89"/>
      <c r="D30" s="14"/>
      <c r="E30" s="14"/>
    </row>
    <row r="31" spans="1:26" x14ac:dyDescent="0.3">
      <c r="A31" s="9"/>
      <c r="B31" s="9"/>
      <c r="C31" s="16" t="s">
        <v>1667</v>
      </c>
      <c r="D31" s="13"/>
      <c r="E31" s="9"/>
      <c r="F31" s="9"/>
      <c r="G31" s="9"/>
      <c r="H31" s="9"/>
      <c r="I31" s="9"/>
      <c r="J31" s="9"/>
      <c r="K31" s="9"/>
      <c r="L31" s="9"/>
      <c r="M31" s="9"/>
      <c r="N31" s="9"/>
      <c r="O31" s="9"/>
      <c r="P31" s="9"/>
      <c r="Q31" s="9"/>
      <c r="R31" s="9"/>
    </row>
    <row r="32" spans="1:26" ht="28" x14ac:dyDescent="0.3">
      <c r="A32" s="9"/>
      <c r="B32" s="9"/>
      <c r="C32" s="3"/>
      <c r="D32" s="5" t="s">
        <v>1663</v>
      </c>
      <c r="E32" s="5" t="s">
        <v>1664</v>
      </c>
      <c r="F32" s="5" t="s">
        <v>1665</v>
      </c>
      <c r="G32" s="5" t="s">
        <v>1666</v>
      </c>
      <c r="H32" s="5" t="s">
        <v>1706</v>
      </c>
      <c r="I32" s="102" t="s">
        <v>1197</v>
      </c>
      <c r="J32" s="9"/>
      <c r="K32" s="9"/>
      <c r="L32" s="9"/>
      <c r="M32" s="9"/>
      <c r="N32" s="9"/>
      <c r="O32" s="9"/>
      <c r="P32" s="9"/>
      <c r="Q32" s="9"/>
      <c r="R32" s="9"/>
    </row>
    <row r="33" spans="1:26" x14ac:dyDescent="0.3">
      <c r="A33" s="9"/>
      <c r="B33" s="9"/>
      <c r="C33" s="3" t="s">
        <v>1198</v>
      </c>
      <c r="D33" s="23">
        <f>COUNTIF('ZEMIO_Cleaned Data'!AM:AM,"moins_six_mois")</f>
        <v>1</v>
      </c>
      <c r="E33" s="23">
        <f>COUNTIF('ZEMIO_Cleaned Data'!AM:AM,"six_mois_un_an")</f>
        <v>1</v>
      </c>
      <c r="F33" s="23">
        <f>COUNTIF('ZEMIO_Cleaned Data'!AM:AM,"un_an_trois_ans")</f>
        <v>1</v>
      </c>
      <c r="G33" s="23">
        <f>COUNTIF('ZEMIO_Cleaned Data'!AM:AM,"plus_trois_ans")</f>
        <v>2</v>
      </c>
      <c r="H33" s="23">
        <f>COUNTIF('ZEMIO_Cleaned Data'!AM:AM,"nsp")</f>
        <v>0</v>
      </c>
      <c r="I33" s="103">
        <f>SUM(D33:H33)</f>
        <v>5</v>
      </c>
      <c r="J33" s="9"/>
      <c r="K33" s="9"/>
      <c r="L33" s="9"/>
      <c r="M33" s="9"/>
      <c r="N33" s="9"/>
      <c r="O33" s="9"/>
      <c r="P33" s="9"/>
      <c r="Q33" s="9"/>
      <c r="R33" s="9"/>
    </row>
    <row r="34" spans="1:26" s="98" customFormat="1" ht="41.5" customHeight="1" x14ac:dyDescent="0.3">
      <c r="A34" s="97"/>
      <c r="B34" s="97"/>
      <c r="C34" s="93" t="s">
        <v>1997</v>
      </c>
      <c r="D34" s="96">
        <f>D33/$C$13</f>
        <v>0.2</v>
      </c>
      <c r="E34" s="96">
        <f t="shared" ref="E34:H34" si="4">E33/$C$13</f>
        <v>0.2</v>
      </c>
      <c r="F34" s="96">
        <f t="shared" si="4"/>
        <v>0.2</v>
      </c>
      <c r="G34" s="96">
        <f t="shared" si="4"/>
        <v>0.4</v>
      </c>
      <c r="H34" s="96">
        <f t="shared" si="4"/>
        <v>0</v>
      </c>
      <c r="I34" s="92">
        <f>SUM(D34:H34)</f>
        <v>1</v>
      </c>
      <c r="J34" s="97"/>
      <c r="K34" s="97"/>
      <c r="L34" s="97"/>
      <c r="M34" s="97"/>
      <c r="N34" s="97"/>
      <c r="O34" s="97"/>
      <c r="P34" s="97"/>
      <c r="Q34" s="97"/>
      <c r="R34" s="97"/>
      <c r="S34" s="97"/>
      <c r="T34" s="97"/>
      <c r="U34" s="97"/>
      <c r="V34" s="97"/>
      <c r="W34" s="97"/>
      <c r="X34" s="97"/>
      <c r="Y34" s="97"/>
      <c r="Z34" s="97"/>
    </row>
    <row r="35" spans="1:26" s="9" customFormat="1" x14ac:dyDescent="0.3">
      <c r="A35" s="13"/>
      <c r="B35" s="14"/>
      <c r="C35" s="14"/>
      <c r="D35" s="14"/>
      <c r="E35" s="14"/>
    </row>
    <row r="36" spans="1:26" ht="15.5" x14ac:dyDescent="0.35">
      <c r="A36" s="28" t="s">
        <v>1294</v>
      </c>
      <c r="B36" s="95" t="s">
        <v>1994</v>
      </c>
      <c r="C36" s="9"/>
      <c r="D36" s="9"/>
      <c r="E36" s="9"/>
      <c r="F36" s="9"/>
      <c r="G36" s="9"/>
      <c r="H36" s="9"/>
      <c r="I36" s="9"/>
      <c r="J36" s="9"/>
      <c r="K36" s="9"/>
      <c r="L36" s="9"/>
      <c r="M36" s="9"/>
      <c r="N36" s="9"/>
      <c r="O36" s="9"/>
      <c r="P36" s="9"/>
      <c r="Q36" s="9"/>
      <c r="R36" s="9"/>
    </row>
    <row r="37" spans="1:26" ht="56" x14ac:dyDescent="0.3">
      <c r="A37" s="3"/>
      <c r="B37" s="7" t="s">
        <v>1698</v>
      </c>
      <c r="C37" s="7" t="s">
        <v>1691</v>
      </c>
      <c r="D37" s="7" t="s">
        <v>1692</v>
      </c>
      <c r="E37" s="7" t="s">
        <v>1693</v>
      </c>
      <c r="F37" s="7" t="s">
        <v>1694</v>
      </c>
      <c r="G37" s="7" t="s">
        <v>1695</v>
      </c>
      <c r="H37" s="7" t="s">
        <v>1229</v>
      </c>
      <c r="I37" s="7" t="s">
        <v>1696</v>
      </c>
      <c r="J37" s="7" t="s">
        <v>1697</v>
      </c>
      <c r="K37" s="7" t="s">
        <v>1706</v>
      </c>
      <c r="L37" s="7" t="s">
        <v>1196</v>
      </c>
      <c r="M37" s="9"/>
      <c r="N37" s="9"/>
      <c r="O37" s="9"/>
      <c r="P37" s="9"/>
      <c r="Q37" s="9"/>
      <c r="R37" s="9"/>
    </row>
    <row r="38" spans="1:26" x14ac:dyDescent="0.3">
      <c r="A38" s="3" t="s">
        <v>1198</v>
      </c>
      <c r="B38" s="23">
        <f>COUNTIF('ZEMIO_Cleaned Data'!BP:BP,"1")</f>
        <v>5</v>
      </c>
      <c r="C38" s="23">
        <f>COUNTIF('ZEMIO_Cleaned Data'!BQ:BQ,"1")</f>
        <v>1</v>
      </c>
      <c r="D38" s="23">
        <f>COUNTIF('ZEMIO_Cleaned Data'!BR:BR,"1")</f>
        <v>0</v>
      </c>
      <c r="E38" s="23">
        <f>COUNTIF('ZEMIO_Cleaned Data'!BY:BY,"1")</f>
        <v>0</v>
      </c>
      <c r="F38" s="23">
        <f>COUNTIF('ZEMIO_Cleaned Data'!BZ:BZ,"1")</f>
        <v>0</v>
      </c>
      <c r="G38" s="23">
        <f>COUNTIF('ZEMIO_Cleaned Data'!BS:BS,"1")</f>
        <v>0</v>
      </c>
      <c r="H38" s="23">
        <f>COUNTIF('ZEMIO_Cleaned Data'!BT:BT,"1")</f>
        <v>1</v>
      </c>
      <c r="I38" s="23">
        <f>COUNTIF('ZEMIO_Cleaned Data'!BU:BU,"1")</f>
        <v>19</v>
      </c>
      <c r="J38" s="23">
        <f>COUNTIF('ZEMIO_Cleaned Data'!CA:CA,"1")</f>
        <v>1</v>
      </c>
      <c r="K38" s="23">
        <f>COUNTIF('ZEMIO_Cleaned Data'!BW:BW,"1")</f>
        <v>3</v>
      </c>
      <c r="L38" s="23">
        <f>COUNTIF('ZEMIO_Cleaned Data'!BX:BX,"1")</f>
        <v>0</v>
      </c>
      <c r="M38" s="9"/>
      <c r="N38" s="9"/>
      <c r="O38" s="9"/>
      <c r="P38" s="9"/>
      <c r="Q38" s="9"/>
      <c r="R38" s="9"/>
    </row>
    <row r="39" spans="1:26" s="98" customFormat="1" ht="26" x14ac:dyDescent="0.3">
      <c r="A39" s="93" t="s">
        <v>1995</v>
      </c>
      <c r="B39" s="96">
        <f>B38/$B$3</f>
        <v>0.18518518518518517</v>
      </c>
      <c r="C39" s="96">
        <f t="shared" ref="C39:L39" si="5">C38/$B$3</f>
        <v>3.7037037037037035E-2</v>
      </c>
      <c r="D39" s="96">
        <f t="shared" si="5"/>
        <v>0</v>
      </c>
      <c r="E39" s="96">
        <f t="shared" si="5"/>
        <v>0</v>
      </c>
      <c r="F39" s="96">
        <f t="shared" si="5"/>
        <v>0</v>
      </c>
      <c r="G39" s="96">
        <f t="shared" si="5"/>
        <v>0</v>
      </c>
      <c r="H39" s="96">
        <f t="shared" si="5"/>
        <v>3.7037037037037035E-2</v>
      </c>
      <c r="I39" s="96">
        <f t="shared" si="5"/>
        <v>0.70370370370370372</v>
      </c>
      <c r="J39" s="96">
        <f t="shared" si="5"/>
        <v>3.7037037037037035E-2</v>
      </c>
      <c r="K39" s="96">
        <f t="shared" si="5"/>
        <v>0.1111111111111111</v>
      </c>
      <c r="L39" s="96">
        <f t="shared" si="5"/>
        <v>0</v>
      </c>
      <c r="M39" s="97"/>
      <c r="N39" s="97"/>
      <c r="O39" s="97"/>
      <c r="P39" s="97"/>
      <c r="Q39" s="97"/>
      <c r="R39" s="97"/>
      <c r="S39" s="97"/>
      <c r="T39" s="97"/>
      <c r="U39" s="97"/>
      <c r="V39" s="97"/>
      <c r="W39" s="97"/>
      <c r="X39" s="97"/>
      <c r="Y39" s="97"/>
      <c r="Z39" s="97"/>
    </row>
    <row r="40" spans="1:26" x14ac:dyDescent="0.3">
      <c r="A40" s="9"/>
      <c r="B40" s="9"/>
      <c r="C40" s="9"/>
      <c r="D40" s="9"/>
      <c r="E40" s="9"/>
      <c r="F40" s="9"/>
      <c r="G40" s="9"/>
      <c r="H40" s="9"/>
      <c r="I40" s="9"/>
      <c r="J40" s="9"/>
      <c r="K40" s="9"/>
      <c r="L40" s="9"/>
      <c r="M40" s="9"/>
      <c r="N40" s="9"/>
      <c r="O40" s="9"/>
      <c r="P40" s="9"/>
      <c r="Q40" s="9"/>
      <c r="R40" s="9"/>
    </row>
    <row r="41" spans="1:26" x14ac:dyDescent="0.3">
      <c r="A41" s="9"/>
      <c r="B41" s="9"/>
      <c r="C41" s="9"/>
      <c r="D41" s="9"/>
      <c r="E41" s="9"/>
      <c r="F41" s="9"/>
      <c r="G41" s="9"/>
      <c r="H41" s="9"/>
      <c r="I41" s="9"/>
      <c r="J41" s="9"/>
      <c r="K41" s="9"/>
      <c r="L41" s="9"/>
      <c r="M41" s="9"/>
      <c r="N41" s="9"/>
      <c r="O41" s="9"/>
      <c r="P41" s="9"/>
      <c r="Q41" s="9"/>
      <c r="R41" s="9"/>
    </row>
    <row r="42" spans="1:26" ht="15.5" x14ac:dyDescent="0.35">
      <c r="A42" s="8" t="s">
        <v>1285</v>
      </c>
      <c r="B42" s="9"/>
      <c r="C42" s="9"/>
      <c r="D42" s="9"/>
      <c r="E42" s="9"/>
      <c r="F42" s="9"/>
      <c r="G42" s="9"/>
      <c r="H42" s="9"/>
      <c r="I42" s="9"/>
      <c r="J42" s="9"/>
      <c r="K42" s="9"/>
      <c r="L42" s="9"/>
      <c r="M42" s="9"/>
      <c r="N42" s="9"/>
      <c r="O42" s="9"/>
      <c r="P42" s="9"/>
      <c r="Q42" s="9"/>
      <c r="R42" s="9"/>
    </row>
    <row r="43" spans="1:26" ht="15.5" x14ac:dyDescent="0.35">
      <c r="A43" s="28" t="s">
        <v>1213</v>
      </c>
      <c r="C43" s="9"/>
      <c r="D43" s="9"/>
      <c r="E43" s="9"/>
      <c r="F43" s="9"/>
      <c r="G43" s="9"/>
      <c r="H43" s="9"/>
      <c r="I43" s="9"/>
      <c r="J43" s="9"/>
      <c r="K43" s="9"/>
      <c r="L43" s="9"/>
      <c r="M43" s="9"/>
      <c r="N43" s="9"/>
      <c r="O43" s="9"/>
      <c r="P43" s="9"/>
      <c r="Q43" s="9"/>
      <c r="R43" s="9"/>
    </row>
    <row r="44" spans="1:26" ht="42" x14ac:dyDescent="0.3">
      <c r="A44" s="3"/>
      <c r="B44" s="7" t="s">
        <v>1668</v>
      </c>
      <c r="C44" s="7" t="s">
        <v>1669</v>
      </c>
      <c r="D44" s="7" t="s">
        <v>1670</v>
      </c>
      <c r="E44" s="7" t="s">
        <v>1671</v>
      </c>
      <c r="F44" s="102" t="s">
        <v>1197</v>
      </c>
      <c r="G44" s="9"/>
      <c r="H44" s="9"/>
      <c r="I44" s="9"/>
      <c r="J44" s="9"/>
      <c r="K44" s="9"/>
      <c r="L44" s="9"/>
      <c r="M44" s="9"/>
      <c r="N44" s="9"/>
      <c r="O44" s="9"/>
      <c r="P44" s="9"/>
      <c r="Q44" s="9"/>
      <c r="R44" s="9"/>
    </row>
    <row r="45" spans="1:26" x14ac:dyDescent="0.3">
      <c r="A45" s="3" t="s">
        <v>1198</v>
      </c>
      <c r="B45" s="3">
        <f>COUNTIF('ZEMIO_Cleaned Data'!AN:AN, "oui_potable")</f>
        <v>19</v>
      </c>
      <c r="C45" s="3">
        <f>COUNTIF('ZEMIO_Cleaned Data'!AN:AN, "oui_pas_potable")</f>
        <v>3</v>
      </c>
      <c r="D45" s="3">
        <f>COUNTIF('ZEMIO_Cleaned Data'!AN:AN, "oui_traitee")</f>
        <v>0</v>
      </c>
      <c r="E45" s="3">
        <f>COUNTIF('ZEMIO_Cleaned Data'!AN:AN, "non")</f>
        <v>0</v>
      </c>
      <c r="F45" s="103">
        <f>SUM(B45:E45)</f>
        <v>22</v>
      </c>
      <c r="G45" s="9"/>
      <c r="H45" s="9"/>
      <c r="I45" s="9"/>
      <c r="J45" s="9"/>
      <c r="K45" s="9"/>
      <c r="L45" s="9"/>
      <c r="M45" s="9"/>
      <c r="N45" s="9"/>
      <c r="O45" s="9"/>
      <c r="P45" s="9"/>
      <c r="Q45" s="9"/>
      <c r="R45" s="9"/>
    </row>
    <row r="46" spans="1:26" s="98" customFormat="1" ht="37.5" x14ac:dyDescent="0.3">
      <c r="A46" s="93" t="s">
        <v>1685</v>
      </c>
      <c r="B46" s="96">
        <f>(B45/$E$13)</f>
        <v>0.86363636363636365</v>
      </c>
      <c r="C46" s="96">
        <f t="shared" ref="C46:E46" si="6">(C45/$E$13)</f>
        <v>0.13636363636363635</v>
      </c>
      <c r="D46" s="96">
        <f t="shared" si="6"/>
        <v>0</v>
      </c>
      <c r="E46" s="96">
        <f t="shared" si="6"/>
        <v>0</v>
      </c>
      <c r="F46" s="92">
        <f>SUM(B46:E46)</f>
        <v>1</v>
      </c>
      <c r="G46" s="97"/>
      <c r="H46" s="97"/>
      <c r="I46" s="97"/>
      <c r="J46" s="97"/>
      <c r="K46" s="97"/>
      <c r="L46" s="97"/>
      <c r="M46" s="97"/>
      <c r="N46" s="97"/>
      <c r="O46" s="97"/>
      <c r="P46" s="97"/>
      <c r="Q46" s="97"/>
      <c r="R46" s="97"/>
      <c r="S46" s="97"/>
      <c r="T46" s="97"/>
      <c r="U46" s="97"/>
      <c r="V46" s="97"/>
      <c r="W46" s="97"/>
      <c r="X46" s="97"/>
      <c r="Y46" s="97"/>
      <c r="Z46" s="97"/>
    </row>
    <row r="47" spans="1:26" ht="15" customHeight="1" x14ac:dyDescent="0.3">
      <c r="A47" s="13"/>
      <c r="B47" s="14"/>
      <c r="C47" s="14"/>
      <c r="D47" s="13"/>
      <c r="E47" s="9"/>
      <c r="F47" s="9"/>
      <c r="G47" s="9"/>
      <c r="H47" s="9"/>
      <c r="I47" s="9"/>
      <c r="J47" s="9"/>
      <c r="K47" s="9"/>
      <c r="L47" s="9"/>
      <c r="M47" s="9"/>
      <c r="N47" s="9"/>
      <c r="O47" s="9"/>
      <c r="P47" s="9"/>
      <c r="Q47" s="9"/>
      <c r="R47" s="9"/>
    </row>
    <row r="48" spans="1:26" ht="15.5" x14ac:dyDescent="0.35">
      <c r="A48" s="59" t="s">
        <v>1214</v>
      </c>
      <c r="D48" s="9"/>
      <c r="E48" s="9"/>
      <c r="F48" s="9"/>
      <c r="G48" s="9"/>
      <c r="H48" s="9"/>
      <c r="I48" s="9"/>
      <c r="J48" s="9"/>
      <c r="K48" s="9"/>
      <c r="L48" s="9"/>
      <c r="M48" s="9"/>
      <c r="N48" s="9"/>
      <c r="O48" s="9"/>
      <c r="P48" s="9"/>
      <c r="Q48" s="9"/>
      <c r="R48" s="9"/>
    </row>
    <row r="49" spans="1:45" x14ac:dyDescent="0.3">
      <c r="A49" s="18">
        <f>AVERAGE('ZEMIO_Cleaned Data'!AO:AO)</f>
        <v>335.9</v>
      </c>
      <c r="B49" s="9"/>
      <c r="C49" s="73"/>
      <c r="D49" s="9"/>
      <c r="E49" s="9"/>
      <c r="F49" s="9"/>
      <c r="G49" s="9"/>
      <c r="H49" s="9"/>
      <c r="I49" s="9"/>
      <c r="J49" s="9"/>
      <c r="K49" s="9"/>
      <c r="L49" s="9"/>
      <c r="M49" s="9"/>
      <c r="N49" s="9"/>
      <c r="O49" s="9"/>
      <c r="P49" s="9"/>
      <c r="Q49" s="9"/>
      <c r="R49" s="9"/>
    </row>
    <row r="50" spans="1:45" x14ac:dyDescent="0.3">
      <c r="A50" s="18"/>
      <c r="B50" s="9"/>
      <c r="C50" s="9"/>
      <c r="D50" s="9"/>
      <c r="E50" s="9"/>
      <c r="F50" s="9"/>
      <c r="G50" s="9"/>
      <c r="H50" s="9"/>
      <c r="I50" s="9"/>
      <c r="J50" s="9"/>
      <c r="K50" s="9"/>
      <c r="L50" s="9"/>
      <c r="M50" s="9"/>
      <c r="N50" s="9"/>
      <c r="O50" s="9"/>
      <c r="P50" s="9"/>
      <c r="Q50" s="9"/>
      <c r="R50" s="9"/>
    </row>
    <row r="51" spans="1:45" ht="15.5" x14ac:dyDescent="0.35">
      <c r="A51" s="28" t="s">
        <v>1504</v>
      </c>
      <c r="B51" s="9"/>
      <c r="C51" s="9"/>
      <c r="D51" s="9"/>
      <c r="E51" s="9"/>
      <c r="F51" s="9"/>
      <c r="G51" s="9"/>
      <c r="H51" s="9"/>
      <c r="I51" s="9"/>
      <c r="J51" s="9"/>
      <c r="K51" s="9"/>
      <c r="L51" s="9"/>
      <c r="M51" s="9"/>
      <c r="N51" s="9"/>
      <c r="O51" s="9"/>
      <c r="P51" s="9"/>
      <c r="Q51" s="9"/>
      <c r="R51" s="9"/>
      <c r="AA51" s="9"/>
      <c r="AB51" s="9"/>
      <c r="AC51" s="9"/>
      <c r="AD51" s="9"/>
      <c r="AE51" s="9"/>
      <c r="AF51" s="9"/>
      <c r="AG51" s="9"/>
      <c r="AH51" s="9"/>
      <c r="AI51" s="9"/>
      <c r="AJ51" s="9"/>
      <c r="AK51" s="9"/>
      <c r="AL51" s="9"/>
      <c r="AM51" s="9"/>
      <c r="AN51" s="9"/>
      <c r="AO51" s="9"/>
      <c r="AP51" s="9"/>
      <c r="AQ51" s="9"/>
      <c r="AR51" s="9"/>
      <c r="AS51" s="9"/>
    </row>
    <row r="52" spans="1:45" ht="42" x14ac:dyDescent="0.3">
      <c r="A52" s="3"/>
      <c r="B52" s="7" t="s">
        <v>1505</v>
      </c>
      <c r="C52" s="7" t="s">
        <v>1506</v>
      </c>
      <c r="D52" s="7" t="s">
        <v>1507</v>
      </c>
      <c r="E52" s="7" t="s">
        <v>1508</v>
      </c>
      <c r="F52" s="7" t="s">
        <v>1509</v>
      </c>
      <c r="G52" s="7" t="s">
        <v>1706</v>
      </c>
      <c r="H52" s="7" t="s">
        <v>1211</v>
      </c>
      <c r="I52" s="102" t="s">
        <v>1197</v>
      </c>
      <c r="J52" s="9"/>
      <c r="K52" s="9"/>
      <c r="L52" s="9"/>
      <c r="M52" s="9"/>
      <c r="N52" s="9"/>
      <c r="O52" s="9"/>
      <c r="P52" s="9"/>
      <c r="Q52" s="9"/>
      <c r="R52" s="9"/>
      <c r="AA52" s="9"/>
      <c r="AB52" s="9"/>
      <c r="AC52" s="9"/>
      <c r="AD52" s="9"/>
      <c r="AE52" s="9"/>
      <c r="AF52" s="9"/>
      <c r="AG52" s="9"/>
      <c r="AH52" s="9"/>
      <c r="AI52" s="9"/>
      <c r="AJ52" s="9"/>
      <c r="AK52" s="9"/>
      <c r="AL52" s="9"/>
      <c r="AM52" s="9"/>
      <c r="AN52" s="9"/>
      <c r="AO52" s="9"/>
      <c r="AP52" s="9"/>
      <c r="AQ52" s="9"/>
      <c r="AR52" s="9"/>
      <c r="AS52" s="9"/>
    </row>
    <row r="53" spans="1:45" x14ac:dyDescent="0.3">
      <c r="A53" s="3" t="s">
        <v>1198</v>
      </c>
      <c r="B53" s="3">
        <f>COUNTIF('ZEMIO_Cleaned Data'!AP:AP,"maisons_alentours")</f>
        <v>1</v>
      </c>
      <c r="C53" s="3">
        <f>COUNTIF('ZEMIO_Cleaned Data'!AP:AP,"quartier")</f>
        <v>4</v>
      </c>
      <c r="D53" s="3">
        <f>COUNTIF('ZEMIO_Cleaned Data'!AP:AP,"plusieurs_quartiers")</f>
        <v>13</v>
      </c>
      <c r="E53" s="3">
        <f>COUNTIF('ZEMIO_Cleaned Data'!AP:AP,"localite")</f>
        <v>3</v>
      </c>
      <c r="F53" s="3">
        <f>COUNTIF('ZEMIO_Cleaned Data'!AP:AP,"localite_environs")</f>
        <v>1</v>
      </c>
      <c r="G53" s="3">
        <f>COUNTIF('ZEMIO_Cleaned Data'!AP:AP,"nsp")</f>
        <v>0</v>
      </c>
      <c r="H53" s="3">
        <f>COUNTIF('ZEMIO_Cleaned Data'!AP:AP,"autre")</f>
        <v>0</v>
      </c>
      <c r="I53" s="103">
        <f>SUM(B53:H53)</f>
        <v>22</v>
      </c>
      <c r="J53" s="9"/>
      <c r="K53" s="9"/>
      <c r="L53" s="9"/>
      <c r="M53" s="9"/>
      <c r="N53" s="9"/>
      <c r="O53" s="9"/>
      <c r="P53" s="9"/>
      <c r="Q53" s="9"/>
      <c r="R53" s="9"/>
      <c r="AA53" s="9"/>
      <c r="AB53" s="9"/>
      <c r="AC53" s="9"/>
      <c r="AD53" s="9"/>
      <c r="AE53" s="9"/>
      <c r="AF53" s="9"/>
      <c r="AG53" s="9"/>
      <c r="AH53" s="9"/>
      <c r="AI53" s="9"/>
      <c r="AJ53" s="9"/>
      <c r="AK53" s="9"/>
      <c r="AL53" s="9"/>
      <c r="AM53" s="9"/>
      <c r="AN53" s="9"/>
      <c r="AO53" s="9"/>
      <c r="AP53" s="9"/>
      <c r="AQ53" s="9"/>
      <c r="AR53" s="9"/>
      <c r="AS53" s="9"/>
    </row>
    <row r="54" spans="1:45" s="55" customFormat="1" ht="37" x14ac:dyDescent="0.3">
      <c r="A54" s="53" t="s">
        <v>1685</v>
      </c>
      <c r="B54" s="96">
        <f>(B53/$E$13)</f>
        <v>4.5454545454545456E-2</v>
      </c>
      <c r="C54" s="96">
        <f t="shared" ref="C54:H54" si="7">(C53/$E$13)</f>
        <v>0.18181818181818182</v>
      </c>
      <c r="D54" s="96">
        <f t="shared" si="7"/>
        <v>0.59090909090909094</v>
      </c>
      <c r="E54" s="96">
        <f t="shared" si="7"/>
        <v>0.13636363636363635</v>
      </c>
      <c r="F54" s="96">
        <f t="shared" si="7"/>
        <v>4.5454545454545456E-2</v>
      </c>
      <c r="G54" s="96">
        <f t="shared" si="7"/>
        <v>0</v>
      </c>
      <c r="H54" s="96">
        <f t="shared" si="7"/>
        <v>0</v>
      </c>
      <c r="I54" s="92">
        <f>SUM(B54:H54)</f>
        <v>1</v>
      </c>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row>
    <row r="55" spans="1:45" s="9" customFormat="1" x14ac:dyDescent="0.3"/>
    <row r="56" spans="1:45" ht="15.5" x14ac:dyDescent="0.35">
      <c r="A56" s="28" t="s">
        <v>1672</v>
      </c>
      <c r="B56" s="9"/>
      <c r="C56" s="9"/>
      <c r="D56" s="9"/>
      <c r="E56" s="9"/>
      <c r="F56" s="9"/>
      <c r="G56" s="9"/>
      <c r="H56" s="9"/>
      <c r="I56" s="9"/>
      <c r="J56" s="9"/>
      <c r="K56" s="9"/>
      <c r="L56" s="9"/>
      <c r="M56" s="9"/>
      <c r="N56" s="9"/>
      <c r="O56" s="9"/>
      <c r="P56" s="9"/>
      <c r="Q56" s="9"/>
      <c r="R56" s="9"/>
      <c r="AA56" s="9"/>
      <c r="AB56" s="9"/>
      <c r="AC56" s="9"/>
      <c r="AD56" s="9"/>
      <c r="AE56" s="9"/>
      <c r="AF56" s="9"/>
      <c r="AG56" s="9"/>
      <c r="AH56" s="9"/>
      <c r="AI56" s="9"/>
      <c r="AJ56" s="9"/>
      <c r="AK56" s="9"/>
      <c r="AL56" s="9"/>
      <c r="AM56" s="9"/>
      <c r="AN56" s="9"/>
      <c r="AO56" s="9"/>
      <c r="AP56" s="9"/>
      <c r="AQ56" s="9"/>
      <c r="AR56" s="9"/>
      <c r="AS56" s="9"/>
    </row>
    <row r="57" spans="1:45" ht="28" x14ac:dyDescent="0.3">
      <c r="A57" s="3"/>
      <c r="B57" s="7" t="s">
        <v>1673</v>
      </c>
      <c r="C57" s="7" t="s">
        <v>1674</v>
      </c>
      <c r="D57" s="7" t="s">
        <v>1675</v>
      </c>
      <c r="E57" s="7" t="s">
        <v>1676</v>
      </c>
      <c r="F57" s="7" t="s">
        <v>1677</v>
      </c>
      <c r="G57" s="102" t="s">
        <v>1197</v>
      </c>
      <c r="H57" s="9"/>
      <c r="I57" s="9"/>
      <c r="J57" s="9"/>
      <c r="K57" s="9"/>
      <c r="L57" s="9"/>
      <c r="M57" s="9"/>
      <c r="N57" s="9"/>
      <c r="O57" s="9"/>
      <c r="P57" s="9"/>
      <c r="Q57" s="9"/>
      <c r="R57" s="9"/>
      <c r="AA57" s="9"/>
      <c r="AB57" s="9"/>
      <c r="AC57" s="9"/>
      <c r="AD57" s="9"/>
      <c r="AE57" s="9"/>
      <c r="AF57" s="9"/>
      <c r="AG57" s="9"/>
      <c r="AH57" s="9"/>
      <c r="AI57" s="9"/>
      <c r="AJ57" s="9"/>
      <c r="AK57" s="9"/>
      <c r="AL57" s="9"/>
      <c r="AM57" s="9"/>
      <c r="AN57" s="9"/>
      <c r="AO57" s="9"/>
      <c r="AP57" s="9"/>
      <c r="AQ57" s="9"/>
      <c r="AR57" s="9"/>
      <c r="AS57" s="9"/>
    </row>
    <row r="58" spans="1:45" x14ac:dyDescent="0.3">
      <c r="A58" s="3" t="s">
        <v>1198</v>
      </c>
      <c r="B58" s="3">
        <f>COUNTIF('ZEMIO_Cleaned Data'!AR:AR,"moins_trente_min")</f>
        <v>15</v>
      </c>
      <c r="C58" s="3">
        <f>COUNTIF('ZEMIO_Cleaned Data'!AR:AR,"une_heure")</f>
        <v>6</v>
      </c>
      <c r="D58" s="3">
        <f>COUNTIF('ZEMIO_Cleaned Data'!AR:AR,"une_deux_heures")</f>
        <v>0</v>
      </c>
      <c r="E58" s="3">
        <f>COUNTIF('ZEMIO_Cleaned Data'!AR:AR,"deux_trois_heures")</f>
        <v>1</v>
      </c>
      <c r="F58" s="3">
        <f>COUNTIF('ZEMIO_Cleaned Data'!AR:AR,"plus_trois_heures")</f>
        <v>0</v>
      </c>
      <c r="G58" s="103">
        <f>SUM(B58:F58)</f>
        <v>22</v>
      </c>
      <c r="H58" s="9"/>
      <c r="I58" s="9"/>
      <c r="J58" s="9"/>
      <c r="K58" s="9"/>
      <c r="L58" s="9"/>
      <c r="M58" s="9"/>
      <c r="N58" s="9"/>
      <c r="O58" s="9"/>
      <c r="P58" s="9"/>
      <c r="Q58" s="9"/>
      <c r="R58" s="9"/>
      <c r="AA58" s="9"/>
      <c r="AB58" s="9"/>
      <c r="AC58" s="9"/>
      <c r="AD58" s="9"/>
      <c r="AE58" s="9"/>
      <c r="AF58" s="9"/>
      <c r="AG58" s="9"/>
      <c r="AH58" s="9"/>
      <c r="AI58" s="9"/>
      <c r="AJ58" s="9"/>
      <c r="AK58" s="9"/>
      <c r="AL58" s="9"/>
      <c r="AM58" s="9"/>
      <c r="AN58" s="9"/>
      <c r="AO58" s="9"/>
      <c r="AP58" s="9"/>
      <c r="AQ58" s="9"/>
      <c r="AR58" s="9"/>
      <c r="AS58" s="9"/>
    </row>
    <row r="59" spans="1:45" s="55" customFormat="1" ht="37" x14ac:dyDescent="0.3">
      <c r="A59" s="53" t="s">
        <v>1685</v>
      </c>
      <c r="B59" s="88">
        <f>(B58/$E$13)</f>
        <v>0.68181818181818177</v>
      </c>
      <c r="C59" s="88">
        <f t="shared" ref="C59:F59" si="8">(C58/$E$13)</f>
        <v>0.27272727272727271</v>
      </c>
      <c r="D59" s="88">
        <f t="shared" si="8"/>
        <v>0</v>
      </c>
      <c r="E59" s="88">
        <f t="shared" si="8"/>
        <v>4.5454545454545456E-2</v>
      </c>
      <c r="F59" s="88">
        <f t="shared" si="8"/>
        <v>0</v>
      </c>
      <c r="G59" s="92">
        <f>SUM(B59:F59)</f>
        <v>0.99999999999999989</v>
      </c>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row>
    <row r="60" spans="1:45" s="9" customFormat="1" x14ac:dyDescent="0.3">
      <c r="A60" s="13"/>
      <c r="B60" s="13"/>
      <c r="C60" s="13"/>
      <c r="D60" s="13"/>
      <c r="E60" s="13"/>
      <c r="F60" s="13"/>
    </row>
    <row r="61" spans="1:45" s="9" customFormat="1" ht="15.5" x14ac:dyDescent="0.35">
      <c r="A61" s="28" t="s">
        <v>1678</v>
      </c>
      <c r="D61" s="13"/>
      <c r="E61" s="13"/>
      <c r="F61" s="13"/>
    </row>
    <row r="62" spans="1:45" s="9" customFormat="1" ht="28" x14ac:dyDescent="0.3">
      <c r="A62" s="3"/>
      <c r="B62" s="7" t="s">
        <v>2057</v>
      </c>
      <c r="C62" s="7" t="s">
        <v>1679</v>
      </c>
      <c r="D62" s="7" t="s">
        <v>1674</v>
      </c>
      <c r="E62" s="7" t="s">
        <v>1680</v>
      </c>
      <c r="F62" s="7" t="s">
        <v>1681</v>
      </c>
      <c r="G62" s="7" t="s">
        <v>1677</v>
      </c>
      <c r="H62" s="7" t="s">
        <v>1706</v>
      </c>
      <c r="I62" s="102" t="s">
        <v>1197</v>
      </c>
    </row>
    <row r="63" spans="1:45" s="9" customFormat="1" x14ac:dyDescent="0.3">
      <c r="A63" s="3" t="s">
        <v>1198</v>
      </c>
      <c r="B63" s="3">
        <f>COUNTIF('ZEMIO_Cleaned Data'!AS:AS,"aucun")</f>
        <v>5</v>
      </c>
      <c r="C63" s="3">
        <f>COUNTIF('ZEMIO_Cleaned Data'!AS:AS,"moins_trente_minutes")</f>
        <v>9</v>
      </c>
      <c r="D63" s="3">
        <f>COUNTIF('ZEMIO_Cleaned Data'!AS:AS,"moins_une_heure")</f>
        <v>7</v>
      </c>
      <c r="E63" s="3">
        <f>COUNTIF('ZEMIO_Cleaned Data'!AS:AS,"plus_une_heure")</f>
        <v>0</v>
      </c>
      <c r="F63" s="3">
        <f>COUNTIF('ZEMIO_Cleaned Data'!AS:AS,"plus_deux_heures")</f>
        <v>0</v>
      </c>
      <c r="G63" s="3">
        <f>COUNTIF('ZEMIO_Cleaned Data'!AS:AS,"plus_trois_heure")</f>
        <v>0</v>
      </c>
      <c r="H63" s="3">
        <f>COUNTIF('ZEMIO_Cleaned Data'!AS:AS,"nsp")</f>
        <v>1</v>
      </c>
      <c r="I63" s="103">
        <f>SUM(B63:H63)</f>
        <v>22</v>
      </c>
    </row>
    <row r="64" spans="1:45" s="55" customFormat="1" ht="37" x14ac:dyDescent="0.3">
      <c r="A64" s="53" t="s">
        <v>1685</v>
      </c>
      <c r="B64" s="88">
        <f>(B63/$E$13)</f>
        <v>0.22727272727272727</v>
      </c>
      <c r="C64" s="88">
        <f t="shared" ref="C64:H64" si="9">(C63/$E$13)</f>
        <v>0.40909090909090912</v>
      </c>
      <c r="D64" s="88">
        <f t="shared" si="9"/>
        <v>0.31818181818181818</v>
      </c>
      <c r="E64" s="88">
        <f t="shared" si="9"/>
        <v>0</v>
      </c>
      <c r="F64" s="88">
        <f t="shared" si="9"/>
        <v>0</v>
      </c>
      <c r="G64" s="88">
        <f t="shared" si="9"/>
        <v>0</v>
      </c>
      <c r="H64" s="88">
        <f t="shared" si="9"/>
        <v>4.5454545454545456E-2</v>
      </c>
      <c r="I64" s="92">
        <f>SUM(B64:H64)</f>
        <v>1</v>
      </c>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row>
    <row r="65" spans="1:26" x14ac:dyDescent="0.3">
      <c r="A65" s="9"/>
      <c r="B65" s="9"/>
      <c r="C65" s="9"/>
      <c r="D65" s="9"/>
      <c r="E65" s="9"/>
      <c r="F65" s="9"/>
      <c r="G65" s="9"/>
      <c r="H65" s="9"/>
      <c r="I65" s="9"/>
      <c r="J65" s="9"/>
      <c r="K65" s="9"/>
      <c r="L65" s="9"/>
      <c r="M65" s="9"/>
      <c r="N65" s="9"/>
      <c r="O65" s="9"/>
      <c r="P65" s="9"/>
      <c r="Q65" s="9"/>
      <c r="R65" s="9"/>
    </row>
    <row r="66" spans="1:26" ht="15.5" x14ac:dyDescent="0.35">
      <c r="A66" s="59" t="s">
        <v>1683</v>
      </c>
      <c r="D66" s="9"/>
      <c r="E66" s="9"/>
      <c r="F66" s="9"/>
      <c r="G66" s="9"/>
      <c r="H66" s="9"/>
      <c r="I66" s="9"/>
      <c r="J66" s="9"/>
      <c r="K66" s="9"/>
      <c r="L66" s="9"/>
      <c r="M66" s="9"/>
      <c r="N66" s="9"/>
      <c r="O66" s="9"/>
      <c r="P66" s="9"/>
      <c r="Q66" s="9"/>
      <c r="R66" s="9"/>
    </row>
    <row r="67" spans="1:26" x14ac:dyDescent="0.3">
      <c r="A67" s="3"/>
      <c r="B67" s="7" t="s">
        <v>1201</v>
      </c>
      <c r="C67" s="7" t="s">
        <v>1200</v>
      </c>
      <c r="D67" s="102" t="s">
        <v>1197</v>
      </c>
      <c r="E67" s="9"/>
      <c r="F67" s="9"/>
      <c r="G67" s="9"/>
      <c r="H67" s="9"/>
      <c r="I67" s="9"/>
      <c r="J67" s="9"/>
      <c r="K67" s="9"/>
      <c r="L67" s="9"/>
      <c r="M67" s="9"/>
      <c r="N67" s="9"/>
      <c r="O67" s="9"/>
      <c r="P67" s="9"/>
      <c r="Q67" s="9"/>
      <c r="R67" s="9"/>
    </row>
    <row r="68" spans="1:26" x14ac:dyDescent="0.3">
      <c r="A68" s="3" t="s">
        <v>1198</v>
      </c>
      <c r="B68" s="3">
        <f>COUNTIF('ZEMIO_Cleaned Data'!AT:AT,"OUI")</f>
        <v>19</v>
      </c>
      <c r="C68" s="3">
        <f>COUNTIF('ZEMIO_Cleaned Data'!AT:AT,"non")</f>
        <v>3</v>
      </c>
      <c r="D68" s="103">
        <f>SUM(B68:C68)</f>
        <v>22</v>
      </c>
      <c r="E68" s="9"/>
      <c r="F68" s="9"/>
      <c r="G68" s="9"/>
      <c r="H68" s="9"/>
      <c r="I68" s="9"/>
      <c r="J68" s="9"/>
      <c r="K68" s="9"/>
      <c r="L68" s="9"/>
      <c r="M68" s="9"/>
      <c r="N68" s="9"/>
      <c r="O68" s="9"/>
      <c r="P68" s="9"/>
      <c r="Q68" s="9"/>
      <c r="R68" s="9"/>
    </row>
    <row r="69" spans="1:26" s="55" customFormat="1" ht="37" x14ac:dyDescent="0.3">
      <c r="A69" s="53" t="s">
        <v>1685</v>
      </c>
      <c r="B69" s="88">
        <f>(B68/$E$13)</f>
        <v>0.86363636363636365</v>
      </c>
      <c r="C69" s="88">
        <f>(C68/$E$13)</f>
        <v>0.13636363636363635</v>
      </c>
      <c r="D69" s="92">
        <f>SUM(B69:C69)</f>
        <v>1</v>
      </c>
      <c r="E69" s="35"/>
      <c r="F69" s="35"/>
      <c r="G69" s="35"/>
      <c r="H69" s="35"/>
      <c r="I69" s="35"/>
      <c r="J69" s="35"/>
      <c r="K69" s="35"/>
      <c r="L69" s="35"/>
      <c r="M69" s="35"/>
      <c r="N69" s="35"/>
      <c r="O69" s="35"/>
      <c r="P69" s="35"/>
      <c r="Q69" s="35"/>
      <c r="R69" s="35"/>
      <c r="S69" s="35"/>
      <c r="T69" s="35"/>
      <c r="U69" s="35"/>
      <c r="V69" s="35"/>
      <c r="W69" s="35"/>
      <c r="X69" s="35"/>
      <c r="Y69" s="35"/>
      <c r="Z69" s="35"/>
    </row>
    <row r="70" spans="1:26" x14ac:dyDescent="0.3">
      <c r="A70" s="9"/>
      <c r="B70" s="9"/>
      <c r="C70" s="9"/>
      <c r="D70" s="9"/>
      <c r="E70" s="9"/>
      <c r="F70" s="9"/>
      <c r="G70" s="9"/>
      <c r="H70" s="9"/>
      <c r="I70" s="9"/>
      <c r="J70" s="9"/>
      <c r="K70" s="9"/>
      <c r="L70" s="9"/>
      <c r="M70" s="9"/>
      <c r="N70" s="9"/>
      <c r="O70" s="9"/>
      <c r="P70" s="9"/>
      <c r="Q70" s="9"/>
      <c r="R70" s="9"/>
    </row>
    <row r="71" spans="1:26" x14ac:dyDescent="0.3">
      <c r="A71" s="9"/>
      <c r="B71" s="17" t="s">
        <v>1215</v>
      </c>
      <c r="C71" s="9"/>
      <c r="D71" s="9"/>
      <c r="E71" s="9"/>
      <c r="F71" s="9"/>
      <c r="G71" s="9"/>
      <c r="H71" s="9"/>
      <c r="I71" s="9"/>
      <c r="J71" s="9"/>
      <c r="K71" s="9"/>
      <c r="L71" s="9"/>
      <c r="M71" s="9"/>
      <c r="N71" s="9"/>
      <c r="O71" s="9"/>
      <c r="P71" s="9"/>
      <c r="Q71" s="9"/>
      <c r="R71" s="9"/>
    </row>
    <row r="72" spans="1:26" ht="28" x14ac:dyDescent="0.3">
      <c r="A72" s="9"/>
      <c r="B72" s="3"/>
      <c r="C72" s="11" t="s">
        <v>1217</v>
      </c>
      <c r="D72" s="11" t="s">
        <v>1392</v>
      </c>
      <c r="E72" s="11" t="s">
        <v>1216</v>
      </c>
      <c r="F72" s="11" t="s">
        <v>1391</v>
      </c>
      <c r="G72" s="102" t="s">
        <v>1197</v>
      </c>
      <c r="H72" s="9"/>
      <c r="I72" s="9"/>
      <c r="J72" s="9"/>
      <c r="K72" s="9"/>
      <c r="L72" s="9"/>
      <c r="M72" s="9"/>
      <c r="N72" s="9"/>
      <c r="O72" s="9"/>
      <c r="P72" s="9"/>
      <c r="Q72" s="9"/>
      <c r="R72" s="9"/>
    </row>
    <row r="73" spans="1:26" x14ac:dyDescent="0.3">
      <c r="A73" s="9"/>
      <c r="B73" s="3" t="s">
        <v>1198</v>
      </c>
      <c r="C73" s="3">
        <f>COUNTIF('ZEMIO_Cleaned Data'!AU:AU,"bcp_diminue")</f>
        <v>2</v>
      </c>
      <c r="D73" s="3">
        <f>COUNTIF('ZEMIO_Cleaned Data'!AU:AU,"peu_diminue")</f>
        <v>6</v>
      </c>
      <c r="E73" s="3">
        <f>COUNTIF('ZEMIO_Cleaned Data'!AU:AU,"bcp_augmente")</f>
        <v>10</v>
      </c>
      <c r="F73" s="3">
        <f>COUNTIF('ZEMIO_Cleaned Data'!AU:AU,"PEU_augmente")</f>
        <v>1</v>
      </c>
      <c r="G73" s="103">
        <f>SUM(C73:F73)</f>
        <v>19</v>
      </c>
      <c r="H73" s="9"/>
      <c r="I73" s="9"/>
      <c r="J73" s="9"/>
      <c r="K73" s="9"/>
      <c r="L73" s="9"/>
      <c r="M73" s="9"/>
      <c r="N73" s="9"/>
      <c r="O73" s="9"/>
      <c r="P73" s="9"/>
      <c r="Q73" s="9"/>
      <c r="R73" s="9"/>
    </row>
    <row r="74" spans="1:26" ht="60.5" x14ac:dyDescent="0.3">
      <c r="A74" s="9"/>
      <c r="B74" s="52" t="s">
        <v>1999</v>
      </c>
      <c r="C74" s="6">
        <f>(C73/$B$68)</f>
        <v>0.10526315789473684</v>
      </c>
      <c r="D74" s="6">
        <f>(D73/$B$68)</f>
        <v>0.31578947368421051</v>
      </c>
      <c r="E74" s="6">
        <f>(E73/$B$68)</f>
        <v>0.52631578947368418</v>
      </c>
      <c r="F74" s="6">
        <f>(F73/$B$68)</f>
        <v>5.2631578947368418E-2</v>
      </c>
      <c r="G74" s="92">
        <f>SUM(C74:F74)</f>
        <v>1</v>
      </c>
      <c r="H74" s="9"/>
      <c r="I74" s="9"/>
      <c r="J74" s="9"/>
      <c r="K74" s="9"/>
      <c r="L74" s="9"/>
      <c r="M74" s="9"/>
      <c r="N74" s="9"/>
      <c r="O74" s="9"/>
      <c r="P74" s="9"/>
      <c r="Q74" s="9"/>
      <c r="R74" s="9"/>
    </row>
    <row r="75" spans="1:26" x14ac:dyDescent="0.3">
      <c r="A75" s="9"/>
      <c r="B75" s="9"/>
      <c r="C75" s="9"/>
      <c r="D75" s="9"/>
      <c r="E75" s="9"/>
      <c r="F75" s="9"/>
      <c r="G75" s="9"/>
      <c r="H75" s="9"/>
      <c r="I75" s="9"/>
      <c r="J75" s="9"/>
      <c r="K75" s="9"/>
      <c r="L75" s="9"/>
      <c r="M75" s="9"/>
      <c r="N75" s="9"/>
      <c r="O75" s="9"/>
      <c r="P75" s="9"/>
      <c r="Q75" s="9"/>
      <c r="R75" s="9"/>
    </row>
    <row r="76" spans="1:26" x14ac:dyDescent="0.3">
      <c r="A76" s="9"/>
      <c r="B76" s="17" t="s">
        <v>1218</v>
      </c>
      <c r="C76" s="9"/>
      <c r="D76" s="95" t="s">
        <v>1994</v>
      </c>
      <c r="E76" s="9"/>
      <c r="F76" s="9"/>
      <c r="G76" s="9"/>
      <c r="H76" s="9"/>
      <c r="I76" s="9"/>
      <c r="J76" s="9"/>
      <c r="K76" s="9"/>
      <c r="L76" s="9"/>
      <c r="M76" s="9"/>
      <c r="N76" s="9"/>
      <c r="O76" s="9"/>
      <c r="P76" s="9"/>
      <c r="Q76" s="9"/>
      <c r="R76" s="9"/>
    </row>
    <row r="77" spans="1:26" s="12" customFormat="1" ht="57" customHeight="1" x14ac:dyDescent="0.3">
      <c r="A77" s="19"/>
      <c r="B77" s="3"/>
      <c r="C77" s="10" t="s">
        <v>1223</v>
      </c>
      <c r="D77" s="10" t="s">
        <v>1224</v>
      </c>
      <c r="E77" s="10" t="s">
        <v>1219</v>
      </c>
      <c r="F77" s="10" t="s">
        <v>1220</v>
      </c>
      <c r="G77" s="10" t="s">
        <v>1221</v>
      </c>
      <c r="H77" s="10" t="s">
        <v>1222</v>
      </c>
      <c r="I77" s="10" t="s">
        <v>2006</v>
      </c>
      <c r="J77" s="10" t="s">
        <v>1196</v>
      </c>
      <c r="K77" s="19"/>
      <c r="L77" s="19"/>
      <c r="M77" s="19"/>
      <c r="N77" s="19"/>
      <c r="O77" s="19"/>
      <c r="P77" s="19"/>
      <c r="Q77" s="19"/>
      <c r="R77" s="19"/>
      <c r="S77" s="19"/>
      <c r="T77" s="19"/>
      <c r="U77" s="19"/>
      <c r="V77" s="19"/>
      <c r="W77" s="19"/>
      <c r="X77" s="19"/>
      <c r="Y77" s="19"/>
      <c r="Z77" s="19"/>
    </row>
    <row r="78" spans="1:26" x14ac:dyDescent="0.3">
      <c r="A78" s="9"/>
      <c r="B78" s="3" t="s">
        <v>1198</v>
      </c>
      <c r="C78" s="3">
        <f>COUNTIF('ZEMIO_Cleaned Data'!AV:AV,"1")</f>
        <v>0</v>
      </c>
      <c r="D78" s="3">
        <f>COUNTIF('ZEMIO_Cleaned Data'!AW:AW,"1")</f>
        <v>5</v>
      </c>
      <c r="E78" s="3">
        <f>COUNTIF('ZEMIO_Cleaned Data'!AX:AX,"1")</f>
        <v>3</v>
      </c>
      <c r="F78" s="3">
        <f>COUNTIF('ZEMIO_Cleaned Data'!AY:AY,"1")</f>
        <v>5</v>
      </c>
      <c r="G78" s="3">
        <f>COUNTIF('ZEMIO_Cleaned Data'!AZ:AZ,"1")</f>
        <v>7</v>
      </c>
      <c r="H78" s="3">
        <f>COUNTIF('ZEMIO_Cleaned Data'!BA:BA,"1")</f>
        <v>1</v>
      </c>
      <c r="I78" s="3">
        <f>COUNTIF('ZEMIO_Cleaned Data'!BB:BB,"1")</f>
        <v>2</v>
      </c>
      <c r="J78" s="3">
        <f>COUNTIF('ZEMIO_Cleaned Data'!BC:BC,"1")</f>
        <v>0</v>
      </c>
      <c r="K78" s="19"/>
      <c r="L78" s="9"/>
      <c r="M78" s="9"/>
      <c r="N78" s="9"/>
      <c r="O78" s="9"/>
      <c r="P78" s="9"/>
      <c r="Q78" s="9"/>
      <c r="R78" s="9"/>
    </row>
    <row r="79" spans="1:26" ht="60.5" x14ac:dyDescent="0.3">
      <c r="A79" s="9"/>
      <c r="B79" s="52" t="s">
        <v>2000</v>
      </c>
      <c r="C79" s="6">
        <f t="shared" ref="C79:J79" si="10">C78/$E$73</f>
        <v>0</v>
      </c>
      <c r="D79" s="6">
        <f t="shared" si="10"/>
        <v>0.5</v>
      </c>
      <c r="E79" s="6">
        <f t="shared" si="10"/>
        <v>0.3</v>
      </c>
      <c r="F79" s="6">
        <f t="shared" si="10"/>
        <v>0.5</v>
      </c>
      <c r="G79" s="6">
        <f t="shared" si="10"/>
        <v>0.7</v>
      </c>
      <c r="H79" s="6">
        <f t="shared" si="10"/>
        <v>0.1</v>
      </c>
      <c r="I79" s="6">
        <f t="shared" si="10"/>
        <v>0.2</v>
      </c>
      <c r="J79" s="6">
        <f t="shared" si="10"/>
        <v>0</v>
      </c>
      <c r="K79" s="19"/>
      <c r="L79" s="9"/>
      <c r="M79" s="9"/>
      <c r="N79" s="9"/>
      <c r="O79" s="9"/>
      <c r="P79" s="9"/>
      <c r="Q79" s="9"/>
      <c r="R79" s="9"/>
    </row>
    <row r="80" spans="1:26" s="9" customFormat="1" x14ac:dyDescent="0.3">
      <c r="B80" s="14"/>
      <c r="C80" s="14"/>
      <c r="D80" s="14"/>
      <c r="E80" s="14"/>
      <c r="F80" s="14"/>
      <c r="G80" s="14"/>
      <c r="H80" s="14"/>
      <c r="I80" s="14"/>
    </row>
    <row r="81" spans="1:26" x14ac:dyDescent="0.3">
      <c r="A81" s="9"/>
      <c r="B81" s="17" t="s">
        <v>1300</v>
      </c>
      <c r="C81" s="9"/>
      <c r="D81" s="95" t="s">
        <v>1994</v>
      </c>
      <c r="E81" s="9"/>
      <c r="F81" s="9"/>
      <c r="G81" s="9"/>
      <c r="H81" s="9"/>
      <c r="I81" s="9"/>
      <c r="J81" s="9"/>
      <c r="K81" s="9"/>
      <c r="L81" s="9"/>
      <c r="M81" s="9"/>
      <c r="N81" s="9"/>
      <c r="O81" s="9"/>
      <c r="P81" s="9"/>
      <c r="Q81" s="9"/>
      <c r="R81" s="9"/>
    </row>
    <row r="82" spans="1:26" s="12" customFormat="1" ht="57" customHeight="1" x14ac:dyDescent="0.3">
      <c r="A82" s="19"/>
      <c r="B82" s="3"/>
      <c r="C82" s="10" t="s">
        <v>1686</v>
      </c>
      <c r="D82" s="10" t="s">
        <v>1687</v>
      </c>
      <c r="E82" s="10" t="s">
        <v>1688</v>
      </c>
      <c r="F82" s="10" t="s">
        <v>1689</v>
      </c>
      <c r="G82" s="10" t="s">
        <v>1690</v>
      </c>
      <c r="H82" s="10" t="s">
        <v>1706</v>
      </c>
      <c r="I82" s="10" t="s">
        <v>1196</v>
      </c>
      <c r="J82" s="19"/>
      <c r="K82" s="19"/>
      <c r="L82" s="19"/>
      <c r="M82" s="19"/>
      <c r="N82" s="19"/>
      <c r="O82" s="19"/>
      <c r="P82" s="19"/>
      <c r="Q82" s="19"/>
      <c r="R82" s="19"/>
      <c r="S82" s="19"/>
      <c r="T82" s="19"/>
      <c r="U82" s="19"/>
      <c r="V82" s="19"/>
      <c r="W82" s="19"/>
      <c r="X82" s="19"/>
      <c r="Y82" s="19"/>
      <c r="Z82" s="19"/>
    </row>
    <row r="83" spans="1:26" x14ac:dyDescent="0.3">
      <c r="A83" s="9"/>
      <c r="B83" s="3" t="s">
        <v>1198</v>
      </c>
      <c r="C83" s="3">
        <f>COUNTIF('ZEMIO_Cleaned Data'!BF:BF,"1")</f>
        <v>0</v>
      </c>
      <c r="D83" s="3">
        <f>COUNTIF('ZEMIO_Cleaned Data'!BG:BG,"1")</f>
        <v>0</v>
      </c>
      <c r="E83" s="3">
        <f>COUNTIF('ZEMIO_Cleaned Data'!BH:BH,"1")</f>
        <v>6</v>
      </c>
      <c r="F83" s="3">
        <f>COUNTIF('ZEMIO_Cleaned Data'!BI:BI,"1")</f>
        <v>2</v>
      </c>
      <c r="G83" s="3">
        <f>COUNTIF('ZEMIO_Cleaned Data'!BJ:BJ,"1")</f>
        <v>0</v>
      </c>
      <c r="H83" s="3">
        <f>COUNTIF('ZEMIO_Cleaned Data'!BK:BK,"1")</f>
        <v>0</v>
      </c>
      <c r="I83" s="3">
        <f>COUNTIF('ZEMIO_Cleaned Data'!BL:BL,"1")</f>
        <v>0</v>
      </c>
      <c r="J83" s="9"/>
      <c r="K83" s="9"/>
      <c r="L83" s="9"/>
      <c r="M83" s="9"/>
      <c r="N83" s="9"/>
      <c r="O83" s="9"/>
      <c r="P83" s="9"/>
      <c r="Q83" s="9"/>
      <c r="R83" s="9"/>
    </row>
    <row r="84" spans="1:26" ht="60.5" x14ac:dyDescent="0.3">
      <c r="A84" s="9"/>
      <c r="B84" s="52" t="s">
        <v>2001</v>
      </c>
      <c r="C84" s="6">
        <f t="shared" ref="C84:I84" si="11">C83/$D$73</f>
        <v>0</v>
      </c>
      <c r="D84" s="6">
        <f t="shared" si="11"/>
        <v>0</v>
      </c>
      <c r="E84" s="6">
        <f t="shared" si="11"/>
        <v>1</v>
      </c>
      <c r="F84" s="6">
        <f t="shared" si="11"/>
        <v>0.33333333333333331</v>
      </c>
      <c r="G84" s="6">
        <f t="shared" si="11"/>
        <v>0</v>
      </c>
      <c r="H84" s="6">
        <f t="shared" si="11"/>
        <v>0</v>
      </c>
      <c r="I84" s="6">
        <f t="shared" si="11"/>
        <v>0</v>
      </c>
      <c r="J84" s="9"/>
      <c r="K84" s="9"/>
      <c r="L84" s="9"/>
      <c r="M84" s="9"/>
      <c r="N84" s="9"/>
      <c r="O84" s="9"/>
      <c r="P84" s="9"/>
      <c r="Q84" s="9"/>
      <c r="R84" s="9"/>
    </row>
    <row r="85" spans="1:26" s="9" customFormat="1" x14ac:dyDescent="0.3">
      <c r="B85" s="14"/>
      <c r="C85" s="14"/>
      <c r="D85" s="14"/>
      <c r="E85" s="14"/>
      <c r="F85" s="14"/>
      <c r="G85" s="14"/>
      <c r="H85" s="14"/>
      <c r="I85" s="14"/>
    </row>
    <row r="86" spans="1:26" x14ac:dyDescent="0.3">
      <c r="A86" s="9"/>
      <c r="B86" s="9"/>
      <c r="C86" s="9"/>
      <c r="D86" s="9"/>
      <c r="E86" s="9"/>
      <c r="F86" s="9"/>
      <c r="G86" s="9"/>
      <c r="H86" s="9"/>
      <c r="I86" s="9"/>
      <c r="J86" s="9"/>
      <c r="K86" s="9"/>
      <c r="L86" s="9"/>
      <c r="M86" s="9"/>
      <c r="N86" s="9"/>
      <c r="O86" s="9"/>
      <c r="P86" s="9"/>
      <c r="Q86" s="9"/>
      <c r="R86" s="9"/>
    </row>
    <row r="87" spans="1:26" ht="15.5" x14ac:dyDescent="0.35">
      <c r="A87" s="8" t="s">
        <v>1286</v>
      </c>
      <c r="B87" s="9"/>
      <c r="C87" s="9"/>
      <c r="D87" s="9"/>
      <c r="E87" s="9"/>
      <c r="F87" s="9"/>
      <c r="G87" s="9"/>
      <c r="H87" s="9"/>
      <c r="I87" s="9"/>
      <c r="J87" s="9"/>
      <c r="K87" s="9"/>
      <c r="L87" s="9"/>
      <c r="M87" s="9"/>
      <c r="N87" s="9"/>
      <c r="O87" s="9"/>
      <c r="P87" s="9"/>
      <c r="Q87" s="9"/>
      <c r="R87" s="9"/>
    </row>
    <row r="88" spans="1:26" ht="15.5" x14ac:dyDescent="0.35">
      <c r="A88" s="28" t="s">
        <v>1659</v>
      </c>
      <c r="B88" s="9"/>
      <c r="C88" s="9"/>
      <c r="D88" s="9"/>
      <c r="E88" s="9"/>
      <c r="F88" s="9"/>
      <c r="G88" s="9"/>
      <c r="H88" s="9"/>
      <c r="I88" s="9"/>
      <c r="J88" s="9"/>
      <c r="K88" s="9"/>
      <c r="L88" s="9"/>
      <c r="M88" s="9"/>
      <c r="N88" s="9"/>
      <c r="O88" s="9"/>
      <c r="P88" s="9"/>
      <c r="Q88" s="9"/>
      <c r="R88" s="9"/>
    </row>
    <row r="89" spans="1:26" x14ac:dyDescent="0.3">
      <c r="A89" s="3"/>
      <c r="B89" s="7" t="s">
        <v>1201</v>
      </c>
      <c r="C89" s="7" t="s">
        <v>1200</v>
      </c>
      <c r="D89" s="7" t="s">
        <v>1706</v>
      </c>
      <c r="E89" s="102" t="s">
        <v>1197</v>
      </c>
      <c r="F89" s="9"/>
      <c r="G89" s="9"/>
      <c r="H89" s="9"/>
      <c r="I89" s="9"/>
      <c r="J89" s="9"/>
      <c r="K89" s="9"/>
      <c r="L89" s="9"/>
      <c r="M89" s="9"/>
      <c r="N89" s="9"/>
      <c r="O89" s="9"/>
      <c r="P89" s="9"/>
      <c r="Q89" s="9"/>
      <c r="R89" s="9"/>
    </row>
    <row r="90" spans="1:26" x14ac:dyDescent="0.3">
      <c r="A90" s="3" t="s">
        <v>1198</v>
      </c>
      <c r="B90" s="3">
        <f>COUNTIF('ZEMIO_Cleaned Data'!W:W,"OUI")</f>
        <v>16</v>
      </c>
      <c r="C90" s="3">
        <f>COUNTIF('ZEMIO_Cleaned Data'!W:W,"non")</f>
        <v>11</v>
      </c>
      <c r="D90" s="3">
        <f>COUNTIF('ZEMIO_Cleaned Data'!W:W,"nsp")</f>
        <v>0</v>
      </c>
      <c r="E90" s="103">
        <f>SUM(B90:D90)</f>
        <v>27</v>
      </c>
      <c r="F90" s="9"/>
      <c r="G90" s="9"/>
      <c r="H90" s="9"/>
      <c r="I90" s="9"/>
      <c r="J90" s="9"/>
      <c r="K90" s="9"/>
      <c r="L90" s="9"/>
      <c r="M90" s="9"/>
      <c r="N90" s="9"/>
      <c r="O90" s="9"/>
      <c r="P90" s="9"/>
      <c r="Q90" s="9"/>
      <c r="R90" s="9"/>
    </row>
    <row r="91" spans="1:26" ht="26" x14ac:dyDescent="0.3">
      <c r="A91" s="52" t="s">
        <v>1995</v>
      </c>
      <c r="B91" s="6">
        <f>(B90/$B$3)</f>
        <v>0.59259259259259256</v>
      </c>
      <c r="C91" s="6">
        <f>(C90/$B$3)</f>
        <v>0.40740740740740738</v>
      </c>
      <c r="D91" s="6">
        <f>(D90/$B$3)</f>
        <v>0</v>
      </c>
      <c r="E91" s="92">
        <f>SUM(B91:D91)</f>
        <v>1</v>
      </c>
      <c r="F91" s="9"/>
      <c r="G91" s="9"/>
      <c r="H91" s="9"/>
      <c r="I91" s="9"/>
      <c r="J91" s="9"/>
      <c r="K91" s="9"/>
      <c r="L91" s="9"/>
      <c r="M91" s="9"/>
      <c r="N91" s="9"/>
      <c r="O91" s="9"/>
      <c r="P91" s="9"/>
      <c r="Q91" s="9"/>
      <c r="R91" s="9"/>
    </row>
    <row r="92" spans="1:26" ht="15.5" x14ac:dyDescent="0.35">
      <c r="A92" s="8"/>
      <c r="B92" s="9"/>
      <c r="C92" s="9"/>
      <c r="D92" s="9"/>
      <c r="E92" s="9"/>
      <c r="F92" s="9"/>
      <c r="G92" s="9"/>
      <c r="H92" s="9"/>
      <c r="I92" s="9"/>
      <c r="J92" s="9"/>
      <c r="K92" s="9"/>
      <c r="L92" s="9"/>
      <c r="M92" s="9"/>
      <c r="N92" s="9"/>
      <c r="O92" s="9"/>
      <c r="P92" s="9"/>
      <c r="Q92" s="9"/>
      <c r="R92" s="9"/>
    </row>
    <row r="93" spans="1:26" ht="15.5" x14ac:dyDescent="0.35">
      <c r="A93" s="28" t="s">
        <v>1287</v>
      </c>
      <c r="B93" s="9"/>
      <c r="C93" s="9"/>
      <c r="D93" s="9"/>
      <c r="E93" s="9"/>
      <c r="F93" s="9"/>
      <c r="G93" s="9"/>
      <c r="H93" s="9"/>
      <c r="I93" s="9"/>
      <c r="J93" s="9"/>
      <c r="K93" s="9"/>
      <c r="L93" s="9"/>
      <c r="M93" s="9"/>
      <c r="N93" s="9"/>
      <c r="O93" s="9"/>
      <c r="P93" s="9"/>
      <c r="Q93" s="9"/>
      <c r="R93" s="9"/>
    </row>
    <row r="94" spans="1:26" x14ac:dyDescent="0.3">
      <c r="A94" s="3"/>
      <c r="B94" s="7" t="s">
        <v>1201</v>
      </c>
      <c r="C94" s="7" t="s">
        <v>1200</v>
      </c>
      <c r="D94" s="102" t="s">
        <v>1197</v>
      </c>
      <c r="E94" s="9"/>
      <c r="F94" s="9"/>
      <c r="G94" s="9"/>
      <c r="H94" s="9"/>
      <c r="I94" s="9"/>
      <c r="J94" s="9"/>
      <c r="K94" s="9"/>
      <c r="L94" s="9"/>
      <c r="M94" s="9"/>
      <c r="N94" s="9"/>
      <c r="O94" s="9"/>
      <c r="P94" s="9"/>
      <c r="Q94" s="9"/>
      <c r="R94" s="9"/>
    </row>
    <row r="95" spans="1:26" x14ac:dyDescent="0.3">
      <c r="A95" s="3" t="s">
        <v>1198</v>
      </c>
      <c r="B95" s="3">
        <f>COUNTIF('ZEMIO_Cleaned Data'!CC:CC,"oui")</f>
        <v>7</v>
      </c>
      <c r="C95" s="3">
        <f>COUNTIF('ZEMIO_Cleaned Data'!CC:CC,"non")</f>
        <v>15</v>
      </c>
      <c r="D95" s="103">
        <f>SUM(A95:C95)</f>
        <v>22</v>
      </c>
      <c r="E95" s="9"/>
      <c r="F95" s="9"/>
      <c r="G95" s="9"/>
      <c r="H95" s="9"/>
      <c r="I95" s="9"/>
      <c r="J95" s="9"/>
      <c r="K95" s="9"/>
      <c r="L95" s="9"/>
      <c r="M95" s="9"/>
      <c r="N95" s="9"/>
      <c r="O95" s="9"/>
      <c r="P95" s="9"/>
      <c r="Q95" s="9"/>
      <c r="R95" s="9"/>
    </row>
    <row r="96" spans="1:26" ht="37" x14ac:dyDescent="0.3">
      <c r="A96" s="53" t="s">
        <v>1685</v>
      </c>
      <c r="B96" s="6">
        <f>(B95/$E$13)</f>
        <v>0.31818181818181818</v>
      </c>
      <c r="C96" s="6">
        <f>(C95/$E$13)</f>
        <v>0.68181818181818177</v>
      </c>
      <c r="D96" s="92">
        <f>SUM(A96:C96)</f>
        <v>1</v>
      </c>
      <c r="E96" s="9"/>
      <c r="F96" s="9"/>
      <c r="G96" s="9"/>
      <c r="H96" s="9"/>
      <c r="I96" s="9"/>
      <c r="J96" s="9"/>
      <c r="K96" s="9"/>
      <c r="L96" s="9"/>
      <c r="M96" s="9"/>
      <c r="N96" s="9"/>
      <c r="O96" s="9"/>
      <c r="P96" s="9"/>
      <c r="Q96" s="9"/>
      <c r="R96" s="9"/>
    </row>
    <row r="97" spans="1:18" x14ac:dyDescent="0.3">
      <c r="A97" s="9"/>
      <c r="B97" s="9"/>
      <c r="C97" s="9"/>
      <c r="D97" s="9"/>
      <c r="E97" s="9"/>
      <c r="F97" s="9"/>
      <c r="G97" s="9"/>
      <c r="H97" s="9"/>
      <c r="I97" s="9"/>
      <c r="J97" s="9"/>
      <c r="K97" s="9"/>
      <c r="L97" s="9"/>
      <c r="M97" s="9"/>
      <c r="N97" s="9"/>
      <c r="O97" s="9"/>
      <c r="P97" s="9"/>
      <c r="Q97" s="9"/>
      <c r="R97" s="9"/>
    </row>
    <row r="98" spans="1:18" x14ac:dyDescent="0.3">
      <c r="A98" s="9"/>
      <c r="B98" s="17" t="s">
        <v>1232</v>
      </c>
      <c r="C98" s="9"/>
      <c r="D98" s="9"/>
      <c r="E98" s="9"/>
      <c r="F98" s="9"/>
      <c r="G98" s="9"/>
      <c r="H98" s="9"/>
      <c r="I98" s="9"/>
      <c r="J98" s="9"/>
      <c r="K98" s="9"/>
      <c r="L98" s="9"/>
      <c r="M98" s="9"/>
      <c r="N98" s="9"/>
      <c r="O98" s="9"/>
      <c r="P98" s="9"/>
      <c r="Q98" s="9"/>
      <c r="R98" s="9"/>
    </row>
    <row r="99" spans="1:18" x14ac:dyDescent="0.3">
      <c r="A99" s="9"/>
      <c r="B99" s="20">
        <f>AVERAGE('ZEMIO_Cleaned Data'!CF:CF)</f>
        <v>100</v>
      </c>
      <c r="C99" s="21" t="s">
        <v>1233</v>
      </c>
      <c r="D99" s="20" t="s">
        <v>2307</v>
      </c>
      <c r="E99" s="9"/>
      <c r="F99" s="73"/>
      <c r="G99" s="9"/>
      <c r="H99" s="9"/>
      <c r="I99" s="9"/>
      <c r="J99" s="9"/>
      <c r="K99" s="9"/>
      <c r="L99" s="9"/>
      <c r="M99" s="9"/>
      <c r="N99" s="9"/>
      <c r="O99" s="9"/>
      <c r="P99" s="9"/>
      <c r="Q99" s="9"/>
      <c r="R99" s="9"/>
    </row>
    <row r="100" spans="1:18" x14ac:dyDescent="0.3">
      <c r="A100" s="9"/>
      <c r="B100" s="9"/>
      <c r="C100" s="9"/>
      <c r="D100" s="9"/>
      <c r="E100" s="9"/>
      <c r="F100" s="9"/>
      <c r="G100" s="9"/>
      <c r="H100" s="9"/>
      <c r="I100" s="9"/>
      <c r="J100" s="9"/>
      <c r="K100" s="9"/>
      <c r="L100" s="9"/>
      <c r="M100" s="9"/>
      <c r="N100" s="9"/>
      <c r="O100" s="9"/>
      <c r="P100" s="9"/>
      <c r="Q100" s="9"/>
      <c r="R100" s="9"/>
    </row>
    <row r="101" spans="1:18" x14ac:dyDescent="0.3">
      <c r="A101" s="9"/>
      <c r="B101" s="17" t="s">
        <v>1234</v>
      </c>
      <c r="C101" s="9"/>
      <c r="D101" s="9"/>
      <c r="E101" s="9"/>
      <c r="F101" s="9"/>
      <c r="G101" s="9"/>
      <c r="H101" s="9"/>
      <c r="I101" s="9"/>
      <c r="J101" s="9"/>
      <c r="K101" s="9"/>
      <c r="L101" s="9"/>
      <c r="M101" s="9"/>
      <c r="N101" s="9"/>
      <c r="O101" s="9"/>
      <c r="P101" s="9"/>
      <c r="Q101" s="9"/>
      <c r="R101" s="9"/>
    </row>
    <row r="102" spans="1:18" x14ac:dyDescent="0.3">
      <c r="A102" s="9"/>
      <c r="B102" s="3"/>
      <c r="C102" s="10" t="s">
        <v>1201</v>
      </c>
      <c r="D102" s="10" t="s">
        <v>1200</v>
      </c>
      <c r="E102" s="10" t="s">
        <v>2006</v>
      </c>
      <c r="F102" s="102" t="s">
        <v>1197</v>
      </c>
      <c r="G102" s="9"/>
      <c r="H102" s="9"/>
      <c r="I102" s="9"/>
      <c r="J102" s="9"/>
      <c r="K102" s="9"/>
      <c r="L102" s="9"/>
      <c r="M102" s="9"/>
      <c r="N102" s="9"/>
      <c r="O102" s="9"/>
      <c r="P102" s="9"/>
      <c r="Q102" s="9"/>
      <c r="R102" s="9"/>
    </row>
    <row r="103" spans="1:18" x14ac:dyDescent="0.3">
      <c r="A103" s="9"/>
      <c r="B103" s="3" t="s">
        <v>1198</v>
      </c>
      <c r="C103" s="3">
        <f>COUNTIF('ZEMIO_Cleaned Data'!CG:CG,"OUI")</f>
        <v>0</v>
      </c>
      <c r="D103" s="3">
        <f>COUNTIF('ZEMIO_Cleaned Data'!CG:CG,"non")</f>
        <v>7</v>
      </c>
      <c r="E103" s="3">
        <f>COUNTIF('ZEMIO_Cleaned Data'!CG:CG,"nsp")</f>
        <v>0</v>
      </c>
      <c r="F103" s="103">
        <f>SUM(C103:D103)</f>
        <v>7</v>
      </c>
      <c r="G103" s="9"/>
      <c r="H103" s="9"/>
      <c r="I103" s="9"/>
      <c r="J103" s="9"/>
      <c r="K103" s="9"/>
      <c r="L103" s="9"/>
      <c r="M103" s="9"/>
      <c r="N103" s="9"/>
      <c r="O103" s="9"/>
      <c r="P103" s="9"/>
      <c r="Q103" s="9"/>
      <c r="R103" s="9"/>
    </row>
    <row r="104" spans="1:18" ht="37.5" x14ac:dyDescent="0.3">
      <c r="A104" s="9"/>
      <c r="B104" s="52" t="s">
        <v>2002</v>
      </c>
      <c r="C104" s="6">
        <f>(C103/$B$95)</f>
        <v>0</v>
      </c>
      <c r="D104" s="6">
        <f>(D103/$B$95)</f>
        <v>1</v>
      </c>
      <c r="E104" s="6">
        <f>(E103/$B$95)</f>
        <v>0</v>
      </c>
      <c r="F104" s="92">
        <f>SUM(C104:E104)</f>
        <v>1</v>
      </c>
      <c r="G104" s="9"/>
      <c r="H104" s="9"/>
      <c r="I104" s="9"/>
      <c r="J104" s="9"/>
      <c r="L104" s="9"/>
      <c r="M104" s="9"/>
      <c r="N104" s="9"/>
      <c r="O104" s="9"/>
      <c r="P104" s="9"/>
      <c r="Q104" s="9"/>
      <c r="R104" s="9"/>
    </row>
    <row r="105" spans="1:18" x14ac:dyDescent="0.3">
      <c r="A105" s="9"/>
      <c r="B105" s="13"/>
      <c r="C105" s="14"/>
      <c r="D105" s="14"/>
      <c r="E105" s="9"/>
      <c r="F105" s="9"/>
      <c r="G105" s="9"/>
      <c r="H105" s="9"/>
      <c r="I105" s="9"/>
      <c r="J105" s="9"/>
      <c r="L105" s="9"/>
      <c r="M105" s="9"/>
      <c r="N105" s="9"/>
      <c r="O105" s="9"/>
      <c r="P105" s="9"/>
      <c r="Q105" s="9"/>
      <c r="R105" s="9"/>
    </row>
    <row r="106" spans="1:18" x14ac:dyDescent="0.3">
      <c r="A106" s="9"/>
      <c r="B106" s="17" t="s">
        <v>1215</v>
      </c>
      <c r="C106" s="9"/>
      <c r="D106" s="9"/>
      <c r="E106" s="9"/>
      <c r="F106" s="9"/>
      <c r="G106" s="9"/>
      <c r="H106" s="9"/>
      <c r="I106" s="9"/>
      <c r="J106" s="9"/>
      <c r="K106" s="9"/>
      <c r="L106" s="9"/>
      <c r="M106" s="9"/>
      <c r="N106" s="9"/>
      <c r="O106" s="9"/>
      <c r="P106" s="9"/>
      <c r="Q106" s="9"/>
      <c r="R106" s="9"/>
    </row>
    <row r="107" spans="1:18" ht="28" x14ac:dyDescent="0.3">
      <c r="A107" s="9"/>
      <c r="B107" s="3"/>
      <c r="C107" s="11" t="s">
        <v>1217</v>
      </c>
      <c r="D107" s="11" t="s">
        <v>1392</v>
      </c>
      <c r="E107" s="11" t="s">
        <v>1216</v>
      </c>
      <c r="F107" s="11" t="s">
        <v>1391</v>
      </c>
      <c r="G107" s="102" t="s">
        <v>1197</v>
      </c>
      <c r="H107" s="9"/>
      <c r="I107" s="9"/>
      <c r="J107" s="9"/>
      <c r="K107" s="9"/>
      <c r="L107" s="9"/>
      <c r="M107" s="9"/>
      <c r="N107" s="9"/>
      <c r="O107" s="9"/>
      <c r="P107" s="9"/>
      <c r="Q107" s="9"/>
      <c r="R107" s="9"/>
    </row>
    <row r="108" spans="1:18" x14ac:dyDescent="0.3">
      <c r="A108" s="9"/>
      <c r="B108" s="3" t="s">
        <v>1198</v>
      </c>
      <c r="C108" s="3">
        <f>COUNTIF('ZEMIO_Cleaned Data'!CH:CH,"bcp_diminue")</f>
        <v>0</v>
      </c>
      <c r="D108" s="3">
        <f>COUNTIF('ZEMIO_Cleaned Data'!CH:CH,"peu_diminue")</f>
        <v>0</v>
      </c>
      <c r="E108" s="3">
        <f>COUNTIF('ZEMIO_Cleaned Data'!CH:CH,"bcp_augmente")</f>
        <v>0</v>
      </c>
      <c r="F108" s="3">
        <f>COUNTIF('ZEMIO_Cleaned Data'!CH:CH,"PEU_augmente")</f>
        <v>0</v>
      </c>
      <c r="G108" s="103">
        <f>SUM(C108:F108)</f>
        <v>0</v>
      </c>
      <c r="H108" s="73" t="s">
        <v>2308</v>
      </c>
      <c r="I108" s="9"/>
      <c r="J108" s="9"/>
      <c r="K108" s="9"/>
      <c r="L108" s="9"/>
      <c r="M108" s="9"/>
      <c r="N108" s="9"/>
      <c r="O108" s="9"/>
      <c r="P108" s="9"/>
      <c r="Q108" s="9"/>
      <c r="R108" s="9"/>
    </row>
    <row r="109" spans="1:18" ht="60.5" x14ac:dyDescent="0.3">
      <c r="A109" s="9"/>
      <c r="B109" s="52" t="s">
        <v>2003</v>
      </c>
      <c r="C109" s="6" t="e">
        <f>(C108/$C$103)</f>
        <v>#DIV/0!</v>
      </c>
      <c r="D109" s="6" t="e">
        <f>(D108/$C$103)</f>
        <v>#DIV/0!</v>
      </c>
      <c r="E109" s="6" t="e">
        <f>(E108/$C$103)</f>
        <v>#DIV/0!</v>
      </c>
      <c r="F109" s="6" t="e">
        <f>(F108/$C$103)</f>
        <v>#DIV/0!</v>
      </c>
      <c r="G109" s="92" t="e">
        <f>SUM(C109:F109)</f>
        <v>#DIV/0!</v>
      </c>
      <c r="H109" s="9"/>
      <c r="I109" s="9"/>
      <c r="J109" s="9"/>
      <c r="K109" s="9"/>
      <c r="L109" s="9"/>
      <c r="M109" s="9"/>
      <c r="N109" s="9"/>
      <c r="O109" s="9"/>
      <c r="P109" s="9"/>
      <c r="Q109" s="9"/>
      <c r="R109" s="9"/>
    </row>
    <row r="110" spans="1:18" x14ac:dyDescent="0.3">
      <c r="A110" s="9"/>
      <c r="B110" s="9"/>
      <c r="C110" s="9"/>
      <c r="D110" s="9"/>
      <c r="E110" s="9"/>
      <c r="F110" s="9"/>
      <c r="G110" s="9"/>
      <c r="H110" s="9"/>
      <c r="I110" s="9"/>
      <c r="J110" s="9"/>
      <c r="K110" s="9"/>
      <c r="L110" s="9"/>
      <c r="M110" s="9"/>
      <c r="N110" s="9"/>
      <c r="O110" s="9"/>
      <c r="P110" s="9"/>
      <c r="Q110" s="9"/>
      <c r="R110" s="9"/>
    </row>
    <row r="111" spans="1:18" x14ac:dyDescent="0.3">
      <c r="A111" s="9"/>
      <c r="B111" s="135" t="s">
        <v>1235</v>
      </c>
      <c r="D111" s="9"/>
      <c r="E111" s="9"/>
      <c r="F111" s="9"/>
      <c r="G111" s="9"/>
      <c r="H111" s="9"/>
      <c r="I111" s="9"/>
      <c r="J111" s="9"/>
      <c r="K111" s="9"/>
      <c r="L111" s="9"/>
      <c r="M111" s="9"/>
      <c r="N111" s="9"/>
      <c r="O111" s="9"/>
      <c r="P111" s="9"/>
      <c r="Q111" s="9"/>
      <c r="R111" s="9"/>
    </row>
    <row r="112" spans="1:18" ht="42" x14ac:dyDescent="0.3">
      <c r="A112" s="9"/>
      <c r="B112" s="11" t="s">
        <v>1236</v>
      </c>
      <c r="C112" s="11" t="s">
        <v>1237</v>
      </c>
      <c r="D112" s="11" t="s">
        <v>1238</v>
      </c>
      <c r="E112" s="11" t="s">
        <v>1239</v>
      </c>
      <c r="F112" s="11" t="s">
        <v>2006</v>
      </c>
      <c r="G112" s="11" t="s">
        <v>1196</v>
      </c>
      <c r="H112" s="102" t="s">
        <v>1197</v>
      </c>
      <c r="I112" s="9"/>
      <c r="J112" s="9"/>
      <c r="K112" s="9"/>
      <c r="L112" s="9"/>
      <c r="M112" s="9"/>
      <c r="N112" s="9"/>
      <c r="O112" s="9"/>
      <c r="P112" s="9"/>
      <c r="Q112" s="9"/>
      <c r="R112" s="9"/>
    </row>
    <row r="113" spans="1:26" x14ac:dyDescent="0.3">
      <c r="A113" s="9"/>
      <c r="B113" s="3">
        <f>COUNTIF('ZEMIO_Cleaned Data'!CJ:CJ,"1")</f>
        <v>0</v>
      </c>
      <c r="C113" s="3">
        <f>COUNTIF('ZEMIO_Cleaned Data'!CK:CK,"1")</f>
        <v>0</v>
      </c>
      <c r="D113" s="3">
        <f>COUNTIF('ZEMIO_Cleaned Data'!CL:CL,"1")</f>
        <v>0</v>
      </c>
      <c r="E113" s="3">
        <f>COUNTIF('ZEMIO_Cleaned Data'!CM:CM,"1")</f>
        <v>0</v>
      </c>
      <c r="F113" s="3">
        <f>COUNTIF('ZEMIO_Cleaned Data'!CN:CN,"1")</f>
        <v>0</v>
      </c>
      <c r="G113" s="3">
        <f>COUNTIF('ZEMIO_Cleaned Data'!CO:CO,"1")</f>
        <v>0</v>
      </c>
      <c r="H113" s="103">
        <f>SUM(B113:G113)</f>
        <v>0</v>
      </c>
      <c r="I113" s="9"/>
      <c r="J113" s="9"/>
      <c r="K113" s="9"/>
      <c r="L113" s="9"/>
      <c r="M113" s="9"/>
      <c r="N113" s="9"/>
      <c r="O113" s="9"/>
      <c r="P113" s="9"/>
      <c r="Q113" s="9"/>
      <c r="R113" s="9"/>
    </row>
    <row r="114" spans="1:26" x14ac:dyDescent="0.3">
      <c r="A114" s="9"/>
      <c r="B114" s="13"/>
      <c r="C114" s="15"/>
      <c r="D114" s="15"/>
      <c r="E114" s="13"/>
      <c r="F114" s="15"/>
      <c r="G114" s="15"/>
      <c r="H114" s="9"/>
      <c r="I114" s="9"/>
      <c r="J114" s="9"/>
      <c r="K114" s="9"/>
      <c r="L114" s="9"/>
      <c r="M114" s="9"/>
      <c r="N114" s="9"/>
      <c r="O114" s="9"/>
      <c r="P114" s="9"/>
      <c r="Q114" s="9"/>
      <c r="R114" s="9"/>
    </row>
    <row r="115" spans="1:26" ht="15.5" x14ac:dyDescent="0.35">
      <c r="A115" s="28" t="s">
        <v>1702</v>
      </c>
      <c r="B115" s="13"/>
      <c r="C115" s="15"/>
      <c r="D115" s="15"/>
      <c r="E115" s="13"/>
      <c r="F115" s="15"/>
      <c r="G115" s="15"/>
      <c r="H115" s="9"/>
      <c r="I115" s="9"/>
      <c r="J115" s="9"/>
      <c r="K115" s="9"/>
      <c r="L115" s="9"/>
      <c r="M115" s="9"/>
      <c r="N115" s="9"/>
      <c r="O115" s="9"/>
      <c r="P115" s="9"/>
      <c r="Q115" s="9"/>
      <c r="R115" s="9"/>
    </row>
    <row r="116" spans="1:26" s="55" customFormat="1" ht="42" x14ac:dyDescent="0.35">
      <c r="A116" s="42"/>
      <c r="B116" s="7" t="s">
        <v>1703</v>
      </c>
      <c r="C116" s="7" t="s">
        <v>1699</v>
      </c>
      <c r="D116" s="7" t="s">
        <v>1700</v>
      </c>
      <c r="E116" s="7" t="s">
        <v>1698</v>
      </c>
      <c r="F116" s="7" t="s">
        <v>1704</v>
      </c>
      <c r="G116" s="7" t="s">
        <v>1701</v>
      </c>
      <c r="H116" s="7" t="s">
        <v>1706</v>
      </c>
      <c r="I116" s="7" t="s">
        <v>1196</v>
      </c>
      <c r="J116" s="102" t="s">
        <v>1197</v>
      </c>
      <c r="K116" s="35"/>
      <c r="L116" s="35"/>
      <c r="M116" s="35"/>
      <c r="N116" s="35"/>
      <c r="O116" s="35"/>
      <c r="P116" s="35"/>
      <c r="Q116" s="35"/>
      <c r="R116" s="35"/>
      <c r="S116" s="35"/>
      <c r="T116" s="35"/>
      <c r="U116" s="35"/>
      <c r="V116" s="35"/>
      <c r="W116" s="35"/>
      <c r="X116" s="35"/>
      <c r="Y116" s="35"/>
      <c r="Z116" s="35"/>
    </row>
    <row r="117" spans="1:26" x14ac:dyDescent="0.3">
      <c r="A117" s="3" t="s">
        <v>1198</v>
      </c>
      <c r="B117" s="3">
        <f>COUNTIF('ZEMIO_Cleaned Data'!CZ:CZ,"1")</f>
        <v>0</v>
      </c>
      <c r="C117" s="3">
        <f>COUNTIF('ZEMIO_Cleaned Data'!DA:DA,"1")</f>
        <v>0</v>
      </c>
      <c r="D117" s="3">
        <f>COUNTIF('ZEMIO_Cleaned Data'!DB:DB,"1")</f>
        <v>1</v>
      </c>
      <c r="E117" s="3">
        <f>COUNTIF('ZEMIO_Cleaned Data'!DC:DC,"1")</f>
        <v>0</v>
      </c>
      <c r="F117" s="3">
        <f>COUNTIF('ZEMIO_Cleaned Data'!DD:DD,"1")</f>
        <v>6</v>
      </c>
      <c r="G117" s="3">
        <f>COUNTIF('ZEMIO_Cleaned Data'!DE:DE,"1")</f>
        <v>0</v>
      </c>
      <c r="H117" s="3">
        <f>COUNTIF('ZEMIO_Cleaned Data'!DF:DF,"1")</f>
        <v>0</v>
      </c>
      <c r="I117" s="3">
        <f>COUNTIF('ZEMIO_Cleaned Data'!DG:DG,"1")</f>
        <v>0</v>
      </c>
      <c r="J117" s="103">
        <f>SUM(B117:I117)</f>
        <v>7</v>
      </c>
      <c r="K117" s="9"/>
      <c r="L117" s="9"/>
      <c r="M117" s="9"/>
      <c r="N117" s="9"/>
      <c r="O117" s="9"/>
      <c r="P117" s="9"/>
      <c r="Q117" s="9"/>
      <c r="R117" s="9"/>
    </row>
    <row r="118" spans="1:26" ht="37.5" x14ac:dyDescent="0.3">
      <c r="A118" s="52" t="s">
        <v>1722</v>
      </c>
      <c r="B118" s="6">
        <f>B117/$B$95</f>
        <v>0</v>
      </c>
      <c r="C118" s="6">
        <f t="shared" ref="C118:I118" si="12">C117/$B$95</f>
        <v>0</v>
      </c>
      <c r="D118" s="6">
        <f t="shared" si="12"/>
        <v>0.14285714285714285</v>
      </c>
      <c r="E118" s="6">
        <f t="shared" si="12"/>
        <v>0</v>
      </c>
      <c r="F118" s="6">
        <f t="shared" si="12"/>
        <v>0.8571428571428571</v>
      </c>
      <c r="G118" s="6">
        <f t="shared" si="12"/>
        <v>0</v>
      </c>
      <c r="H118" s="6">
        <f t="shared" si="12"/>
        <v>0</v>
      </c>
      <c r="I118" s="6">
        <f t="shared" si="12"/>
        <v>0</v>
      </c>
      <c r="J118" s="92">
        <f>SUM(B118:I118)</f>
        <v>1</v>
      </c>
      <c r="K118" s="9"/>
      <c r="L118" s="9"/>
      <c r="M118" s="9"/>
      <c r="N118" s="9"/>
      <c r="O118" s="9"/>
      <c r="P118" s="9"/>
      <c r="Q118" s="9"/>
      <c r="R118" s="9"/>
    </row>
    <row r="119" spans="1:26" s="9" customFormat="1" x14ac:dyDescent="0.3">
      <c r="A119" s="13"/>
      <c r="B119" s="14"/>
      <c r="C119" s="14"/>
      <c r="D119" s="14"/>
      <c r="E119" s="14"/>
      <c r="F119" s="14"/>
      <c r="G119" s="14"/>
      <c r="H119" s="14"/>
      <c r="I119" s="14"/>
    </row>
    <row r="120" spans="1:26" ht="15.5" x14ac:dyDescent="0.35">
      <c r="A120" s="58" t="s">
        <v>1705</v>
      </c>
      <c r="B120" s="14"/>
      <c r="C120" s="14"/>
      <c r="D120" s="14"/>
      <c r="E120" s="14"/>
      <c r="F120" s="14"/>
      <c r="G120" s="14"/>
      <c r="H120" s="14"/>
      <c r="I120" s="14"/>
      <c r="J120" s="9"/>
      <c r="K120" s="9"/>
      <c r="L120" s="9"/>
      <c r="M120" s="9"/>
      <c r="N120" s="9"/>
      <c r="O120" s="9"/>
      <c r="P120" s="9"/>
      <c r="Q120" s="9"/>
      <c r="R120" s="9"/>
    </row>
    <row r="121" spans="1:26" x14ac:dyDescent="0.3">
      <c r="A121" s="3"/>
      <c r="B121" s="7" t="s">
        <v>1201</v>
      </c>
      <c r="C121" s="7" t="s">
        <v>1200</v>
      </c>
      <c r="D121" s="7" t="s">
        <v>1706</v>
      </c>
      <c r="E121" s="102" t="s">
        <v>1197</v>
      </c>
      <c r="F121" s="9"/>
      <c r="G121" s="9"/>
      <c r="H121" s="9"/>
      <c r="I121" s="9"/>
      <c r="J121" s="9"/>
      <c r="K121" s="9"/>
      <c r="L121" s="9"/>
      <c r="M121" s="9"/>
      <c r="N121" s="9"/>
      <c r="O121" s="9"/>
      <c r="P121" s="9"/>
      <c r="Q121" s="9"/>
      <c r="R121" s="9"/>
    </row>
    <row r="122" spans="1:26" x14ac:dyDescent="0.3">
      <c r="A122" s="3" t="s">
        <v>1198</v>
      </c>
      <c r="B122" s="3">
        <f>COUNTIF('ZEMIO_Cleaned Data'!DI:DI,"OUI")</f>
        <v>3</v>
      </c>
      <c r="C122" s="3">
        <f>COUNTIF('ZEMIO_Cleaned Data'!DI:DI,"non")</f>
        <v>3</v>
      </c>
      <c r="D122" s="3">
        <f>COUNTIF('ZEMIO_Cleaned Data'!DI:DI,"nsp")</f>
        <v>1</v>
      </c>
      <c r="E122" s="103">
        <f>SUM(B122:D122)</f>
        <v>7</v>
      </c>
      <c r="F122" s="9"/>
      <c r="G122" s="9"/>
      <c r="H122" s="9"/>
      <c r="I122" s="9"/>
      <c r="J122" s="9"/>
      <c r="K122" s="9"/>
      <c r="L122" s="9"/>
      <c r="M122" s="9"/>
      <c r="N122" s="9"/>
      <c r="O122" s="9"/>
      <c r="P122" s="9"/>
      <c r="Q122" s="9"/>
      <c r="R122" s="9"/>
    </row>
    <row r="123" spans="1:26" ht="37.5" x14ac:dyDescent="0.3">
      <c r="A123" s="52" t="s">
        <v>1722</v>
      </c>
      <c r="B123" s="6">
        <f>(B122/$B$95)</f>
        <v>0.42857142857142855</v>
      </c>
      <c r="C123" s="6">
        <f>(C122/$B$95)</f>
        <v>0.42857142857142855</v>
      </c>
      <c r="D123" s="6">
        <f>(D122/$B$95)</f>
        <v>0.14285714285714285</v>
      </c>
      <c r="E123" s="92">
        <f>SUM(B123:D123)</f>
        <v>1</v>
      </c>
      <c r="F123" s="9"/>
      <c r="G123" s="9"/>
      <c r="H123" s="9"/>
      <c r="I123" s="9"/>
      <c r="J123" s="9"/>
      <c r="K123" s="9"/>
      <c r="L123" s="9"/>
      <c r="M123" s="9"/>
      <c r="N123" s="9"/>
      <c r="O123" s="9"/>
      <c r="P123" s="9"/>
      <c r="Q123" s="9"/>
      <c r="R123" s="9"/>
    </row>
    <row r="124" spans="1:26" s="9" customFormat="1" x14ac:dyDescent="0.3">
      <c r="A124" s="120"/>
      <c r="B124" s="14"/>
      <c r="C124" s="14"/>
      <c r="D124" s="14"/>
      <c r="E124" s="119"/>
    </row>
    <row r="125" spans="1:26" s="9" customFormat="1" x14ac:dyDescent="0.3">
      <c r="A125" s="120"/>
      <c r="B125" s="17" t="s">
        <v>2309</v>
      </c>
    </row>
    <row r="126" spans="1:26" s="9" customFormat="1" ht="56" x14ac:dyDescent="0.3">
      <c r="A126" s="120"/>
      <c r="B126" s="3"/>
      <c r="C126" s="11" t="s">
        <v>2312</v>
      </c>
      <c r="D126" s="11" t="s">
        <v>2310</v>
      </c>
      <c r="E126" s="11" t="s">
        <v>2311</v>
      </c>
      <c r="F126" s="11" t="s">
        <v>2006</v>
      </c>
      <c r="G126" s="11" t="s">
        <v>1211</v>
      </c>
    </row>
    <row r="127" spans="1:26" s="9" customFormat="1" x14ac:dyDescent="0.3">
      <c r="A127" s="120"/>
      <c r="B127" s="3" t="s">
        <v>1198</v>
      </c>
      <c r="C127" s="3">
        <f>COUNTIF('ZEMIO_Cleaned Data'!DJ:DJ,"amende")</f>
        <v>0</v>
      </c>
      <c r="D127" s="3">
        <f>COUNTIF('ZEMIO_Cleaned Data'!DJ:DJ,"fin_droits")</f>
        <v>3</v>
      </c>
      <c r="E127" s="3">
        <f>COUNTIF('ZEMIO_Cleaned Data'!DJ:DJ,"fin_droits_indefinie")</f>
        <v>0</v>
      </c>
      <c r="F127" s="3">
        <f>COUNTIF('ZEMIO_Cleaned Data'!DJ:DJ,"nsp")</f>
        <v>0</v>
      </c>
      <c r="G127" s="3">
        <f>COUNTIF('ZEMIO_Cleaned Data'!DJ:DJ,"autre")</f>
        <v>0</v>
      </c>
    </row>
    <row r="128" spans="1:26" s="9" customFormat="1" ht="60.5" x14ac:dyDescent="0.3">
      <c r="A128" s="120"/>
      <c r="B128" s="52" t="s">
        <v>2003</v>
      </c>
      <c r="C128" s="6">
        <f>(C127/$B$122)</f>
        <v>0</v>
      </c>
      <c r="D128" s="6">
        <f t="shared" ref="D128:G128" si="13">(D127/$B$122)</f>
        <v>1</v>
      </c>
      <c r="E128" s="6">
        <f t="shared" si="13"/>
        <v>0</v>
      </c>
      <c r="F128" s="6">
        <f t="shared" si="13"/>
        <v>0</v>
      </c>
      <c r="G128" s="6">
        <f t="shared" si="13"/>
        <v>0</v>
      </c>
    </row>
    <row r="129" spans="1:26" x14ac:dyDescent="0.3">
      <c r="A129" s="9"/>
      <c r="B129" s="9"/>
      <c r="C129" s="9"/>
      <c r="D129" s="9"/>
      <c r="E129" s="9"/>
      <c r="F129" s="9"/>
      <c r="G129" s="9"/>
      <c r="H129" s="9"/>
      <c r="I129" s="9"/>
      <c r="J129" s="9"/>
      <c r="K129" s="9"/>
      <c r="L129" s="9"/>
      <c r="M129" s="9"/>
      <c r="N129" s="9"/>
      <c r="O129" s="9"/>
      <c r="P129" s="9"/>
      <c r="Q129" s="9"/>
      <c r="R129" s="9"/>
    </row>
    <row r="130" spans="1:26" ht="15.5" x14ac:dyDescent="0.35">
      <c r="A130" s="28" t="s">
        <v>1288</v>
      </c>
      <c r="B130" s="9"/>
      <c r="C130" s="95" t="s">
        <v>1994</v>
      </c>
      <c r="D130" s="9"/>
      <c r="E130" s="9"/>
      <c r="F130" s="9"/>
      <c r="G130" s="9"/>
      <c r="H130" s="9"/>
      <c r="I130" s="9"/>
      <c r="J130" s="9"/>
      <c r="K130" s="9"/>
      <c r="L130" s="9"/>
      <c r="M130" s="9"/>
      <c r="N130" s="9"/>
      <c r="O130" s="9"/>
      <c r="P130" s="9"/>
      <c r="Q130" s="9"/>
      <c r="R130" s="9"/>
    </row>
    <row r="131" spans="1:26" x14ac:dyDescent="0.3">
      <c r="A131" s="3"/>
      <c r="B131" s="7" t="s">
        <v>1240</v>
      </c>
      <c r="C131" s="7" t="s">
        <v>1241</v>
      </c>
      <c r="D131" s="7" t="s">
        <v>1706</v>
      </c>
      <c r="E131" s="7" t="s">
        <v>1196</v>
      </c>
      <c r="F131" s="7" t="s">
        <v>1242</v>
      </c>
      <c r="G131" s="9"/>
      <c r="H131" s="9"/>
      <c r="I131" s="9"/>
      <c r="J131" s="9"/>
      <c r="K131" s="9"/>
      <c r="L131" s="9"/>
      <c r="M131" s="9"/>
      <c r="N131" s="9"/>
      <c r="O131" s="9"/>
      <c r="P131" s="9"/>
      <c r="Q131" s="9"/>
      <c r="R131" s="9"/>
    </row>
    <row r="132" spans="1:26" x14ac:dyDescent="0.3">
      <c r="A132" s="3" t="s">
        <v>1198</v>
      </c>
      <c r="B132" s="3">
        <f>COUNTIF('ZEMIO_Cleaned Data'!DR:DR,"1")</f>
        <v>5</v>
      </c>
      <c r="C132" s="3">
        <f>COUNTIF('ZEMIO_Cleaned Data'!DS:DS,"1")</f>
        <v>10</v>
      </c>
      <c r="D132" s="3">
        <f>COUNTIF('ZEMIO_Cleaned Data'!DT:DT,"1")</f>
        <v>1</v>
      </c>
      <c r="E132" s="3">
        <f>COUNTIF('ZEMIO_Cleaned Data'!DU:DU,"1")</f>
        <v>0</v>
      </c>
      <c r="F132" s="3">
        <f>COUNTIF('ZEMIO_Cleaned Data'!DV:DV,"1")</f>
        <v>7</v>
      </c>
      <c r="G132" s="9"/>
      <c r="H132" s="9"/>
      <c r="I132" s="9"/>
      <c r="J132" s="9"/>
      <c r="K132" s="9"/>
      <c r="L132" s="9"/>
      <c r="M132" s="9"/>
      <c r="N132" s="9"/>
      <c r="O132" s="9"/>
      <c r="P132" s="9"/>
      <c r="Q132" s="9"/>
      <c r="R132" s="9"/>
    </row>
    <row r="133" spans="1:26" s="55" customFormat="1" ht="25.5" x14ac:dyDescent="0.3">
      <c r="A133" s="53" t="s">
        <v>2056</v>
      </c>
      <c r="B133" s="54">
        <f>(B132/$B$3)</f>
        <v>0.18518518518518517</v>
      </c>
      <c r="C133" s="54">
        <f t="shared" ref="C133:F133" si="14">(C132/$B$3)</f>
        <v>0.37037037037037035</v>
      </c>
      <c r="D133" s="54">
        <f t="shared" si="14"/>
        <v>3.7037037037037035E-2</v>
      </c>
      <c r="E133" s="54">
        <f t="shared" si="14"/>
        <v>0</v>
      </c>
      <c r="F133" s="54">
        <f t="shared" si="14"/>
        <v>0.25925925925925924</v>
      </c>
      <c r="G133" s="9"/>
      <c r="H133" s="35"/>
      <c r="I133" s="35"/>
      <c r="J133" s="35"/>
      <c r="K133" s="35"/>
      <c r="L133" s="35"/>
      <c r="M133" s="35"/>
      <c r="N133" s="35"/>
      <c r="O133" s="35"/>
      <c r="P133" s="35"/>
      <c r="Q133" s="35"/>
      <c r="R133" s="35"/>
      <c r="S133" s="35"/>
      <c r="T133" s="35"/>
      <c r="U133" s="35"/>
      <c r="V133" s="35"/>
      <c r="W133" s="35"/>
      <c r="X133" s="35"/>
      <c r="Y133" s="35"/>
      <c r="Z133" s="35"/>
    </row>
    <row r="134" spans="1:26" x14ac:dyDescent="0.3">
      <c r="A134" s="9"/>
      <c r="B134" s="9"/>
      <c r="C134" s="9"/>
      <c r="D134" s="9"/>
      <c r="E134" s="9"/>
      <c r="F134" s="9"/>
      <c r="G134" s="9"/>
      <c r="H134" s="9"/>
      <c r="I134" s="9"/>
      <c r="J134" s="9"/>
      <c r="K134" s="9"/>
      <c r="L134" s="9"/>
      <c r="M134" s="9"/>
      <c r="N134" s="9"/>
      <c r="O134" s="9"/>
      <c r="P134" s="9"/>
      <c r="Q134" s="9"/>
      <c r="R134" s="9"/>
    </row>
    <row r="135" spans="1:26" ht="15.5" x14ac:dyDescent="0.35">
      <c r="A135" s="28" t="s">
        <v>1289</v>
      </c>
      <c r="B135" s="9"/>
      <c r="C135" s="95" t="s">
        <v>1994</v>
      </c>
      <c r="D135" s="9"/>
      <c r="E135" s="9"/>
      <c r="F135" s="9"/>
      <c r="G135" s="9"/>
      <c r="H135" s="9"/>
      <c r="I135" s="9"/>
      <c r="J135" s="9"/>
      <c r="K135" s="9"/>
      <c r="L135" s="9"/>
      <c r="M135" s="9"/>
      <c r="N135" s="9"/>
      <c r="O135" s="9"/>
      <c r="P135" s="9"/>
      <c r="Q135" s="9"/>
      <c r="R135" s="9"/>
    </row>
    <row r="136" spans="1:26" s="91" customFormat="1" ht="56" x14ac:dyDescent="0.35">
      <c r="A136" s="7" t="s">
        <v>1243</v>
      </c>
      <c r="B136" s="7" t="s">
        <v>1707</v>
      </c>
      <c r="C136" s="7" t="s">
        <v>1708</v>
      </c>
      <c r="D136" s="7" t="s">
        <v>1468</v>
      </c>
      <c r="E136" s="7" t="s">
        <v>1244</v>
      </c>
      <c r="F136" s="7" t="s">
        <v>1245</v>
      </c>
      <c r="G136" s="7" t="s">
        <v>1709</v>
      </c>
      <c r="H136" s="7" t="s">
        <v>1710</v>
      </c>
      <c r="I136" s="7" t="s">
        <v>1711</v>
      </c>
      <c r="J136" s="7" t="s">
        <v>1712</v>
      </c>
      <c r="K136" s="7" t="s">
        <v>1706</v>
      </c>
      <c r="L136" s="7" t="s">
        <v>1196</v>
      </c>
      <c r="N136" s="104"/>
      <c r="O136" s="90"/>
      <c r="P136" s="90"/>
      <c r="Q136" s="90"/>
      <c r="R136" s="90"/>
      <c r="S136" s="90"/>
      <c r="T136" s="90"/>
      <c r="U136" s="90"/>
      <c r="V136" s="90"/>
      <c r="W136" s="90"/>
      <c r="X136" s="90"/>
      <c r="Y136" s="90"/>
      <c r="Z136" s="90"/>
    </row>
    <row r="137" spans="1:26" x14ac:dyDescent="0.3">
      <c r="A137" s="3">
        <f>COUNTIF('ZEMIO_Cleaned Data'!DY:DY,"1")</f>
        <v>9</v>
      </c>
      <c r="B137" s="3">
        <f>COUNTIF('ZEMIO_Cleaned Data'!DZ:DZ,"1")</f>
        <v>10</v>
      </c>
      <c r="C137" s="3">
        <f>COUNTIF('ZEMIO_Cleaned Data'!EA:EA,"1")</f>
        <v>5</v>
      </c>
      <c r="D137" s="3">
        <f>COUNTIF('ZEMIO_Cleaned Data'!EB:EB,"1")</f>
        <v>2</v>
      </c>
      <c r="E137" s="3">
        <f>COUNTIF('ZEMIO_Cleaned Data'!EC:EC,"1")</f>
        <v>0</v>
      </c>
      <c r="F137" s="3">
        <f>COUNTIF('ZEMIO_Cleaned Data'!ED:ED,"1")</f>
        <v>7</v>
      </c>
      <c r="G137" s="3">
        <f>COUNTIF('ZEMIO_Cleaned Data'!EE:EE,"1")</f>
        <v>0</v>
      </c>
      <c r="H137" s="3">
        <f>COUNTIF('ZEMIO_Cleaned Data'!EF:EF,"1")</f>
        <v>1</v>
      </c>
      <c r="I137" s="3">
        <f>COUNTIF('ZEMIO_Cleaned Data'!EG:EG,"1")</f>
        <v>10</v>
      </c>
      <c r="J137" s="3">
        <f>COUNTIF('ZEMIO_Cleaned Data'!EH:EH,"1")</f>
        <v>1</v>
      </c>
      <c r="K137" s="3">
        <f>COUNTIF('ZEMIO_Cleaned Data'!EI:EI,"1")</f>
        <v>0</v>
      </c>
      <c r="L137" s="3">
        <f>COUNTIF('ZEMIO_Cleaned Data'!EJ:EJ,"1")</f>
        <v>0</v>
      </c>
      <c r="N137" s="9"/>
      <c r="O137" s="9"/>
      <c r="P137" s="9"/>
      <c r="Q137" s="9"/>
      <c r="R137" s="9"/>
    </row>
    <row r="138" spans="1:26" x14ac:dyDescent="0.3">
      <c r="A138" s="9"/>
      <c r="B138" s="9"/>
      <c r="C138" s="9"/>
      <c r="D138" s="9"/>
      <c r="E138" s="9"/>
      <c r="F138" s="9"/>
      <c r="G138" s="9"/>
      <c r="H138" s="9"/>
      <c r="I138" s="9"/>
      <c r="J138" s="9"/>
      <c r="K138" s="9"/>
      <c r="L138" s="73"/>
      <c r="M138" s="9"/>
      <c r="N138" s="9"/>
      <c r="O138" s="9"/>
      <c r="P138" s="9"/>
      <c r="Q138" s="9"/>
      <c r="R138" s="9"/>
    </row>
    <row r="139" spans="1:26" ht="15.5" x14ac:dyDescent="0.35">
      <c r="A139" s="28" t="s">
        <v>1290</v>
      </c>
      <c r="B139" s="9"/>
      <c r="C139" s="95" t="s">
        <v>1994</v>
      </c>
      <c r="D139" s="9"/>
      <c r="E139" s="9"/>
      <c r="F139" s="9"/>
      <c r="G139" s="9"/>
      <c r="H139" s="9"/>
      <c r="I139" s="9"/>
      <c r="J139" s="9"/>
      <c r="K139" s="9"/>
      <c r="L139" s="9"/>
      <c r="M139" s="9"/>
      <c r="N139" s="9"/>
      <c r="O139" s="9"/>
      <c r="P139" s="9"/>
      <c r="Q139" s="9"/>
      <c r="R139" s="9"/>
    </row>
    <row r="140" spans="1:26" s="91" customFormat="1" ht="42" x14ac:dyDescent="0.35">
      <c r="A140" s="7" t="s">
        <v>1713</v>
      </c>
      <c r="B140" s="7" t="s">
        <v>1698</v>
      </c>
      <c r="C140" s="7" t="s">
        <v>1714</v>
      </c>
      <c r="D140" s="7" t="s">
        <v>1715</v>
      </c>
      <c r="E140" s="7" t="s">
        <v>1716</v>
      </c>
      <c r="F140" s="7" t="s">
        <v>1717</v>
      </c>
      <c r="G140" s="7" t="s">
        <v>1718</v>
      </c>
      <c r="H140" s="7" t="s">
        <v>1719</v>
      </c>
      <c r="I140" s="7" t="s">
        <v>1720</v>
      </c>
      <c r="J140" s="7" t="s">
        <v>1242</v>
      </c>
      <c r="K140" s="7" t="s">
        <v>1706</v>
      </c>
      <c r="L140" s="7" t="s">
        <v>1196</v>
      </c>
      <c r="N140" s="90"/>
      <c r="O140" s="90"/>
      <c r="P140" s="90"/>
      <c r="Q140" s="90"/>
      <c r="R140" s="90"/>
      <c r="S140" s="90"/>
      <c r="T140" s="90"/>
      <c r="U140" s="90"/>
      <c r="V140" s="90"/>
      <c r="W140" s="90"/>
      <c r="X140" s="90"/>
      <c r="Y140" s="90"/>
      <c r="Z140" s="90"/>
    </row>
    <row r="141" spans="1:26" x14ac:dyDescent="0.3">
      <c r="A141" s="23">
        <f>COUNTIF('ZEMIO_Cleaned Data'!EN:EN,"1")</f>
        <v>0</v>
      </c>
      <c r="B141" s="23">
        <f>COUNTIF('ZEMIO_Cleaned Data'!EO:EO,"1")</f>
        <v>2</v>
      </c>
      <c r="C141" s="23">
        <f>COUNTIF('ZEMIO_Cleaned Data'!EP:EP,"1")</f>
        <v>1</v>
      </c>
      <c r="D141" s="23">
        <f>COUNTIF('ZEMIO_Cleaned Data'!EQ:EQ,"1")</f>
        <v>2</v>
      </c>
      <c r="E141" s="23">
        <f>COUNTIF('ZEMIO_Cleaned Data'!ER:ER,"1")</f>
        <v>12</v>
      </c>
      <c r="F141" s="23">
        <f>COUNTIF('ZEMIO_Cleaned Data'!ES:ES,"1")</f>
        <v>1</v>
      </c>
      <c r="G141" s="23">
        <f>COUNTIF('ZEMIO_Cleaned Data'!ET:ET,"1")</f>
        <v>12</v>
      </c>
      <c r="H141" s="23">
        <f>COUNTIF('ZEMIO_Cleaned Data'!EU:EU,"1")</f>
        <v>0</v>
      </c>
      <c r="I141" s="23">
        <f>COUNTIF('ZEMIO_Cleaned Data'!EV:EV,"1")</f>
        <v>2</v>
      </c>
      <c r="J141" s="23">
        <f>COUNTIF('ZEMIO_Cleaned Data'!EW:EW,"1")</f>
        <v>3</v>
      </c>
      <c r="K141" s="23">
        <f>COUNTIF('ZEMIO_Cleaned Data'!EX:EX,"1")</f>
        <v>0</v>
      </c>
      <c r="L141" s="23">
        <f>COUNTIF('ZEMIO_Cleaned Data'!EY:EY,"1")</f>
        <v>0</v>
      </c>
      <c r="N141" s="9"/>
      <c r="O141" s="9"/>
      <c r="P141" s="9"/>
      <c r="Q141" s="9"/>
      <c r="R141" s="9"/>
    </row>
    <row r="142" spans="1:26" x14ac:dyDescent="0.3">
      <c r="A142" s="9"/>
      <c r="B142" s="9"/>
      <c r="C142" s="9"/>
      <c r="D142" s="9"/>
      <c r="E142" s="9"/>
      <c r="F142" s="9"/>
      <c r="G142" s="9"/>
      <c r="H142" s="9"/>
      <c r="I142" s="9"/>
      <c r="J142" s="9"/>
      <c r="K142" s="9"/>
      <c r="L142" s="9"/>
      <c r="M142" s="9"/>
      <c r="N142" s="9"/>
      <c r="O142" s="9"/>
      <c r="P142" s="9"/>
      <c r="Q142" s="9"/>
      <c r="R142" s="9"/>
    </row>
    <row r="143" spans="1:26" ht="15.5" x14ac:dyDescent="0.35">
      <c r="A143" s="28" t="s">
        <v>1324</v>
      </c>
      <c r="B143" s="9"/>
      <c r="C143" s="9"/>
      <c r="D143" s="9"/>
      <c r="E143" s="9"/>
      <c r="F143" s="9"/>
      <c r="G143" s="9"/>
      <c r="H143" s="9"/>
      <c r="I143" s="9"/>
      <c r="J143" s="9"/>
      <c r="K143" s="9"/>
      <c r="L143" s="9"/>
      <c r="M143" s="9"/>
      <c r="N143" s="9"/>
      <c r="O143" s="9"/>
      <c r="P143" s="9"/>
      <c r="Q143" s="9"/>
      <c r="R143" s="9"/>
    </row>
    <row r="144" spans="1:26" x14ac:dyDescent="0.3">
      <c r="A144" s="3"/>
      <c r="B144" s="7" t="s">
        <v>1201</v>
      </c>
      <c r="C144" s="7" t="s">
        <v>1200</v>
      </c>
      <c r="D144" s="102" t="s">
        <v>1197</v>
      </c>
      <c r="E144" s="9"/>
      <c r="F144" s="9"/>
      <c r="G144" s="9"/>
      <c r="H144" s="9"/>
      <c r="I144" s="9"/>
      <c r="J144" s="9"/>
      <c r="K144" s="9"/>
      <c r="L144" s="9"/>
      <c r="M144" s="9"/>
      <c r="N144" s="9"/>
      <c r="O144" s="9"/>
      <c r="P144" s="9"/>
      <c r="Q144" s="9"/>
      <c r="R144" s="9"/>
    </row>
    <row r="145" spans="1:26" x14ac:dyDescent="0.3">
      <c r="A145" s="3" t="s">
        <v>1198</v>
      </c>
      <c r="B145" s="23">
        <f>COUNTIF('ZEMIO_Cleaned Data'!FB:FB,"OUI")</f>
        <v>6</v>
      </c>
      <c r="C145" s="23">
        <f>COUNTIF('ZEMIO_Cleaned Data'!FB:FB,"non")</f>
        <v>19</v>
      </c>
      <c r="D145" s="103">
        <f>SUM(B145:C145)</f>
        <v>25</v>
      </c>
      <c r="E145" s="9"/>
      <c r="F145" s="9"/>
      <c r="G145" s="9"/>
      <c r="H145" s="9"/>
      <c r="I145" s="9"/>
      <c r="J145" s="9"/>
      <c r="K145" s="9"/>
      <c r="L145" s="9"/>
      <c r="M145" s="9"/>
      <c r="N145" s="9"/>
      <c r="O145" s="9"/>
      <c r="P145" s="9"/>
      <c r="Q145" s="9"/>
      <c r="R145" s="9"/>
    </row>
    <row r="146" spans="1:26" ht="26" x14ac:dyDescent="0.3">
      <c r="A146" s="52" t="s">
        <v>1995</v>
      </c>
      <c r="B146" s="6">
        <f>(B145/$B$3)</f>
        <v>0.22222222222222221</v>
      </c>
      <c r="C146" s="6">
        <f>(C145/$B$3)</f>
        <v>0.70370370370370372</v>
      </c>
      <c r="D146" s="92">
        <f>SUM(B146:C146)</f>
        <v>0.92592592592592593</v>
      </c>
      <c r="E146" s="9"/>
      <c r="F146" s="9"/>
      <c r="G146" s="9"/>
      <c r="H146" s="9"/>
      <c r="I146" s="9"/>
      <c r="J146" s="9"/>
      <c r="K146" s="9"/>
      <c r="L146" s="9"/>
      <c r="M146" s="9"/>
      <c r="N146" s="9"/>
      <c r="O146" s="9"/>
      <c r="P146" s="9"/>
      <c r="Q146" s="9"/>
      <c r="R146" s="9"/>
    </row>
    <row r="147" spans="1:26" x14ac:dyDescent="0.3">
      <c r="A147" s="9"/>
      <c r="B147" s="9"/>
      <c r="C147" s="9"/>
      <c r="D147" s="9"/>
      <c r="E147" s="9"/>
      <c r="F147" s="9"/>
      <c r="G147" s="9"/>
      <c r="H147" s="9"/>
      <c r="I147" s="9"/>
      <c r="J147" s="9"/>
      <c r="K147" s="9"/>
      <c r="L147" s="9"/>
      <c r="M147" s="9"/>
      <c r="N147" s="9"/>
      <c r="O147" s="9"/>
      <c r="P147" s="9"/>
      <c r="Q147" s="9"/>
      <c r="R147" s="9"/>
    </row>
    <row r="148" spans="1:26" x14ac:dyDescent="0.3">
      <c r="A148" s="9"/>
      <c r="B148" s="17" t="s">
        <v>1252</v>
      </c>
      <c r="C148" s="9"/>
      <c r="D148" s="95" t="s">
        <v>1994</v>
      </c>
      <c r="E148" s="9"/>
      <c r="F148" s="9"/>
      <c r="G148" s="9"/>
      <c r="H148" s="9"/>
      <c r="I148" s="9"/>
      <c r="J148" s="9"/>
      <c r="K148" s="9"/>
      <c r="L148" s="9"/>
      <c r="M148" s="9"/>
      <c r="N148" s="9"/>
      <c r="O148" s="9"/>
      <c r="P148" s="9"/>
      <c r="Q148" s="9"/>
      <c r="R148" s="9"/>
    </row>
    <row r="149" spans="1:26" s="55" customFormat="1" ht="28" x14ac:dyDescent="0.3">
      <c r="A149" s="35"/>
      <c r="B149" s="3"/>
      <c r="C149" s="10" t="s">
        <v>1723</v>
      </c>
      <c r="D149" s="10" t="s">
        <v>1359</v>
      </c>
      <c r="E149" s="10" t="s">
        <v>1724</v>
      </c>
      <c r="F149" s="10" t="s">
        <v>1725</v>
      </c>
      <c r="G149" s="10" t="s">
        <v>1726</v>
      </c>
      <c r="H149" s="10" t="s">
        <v>1706</v>
      </c>
      <c r="I149" s="10" t="s">
        <v>1196</v>
      </c>
      <c r="J149" s="9"/>
      <c r="K149" s="60"/>
      <c r="L149" s="35"/>
      <c r="M149" s="35"/>
      <c r="N149" s="35"/>
      <c r="O149" s="35"/>
      <c r="P149" s="35"/>
      <c r="Q149" s="35"/>
      <c r="R149" s="35"/>
      <c r="S149" s="35"/>
      <c r="T149" s="35"/>
      <c r="U149" s="35"/>
      <c r="V149" s="35"/>
      <c r="W149" s="35"/>
      <c r="X149" s="35"/>
      <c r="Y149" s="35"/>
      <c r="Z149" s="35"/>
    </row>
    <row r="150" spans="1:26" x14ac:dyDescent="0.3">
      <c r="A150" s="9"/>
      <c r="B150" s="3" t="s">
        <v>1198</v>
      </c>
      <c r="C150" s="23">
        <f>COUNTIF('ZEMIO_Cleaned Data'!FD:FD,"1")</f>
        <v>1</v>
      </c>
      <c r="D150" s="23">
        <f>COUNTIF('ZEMIO_Cleaned Data'!FE:FE,"1")</f>
        <v>0</v>
      </c>
      <c r="E150" s="23">
        <f>COUNTIF('ZEMIO_Cleaned Data'!FF:FF,"1")</f>
        <v>0</v>
      </c>
      <c r="F150" s="23">
        <f>COUNTIF('ZEMIO_Cleaned Data'!FG:FG,"1")</f>
        <v>1</v>
      </c>
      <c r="G150" s="23">
        <f>COUNTIF('ZEMIO_Cleaned Data'!FH:FH,"1")</f>
        <v>4</v>
      </c>
      <c r="H150" s="23">
        <f>COUNTIF('ZEMIO_Cleaned Data'!FI:FI,"1")</f>
        <v>0</v>
      </c>
      <c r="I150" s="23">
        <f>COUNTIF('ZEMIO_Cleaned Data'!FJ:FJ,"1")</f>
        <v>0</v>
      </c>
      <c r="J150" s="9"/>
      <c r="K150" s="9"/>
      <c r="L150" s="9"/>
      <c r="M150" s="9"/>
      <c r="N150" s="9"/>
      <c r="O150" s="9"/>
      <c r="P150" s="9"/>
      <c r="Q150" s="9"/>
      <c r="R150" s="9"/>
    </row>
    <row r="151" spans="1:26" ht="49" x14ac:dyDescent="0.3">
      <c r="A151" s="9"/>
      <c r="B151" s="52" t="s">
        <v>2004</v>
      </c>
      <c r="C151" s="6">
        <f>C150/$B$145</f>
        <v>0.16666666666666666</v>
      </c>
      <c r="D151" s="6">
        <f t="shared" ref="D151:I151" si="15">D150/$B$145</f>
        <v>0</v>
      </c>
      <c r="E151" s="6">
        <f t="shared" si="15"/>
        <v>0</v>
      </c>
      <c r="F151" s="6">
        <f t="shared" si="15"/>
        <v>0.16666666666666666</v>
      </c>
      <c r="G151" s="6">
        <f t="shared" si="15"/>
        <v>0.66666666666666663</v>
      </c>
      <c r="H151" s="6">
        <f t="shared" si="15"/>
        <v>0</v>
      </c>
      <c r="I151" s="6">
        <f t="shared" si="15"/>
        <v>0</v>
      </c>
      <c r="J151" s="9"/>
      <c r="K151" s="9"/>
      <c r="L151" s="9"/>
      <c r="M151" s="9"/>
      <c r="N151" s="9"/>
      <c r="O151" s="9"/>
      <c r="P151" s="9"/>
      <c r="Q151" s="9"/>
      <c r="R151" s="9"/>
    </row>
    <row r="152" spans="1:26" x14ac:dyDescent="0.3">
      <c r="A152" s="9"/>
      <c r="B152" s="9"/>
      <c r="C152" s="9"/>
      <c r="D152" s="9"/>
      <c r="E152" s="9"/>
      <c r="F152" s="9"/>
      <c r="G152" s="9"/>
      <c r="H152" s="9"/>
      <c r="I152" s="9"/>
      <c r="J152" s="9"/>
      <c r="K152" s="9"/>
      <c r="L152" s="9"/>
      <c r="M152" s="9"/>
      <c r="N152" s="9"/>
      <c r="O152" s="9"/>
      <c r="P152" s="9"/>
      <c r="Q152" s="9"/>
      <c r="R152" s="9"/>
    </row>
    <row r="153" spans="1:26" x14ac:dyDescent="0.3">
      <c r="A153" s="9"/>
      <c r="B153" s="17" t="s">
        <v>1255</v>
      </c>
      <c r="C153" s="9"/>
      <c r="D153" s="95" t="s">
        <v>1994</v>
      </c>
      <c r="E153" s="9"/>
      <c r="F153" s="9"/>
      <c r="G153" s="9"/>
      <c r="H153" s="9"/>
      <c r="I153" s="9"/>
      <c r="J153" s="9"/>
      <c r="K153" s="9"/>
      <c r="L153" s="9"/>
      <c r="M153" s="9"/>
      <c r="N153" s="9"/>
      <c r="O153" s="9"/>
      <c r="P153" s="9"/>
      <c r="Q153" s="9"/>
      <c r="R153" s="9"/>
    </row>
    <row r="154" spans="1:26" s="55" customFormat="1" ht="56" x14ac:dyDescent="0.3">
      <c r="A154" s="35"/>
      <c r="B154" s="3"/>
      <c r="C154" s="10" t="s">
        <v>1729</v>
      </c>
      <c r="D154" s="10" t="s">
        <v>1727</v>
      </c>
      <c r="E154" s="10" t="s">
        <v>1258</v>
      </c>
      <c r="F154" s="10" t="s">
        <v>1259</v>
      </c>
      <c r="G154" s="10" t="s">
        <v>1728</v>
      </c>
      <c r="H154" s="10" t="s">
        <v>1256</v>
      </c>
      <c r="I154" s="10" t="s">
        <v>1257</v>
      </c>
      <c r="J154" s="10" t="s">
        <v>1730</v>
      </c>
      <c r="K154" s="10" t="s">
        <v>1731</v>
      </c>
      <c r="L154" s="10" t="s">
        <v>1732</v>
      </c>
      <c r="M154" s="10" t="s">
        <v>1733</v>
      </c>
      <c r="N154" s="10" t="s">
        <v>1706</v>
      </c>
      <c r="O154" s="10" t="s">
        <v>1211</v>
      </c>
      <c r="P154" s="60"/>
      <c r="Q154" s="60"/>
      <c r="S154" s="35"/>
      <c r="T154" s="35"/>
      <c r="U154" s="35"/>
      <c r="V154" s="35"/>
      <c r="W154" s="35"/>
      <c r="X154" s="35"/>
      <c r="Y154" s="35"/>
      <c r="Z154" s="35"/>
    </row>
    <row r="155" spans="1:26" x14ac:dyDescent="0.3">
      <c r="A155" s="9"/>
      <c r="B155" s="3" t="s">
        <v>1198</v>
      </c>
      <c r="C155" s="23">
        <f>COUNTIF('ZEMIO_Cleaned Data'!FM:FM,"1")</f>
        <v>0</v>
      </c>
      <c r="D155" s="23">
        <f>COUNTIF('ZEMIO_Cleaned Data'!FN:FN,"1")</f>
        <v>2</v>
      </c>
      <c r="E155" s="23">
        <f>COUNTIF('ZEMIO_Cleaned Data'!FO:FO,"1")</f>
        <v>2</v>
      </c>
      <c r="F155" s="23">
        <f>COUNTIF('ZEMIO_Cleaned Data'!FP:FP,"1")</f>
        <v>0</v>
      </c>
      <c r="G155" s="23">
        <f>COUNTIF('ZEMIO_Cleaned Data'!FQ:FQ,"1")</f>
        <v>2</v>
      </c>
      <c r="H155" s="23">
        <f>COUNTIF('ZEMIO_Cleaned Data'!FR:FR,"1")</f>
        <v>1</v>
      </c>
      <c r="I155" s="23">
        <f>COUNTIF('ZEMIO_Cleaned Data'!FS:FS,"1")</f>
        <v>1</v>
      </c>
      <c r="J155" s="23">
        <f>COUNTIF('ZEMIO_Cleaned Data'!FT:FT,"1")</f>
        <v>0</v>
      </c>
      <c r="K155" s="23">
        <f>COUNTIF('ZEMIO_Cleaned Data'!FU:FU,"1")</f>
        <v>0</v>
      </c>
      <c r="L155" s="23">
        <f>COUNTIF('ZEMIO_Cleaned Data'!FV:FV,"1")</f>
        <v>1</v>
      </c>
      <c r="M155" s="23">
        <f>COUNTIF('ZEMIO_Cleaned Data'!FW:FW,"1")</f>
        <v>1</v>
      </c>
      <c r="N155" s="23">
        <f>COUNTIF('ZEMIO_Cleaned Data'!FX:FX,"1")</f>
        <v>0</v>
      </c>
      <c r="O155" s="23">
        <f>COUNTIF('ZEMIO_Cleaned Data'!FY:FY,"1")</f>
        <v>0</v>
      </c>
      <c r="P155" s="9"/>
      <c r="Q155" s="9"/>
      <c r="R155" s="9"/>
    </row>
    <row r="156" spans="1:26" ht="49" x14ac:dyDescent="0.3">
      <c r="A156" s="9"/>
      <c r="B156" s="52" t="s">
        <v>2004</v>
      </c>
      <c r="C156" s="6">
        <f>C155/$B$145</f>
        <v>0</v>
      </c>
      <c r="D156" s="6">
        <f t="shared" ref="D156:O156" si="16">D155/$B$145</f>
        <v>0.33333333333333331</v>
      </c>
      <c r="E156" s="6">
        <f t="shared" si="16"/>
        <v>0.33333333333333331</v>
      </c>
      <c r="F156" s="6">
        <f t="shared" si="16"/>
        <v>0</v>
      </c>
      <c r="G156" s="6">
        <f t="shared" si="16"/>
        <v>0.33333333333333331</v>
      </c>
      <c r="H156" s="6">
        <f t="shared" si="16"/>
        <v>0.16666666666666666</v>
      </c>
      <c r="I156" s="6">
        <f t="shared" si="16"/>
        <v>0.16666666666666666</v>
      </c>
      <c r="J156" s="6">
        <f t="shared" si="16"/>
        <v>0</v>
      </c>
      <c r="K156" s="6">
        <f t="shared" si="16"/>
        <v>0</v>
      </c>
      <c r="L156" s="6">
        <f t="shared" si="16"/>
        <v>0.16666666666666666</v>
      </c>
      <c r="M156" s="6">
        <f t="shared" si="16"/>
        <v>0.16666666666666666</v>
      </c>
      <c r="N156" s="6">
        <f t="shared" si="16"/>
        <v>0</v>
      </c>
      <c r="O156" s="6">
        <f t="shared" si="16"/>
        <v>0</v>
      </c>
      <c r="P156" s="9"/>
      <c r="Q156" s="9"/>
      <c r="R156" s="9"/>
    </row>
    <row r="157" spans="1:26" s="9" customFormat="1" x14ac:dyDescent="0.3">
      <c r="B157" s="14"/>
      <c r="C157" s="14"/>
      <c r="D157" s="14"/>
      <c r="E157" s="14"/>
      <c r="F157" s="14"/>
      <c r="G157" s="14"/>
      <c r="H157" s="14"/>
    </row>
    <row r="158" spans="1:26" x14ac:dyDescent="0.3">
      <c r="A158" s="9"/>
      <c r="B158" s="17" t="s">
        <v>1393</v>
      </c>
      <c r="C158" s="9"/>
      <c r="D158" s="9"/>
      <c r="E158" s="9"/>
      <c r="F158" s="9"/>
      <c r="G158" s="9"/>
      <c r="H158" s="9"/>
      <c r="I158" s="9"/>
      <c r="J158" s="9"/>
      <c r="K158" s="9"/>
      <c r="L158" s="9"/>
      <c r="M158" s="9"/>
      <c r="N158" s="9"/>
      <c r="O158" s="9"/>
      <c r="P158" s="9"/>
      <c r="Q158" s="9"/>
      <c r="R158" s="9"/>
    </row>
    <row r="159" spans="1:26" x14ac:dyDescent="0.3">
      <c r="A159" s="9"/>
      <c r="B159" s="3"/>
      <c r="C159" s="10" t="s">
        <v>1201</v>
      </c>
      <c r="D159" s="10" t="s">
        <v>1200</v>
      </c>
      <c r="E159" s="102" t="s">
        <v>1197</v>
      </c>
      <c r="F159" s="9"/>
      <c r="G159" s="9"/>
      <c r="H159" s="9"/>
      <c r="I159" s="9"/>
      <c r="J159" s="9"/>
      <c r="K159" s="9"/>
      <c r="L159" s="9"/>
      <c r="M159" s="9"/>
      <c r="N159" s="9"/>
      <c r="O159" s="9"/>
      <c r="P159" s="9"/>
      <c r="Q159" s="9"/>
      <c r="R159" s="9"/>
    </row>
    <row r="160" spans="1:26" x14ac:dyDescent="0.3">
      <c r="A160" s="9"/>
      <c r="B160" s="3" t="s">
        <v>1198</v>
      </c>
      <c r="C160" s="23">
        <f>COUNTIF('ZEMIO_Cleaned Data'!GA:GA,"OUI")</f>
        <v>3</v>
      </c>
      <c r="D160" s="23">
        <f>COUNTIF('ZEMIO_Cleaned Data'!GA:GA,"non")</f>
        <v>3</v>
      </c>
      <c r="E160" s="103">
        <f>SUM(C160:D160)</f>
        <v>6</v>
      </c>
      <c r="F160" s="9"/>
      <c r="G160" s="9"/>
      <c r="H160" s="9"/>
      <c r="I160" s="9"/>
      <c r="J160" s="9"/>
      <c r="K160" s="9"/>
      <c r="L160" s="9"/>
      <c r="M160" s="9"/>
      <c r="N160" s="9"/>
      <c r="O160" s="9"/>
      <c r="P160" s="9"/>
      <c r="Q160" s="9"/>
      <c r="R160" s="9"/>
    </row>
    <row r="161" spans="1:18" ht="49" x14ac:dyDescent="0.3">
      <c r="A161" s="9"/>
      <c r="B161" s="52" t="s">
        <v>2004</v>
      </c>
      <c r="C161" s="6">
        <f>(C160/$B$145)</f>
        <v>0.5</v>
      </c>
      <c r="D161" s="6">
        <f>(D160/$B$145)</f>
        <v>0.5</v>
      </c>
      <c r="E161" s="92">
        <f>SUM(C161:D161)</f>
        <v>1</v>
      </c>
      <c r="F161" s="9"/>
      <c r="G161" s="9"/>
      <c r="H161" s="9"/>
      <c r="I161" s="9"/>
      <c r="J161" s="9"/>
      <c r="K161" s="9"/>
      <c r="L161" s="9"/>
      <c r="M161" s="9"/>
      <c r="N161" s="9"/>
      <c r="O161" s="9"/>
      <c r="P161" s="9"/>
      <c r="Q161" s="9"/>
      <c r="R161" s="9"/>
    </row>
    <row r="162" spans="1:18" x14ac:dyDescent="0.3">
      <c r="A162" s="9"/>
      <c r="B162" s="9"/>
      <c r="C162" s="9"/>
      <c r="D162" s="9"/>
      <c r="E162" s="9"/>
      <c r="F162" s="9"/>
      <c r="G162" s="9"/>
      <c r="H162" s="9"/>
      <c r="I162" s="9"/>
      <c r="J162" s="9"/>
      <c r="K162" s="9"/>
      <c r="L162" s="9"/>
      <c r="M162" s="9"/>
      <c r="N162" s="9"/>
      <c r="O162" s="9"/>
      <c r="P162" s="9"/>
      <c r="Q162" s="9"/>
      <c r="R162" s="9"/>
    </row>
    <row r="163" spans="1:18" x14ac:dyDescent="0.3">
      <c r="A163" s="9"/>
      <c r="B163" s="9"/>
      <c r="C163" s="17" t="s">
        <v>1260</v>
      </c>
      <c r="D163" s="9"/>
      <c r="E163" s="95" t="s">
        <v>1994</v>
      </c>
      <c r="F163" s="9"/>
      <c r="G163" s="9"/>
      <c r="H163" s="9"/>
      <c r="I163" s="9"/>
      <c r="J163" s="9"/>
      <c r="K163" s="9"/>
      <c r="L163" s="9"/>
      <c r="M163" s="9"/>
      <c r="N163" s="9"/>
      <c r="O163" s="9"/>
      <c r="P163" s="9"/>
      <c r="Q163" s="9"/>
      <c r="R163" s="9"/>
    </row>
    <row r="164" spans="1:18" x14ac:dyDescent="0.3">
      <c r="A164" s="9"/>
      <c r="B164" s="9"/>
      <c r="C164" s="3"/>
      <c r="D164" s="10" t="s">
        <v>1261</v>
      </c>
      <c r="E164" s="10" t="s">
        <v>1262</v>
      </c>
      <c r="F164" s="10" t="s">
        <v>1263</v>
      </c>
      <c r="G164" s="10" t="s">
        <v>1264</v>
      </c>
      <c r="H164" s="10" t="s">
        <v>1196</v>
      </c>
      <c r="I164" s="9"/>
      <c r="J164" s="9"/>
      <c r="K164" s="9"/>
      <c r="L164" s="9"/>
      <c r="M164" s="9"/>
      <c r="N164" s="9"/>
      <c r="O164" s="9"/>
      <c r="P164" s="9"/>
      <c r="Q164" s="9"/>
      <c r="R164" s="9"/>
    </row>
    <row r="165" spans="1:18" x14ac:dyDescent="0.3">
      <c r="A165" s="9"/>
      <c r="B165" s="9"/>
      <c r="C165" s="3" t="s">
        <v>1198</v>
      </c>
      <c r="D165" s="4">
        <f>COUNTIF('ZEMIO_Cleaned Data'!GC:GC,"1")</f>
        <v>2</v>
      </c>
      <c r="E165" s="4">
        <f>COUNTIF('ZEMIO_Cleaned Data'!GD:GD,"1")</f>
        <v>0</v>
      </c>
      <c r="F165" s="4">
        <f>COUNTIF('ZEMIO_Cleaned Data'!GE:GE,"1")</f>
        <v>2</v>
      </c>
      <c r="G165" s="4">
        <f>COUNTIF('ZEMIO_Cleaned Data'!GF:GF,"1")</f>
        <v>0</v>
      </c>
      <c r="H165" s="4">
        <f>COUNTIF('ZEMIO_Cleaned Data'!GG:GG,"1")</f>
        <v>0</v>
      </c>
      <c r="I165" s="9"/>
      <c r="J165" s="9"/>
      <c r="K165" s="9"/>
      <c r="L165" s="9"/>
      <c r="M165" s="9"/>
      <c r="N165" s="9"/>
      <c r="O165" s="9"/>
      <c r="P165" s="9"/>
      <c r="Q165" s="9"/>
      <c r="R165" s="9"/>
    </row>
    <row r="166" spans="1:18" ht="49" x14ac:dyDescent="0.3">
      <c r="A166" s="9"/>
      <c r="B166" s="9"/>
      <c r="C166" s="52" t="s">
        <v>2005</v>
      </c>
      <c r="D166" s="6">
        <f>D165/$D$160</f>
        <v>0.66666666666666663</v>
      </c>
      <c r="E166" s="6">
        <f t="shared" ref="E166:H166" si="17">E165/$D$160</f>
        <v>0</v>
      </c>
      <c r="F166" s="6">
        <f t="shared" si="17"/>
        <v>0.66666666666666663</v>
      </c>
      <c r="G166" s="6">
        <f t="shared" si="17"/>
        <v>0</v>
      </c>
      <c r="H166" s="6">
        <f t="shared" si="17"/>
        <v>0</v>
      </c>
      <c r="I166" s="9"/>
      <c r="J166" s="9"/>
      <c r="K166" s="9"/>
      <c r="L166" s="9"/>
      <c r="M166" s="9"/>
      <c r="N166" s="9"/>
      <c r="O166" s="9"/>
      <c r="P166" s="9"/>
      <c r="Q166" s="9"/>
      <c r="R166" s="9"/>
    </row>
    <row r="167" spans="1:18" x14ac:dyDescent="0.3">
      <c r="A167" s="9"/>
      <c r="B167" s="9"/>
      <c r="C167" s="9"/>
      <c r="D167" s="9"/>
      <c r="E167" s="9"/>
      <c r="F167" s="9"/>
      <c r="G167" s="9"/>
      <c r="H167" s="9"/>
      <c r="I167" s="9"/>
      <c r="J167" s="9"/>
      <c r="K167" s="9"/>
      <c r="L167" s="9"/>
      <c r="M167" s="9"/>
      <c r="N167" s="9"/>
      <c r="O167" s="9"/>
      <c r="P167" s="9"/>
      <c r="Q167" s="9"/>
      <c r="R167" s="9"/>
    </row>
    <row r="168" spans="1:18" x14ac:dyDescent="0.3">
      <c r="A168" s="9"/>
      <c r="B168" s="9"/>
      <c r="C168" s="9"/>
      <c r="D168" s="9"/>
      <c r="E168" s="9"/>
      <c r="F168" s="9"/>
      <c r="G168" s="9"/>
      <c r="H168" s="9"/>
      <c r="I168" s="9"/>
      <c r="J168" s="9"/>
      <c r="K168" s="9"/>
      <c r="L168" s="9"/>
      <c r="M168" s="9"/>
      <c r="N168" s="9"/>
      <c r="O168" s="9"/>
      <c r="P168" s="9"/>
      <c r="Q168" s="9"/>
      <c r="R168" s="9"/>
    </row>
    <row r="169" spans="1:18" ht="15.5" x14ac:dyDescent="0.35">
      <c r="A169" s="8" t="s">
        <v>1291</v>
      </c>
      <c r="B169" s="9"/>
      <c r="C169" s="95" t="s">
        <v>1994</v>
      </c>
      <c r="D169" s="9"/>
      <c r="E169" s="9"/>
      <c r="F169" s="9"/>
      <c r="G169" s="9"/>
      <c r="H169" s="9"/>
      <c r="I169" s="9"/>
      <c r="J169" s="9"/>
      <c r="K169" s="9"/>
      <c r="L169" s="9"/>
      <c r="M169" s="9"/>
      <c r="N169" s="9"/>
      <c r="O169" s="9"/>
      <c r="P169" s="9"/>
      <c r="Q169" s="9"/>
      <c r="R169" s="9"/>
    </row>
    <row r="170" spans="1:18" x14ac:dyDescent="0.3">
      <c r="A170" s="9"/>
      <c r="B170" s="9"/>
      <c r="C170" s="9"/>
      <c r="D170" s="9"/>
      <c r="E170" s="9"/>
      <c r="F170" s="9"/>
      <c r="G170" s="9"/>
      <c r="H170" s="9"/>
      <c r="I170" s="9"/>
      <c r="J170" s="9"/>
      <c r="K170" s="9"/>
      <c r="L170" s="9"/>
      <c r="M170" s="9"/>
      <c r="N170" s="9"/>
      <c r="O170" s="9"/>
      <c r="P170" s="9"/>
      <c r="Q170" s="9"/>
      <c r="R170" s="9"/>
    </row>
    <row r="171" spans="1:18" ht="42" x14ac:dyDescent="0.3">
      <c r="A171" s="7" t="s">
        <v>1729</v>
      </c>
      <c r="B171" s="7" t="s">
        <v>1727</v>
      </c>
      <c r="C171" s="7" t="s">
        <v>1258</v>
      </c>
      <c r="D171" s="7" t="s">
        <v>1259</v>
      </c>
      <c r="E171" s="7" t="s">
        <v>1728</v>
      </c>
      <c r="F171" s="7" t="s">
        <v>1256</v>
      </c>
      <c r="G171" s="7" t="s">
        <v>1257</v>
      </c>
      <c r="H171" s="7" t="s">
        <v>1730</v>
      </c>
      <c r="I171" s="7" t="s">
        <v>1731</v>
      </c>
      <c r="J171" s="7" t="s">
        <v>1732</v>
      </c>
      <c r="K171" s="7" t="s">
        <v>1733</v>
      </c>
      <c r="L171" s="7" t="s">
        <v>1706</v>
      </c>
      <c r="M171" s="7" t="s">
        <v>1211</v>
      </c>
      <c r="N171" s="9"/>
      <c r="O171" s="9"/>
      <c r="P171" s="9"/>
      <c r="Q171" s="9"/>
      <c r="R171" s="9"/>
    </row>
    <row r="172" spans="1:18" x14ac:dyDescent="0.3">
      <c r="A172" s="23">
        <f>COUNTIF('ZEMIO_Cleaned Data'!GJ:GJ,"1")</f>
        <v>1</v>
      </c>
      <c r="B172" s="23">
        <f>COUNTIF('ZEMIO_Cleaned Data'!GK:GK,"1")</f>
        <v>11</v>
      </c>
      <c r="C172" s="23">
        <f>COUNTIF('ZEMIO_Cleaned Data'!GL:GL,"1")</f>
        <v>9</v>
      </c>
      <c r="D172" s="23">
        <f>COUNTIF('ZEMIO_Cleaned Data'!GM:GM,"1")</f>
        <v>1</v>
      </c>
      <c r="E172" s="23">
        <f>COUNTIF('ZEMIO_Cleaned Data'!GN:GN,"1")</f>
        <v>19</v>
      </c>
      <c r="F172" s="23">
        <f>COUNTIF('ZEMIO_Cleaned Data'!GO:GO,"1")</f>
        <v>4</v>
      </c>
      <c r="G172" s="23">
        <f>COUNTIF('ZEMIO_Cleaned Data'!GP:GP,"1")</f>
        <v>11</v>
      </c>
      <c r="H172" s="23">
        <f>COUNTIF('ZEMIO_Cleaned Data'!GQ:GQ,"1")</f>
        <v>7</v>
      </c>
      <c r="I172" s="23">
        <f>COUNTIF('ZEMIO_Cleaned Data'!GR:GR,"1")</f>
        <v>7</v>
      </c>
      <c r="J172" s="23">
        <f>COUNTIF('ZEMIO_Cleaned Data'!GS:GS,"1")</f>
        <v>1</v>
      </c>
      <c r="K172" s="23">
        <f>COUNTIF('ZEMIO_Cleaned Data'!GT:GT,"1")</f>
        <v>8</v>
      </c>
      <c r="L172" s="23">
        <f>COUNTIF('ZEMIO_Cleaned Data'!GU:GU,"1")</f>
        <v>1</v>
      </c>
      <c r="M172" s="23">
        <f>COUNTIF('ZEMIO_Cleaned Data'!GV:GV,"1")</f>
        <v>0</v>
      </c>
      <c r="N172" s="9"/>
      <c r="O172" s="9"/>
      <c r="P172" s="9"/>
      <c r="Q172" s="9"/>
      <c r="R172" s="9"/>
    </row>
    <row r="173" spans="1:18" x14ac:dyDescent="0.3">
      <c r="A173" s="9"/>
      <c r="B173" s="9"/>
      <c r="C173" s="9"/>
      <c r="D173" s="9"/>
      <c r="E173" s="9"/>
      <c r="F173" s="9"/>
      <c r="G173" s="9"/>
      <c r="H173" s="9"/>
      <c r="I173" s="9"/>
      <c r="J173" s="9"/>
      <c r="K173" s="9"/>
      <c r="L173" s="9"/>
      <c r="M173" s="73"/>
      <c r="N173" s="9"/>
      <c r="O173" s="9"/>
      <c r="P173" s="9"/>
      <c r="Q173" s="9"/>
      <c r="R173" s="9"/>
    </row>
    <row r="174" spans="1:18" x14ac:dyDescent="0.3">
      <c r="A174" s="9"/>
      <c r="B174" s="9"/>
      <c r="C174" s="9"/>
      <c r="D174" s="9"/>
      <c r="E174" s="9"/>
      <c r="F174" s="9"/>
      <c r="G174" s="9"/>
      <c r="H174" s="9"/>
      <c r="I174" s="9"/>
      <c r="J174" s="9"/>
      <c r="K174" s="9"/>
      <c r="L174" s="9"/>
      <c r="M174" s="9"/>
      <c r="N174" s="9"/>
      <c r="O174" s="9"/>
      <c r="P174" s="9"/>
      <c r="Q174" s="9"/>
      <c r="R174" s="9"/>
    </row>
    <row r="175" spans="1:18" x14ac:dyDescent="0.3">
      <c r="A175" s="9"/>
      <c r="B175" s="9"/>
      <c r="C175" s="9"/>
      <c r="D175" s="9"/>
      <c r="E175" s="9"/>
      <c r="F175" s="9"/>
      <c r="G175" s="9"/>
      <c r="H175" s="9"/>
      <c r="I175" s="9"/>
      <c r="J175" s="9"/>
      <c r="K175" s="9"/>
      <c r="L175" s="9"/>
      <c r="M175" s="9"/>
      <c r="N175" s="9"/>
      <c r="O175" s="9"/>
      <c r="P175" s="9"/>
      <c r="Q175" s="9"/>
      <c r="R175" s="9"/>
    </row>
    <row r="176" spans="1:18" x14ac:dyDescent="0.3">
      <c r="A176" s="9"/>
      <c r="B176" s="9"/>
      <c r="C176" s="9"/>
      <c r="D176" s="9"/>
      <c r="E176" s="9"/>
      <c r="F176" s="9"/>
      <c r="G176" s="9"/>
      <c r="H176" s="9"/>
      <c r="I176" s="9"/>
      <c r="J176" s="9"/>
      <c r="K176" s="9"/>
      <c r="L176" s="9"/>
      <c r="M176" s="9"/>
      <c r="N176" s="9"/>
      <c r="O176" s="9"/>
      <c r="P176" s="9"/>
      <c r="Q176" s="9"/>
      <c r="R176" s="9"/>
    </row>
    <row r="177" spans="1:18" x14ac:dyDescent="0.3">
      <c r="A177" s="9"/>
      <c r="B177" s="9"/>
      <c r="C177" s="9"/>
      <c r="D177" s="9"/>
      <c r="E177" s="9"/>
      <c r="F177" s="9"/>
      <c r="G177" s="9"/>
      <c r="H177" s="9"/>
      <c r="I177" s="9"/>
      <c r="J177" s="9"/>
      <c r="K177" s="9"/>
      <c r="L177" s="9"/>
      <c r="M177" s="9"/>
      <c r="N177" s="9"/>
      <c r="O177" s="9"/>
      <c r="P177" s="9"/>
      <c r="Q177" s="9"/>
      <c r="R177" s="9"/>
    </row>
    <row r="178" spans="1:18" x14ac:dyDescent="0.3">
      <c r="A178" s="9"/>
      <c r="B178" s="9"/>
      <c r="C178" s="9"/>
      <c r="D178" s="9"/>
      <c r="E178" s="9"/>
      <c r="F178" s="9"/>
      <c r="G178" s="9"/>
      <c r="H178" s="9"/>
      <c r="I178" s="9"/>
      <c r="J178" s="9"/>
      <c r="K178" s="9"/>
      <c r="L178" s="9"/>
      <c r="M178" s="9"/>
      <c r="N178" s="9"/>
      <c r="O178" s="9"/>
      <c r="P178" s="9"/>
      <c r="Q178" s="9"/>
      <c r="R178" s="9"/>
    </row>
    <row r="179" spans="1:18" x14ac:dyDescent="0.3">
      <c r="A179" s="9"/>
      <c r="B179" s="9"/>
      <c r="C179" s="9"/>
      <c r="D179" s="9"/>
      <c r="E179" s="9"/>
      <c r="F179" s="9"/>
      <c r="G179" s="9"/>
      <c r="H179" s="9"/>
      <c r="I179" s="9"/>
      <c r="J179" s="9"/>
      <c r="K179" s="9"/>
      <c r="L179" s="9"/>
      <c r="M179" s="9"/>
      <c r="N179" s="9"/>
      <c r="O179" s="9"/>
      <c r="P179" s="9"/>
      <c r="Q179" s="9"/>
      <c r="R179" s="9"/>
    </row>
    <row r="180" spans="1:18" x14ac:dyDescent="0.3">
      <c r="A180" s="9"/>
      <c r="B180" s="9"/>
      <c r="C180" s="9"/>
      <c r="D180" s="9"/>
      <c r="E180" s="9"/>
      <c r="F180" s="9"/>
      <c r="G180" s="9"/>
      <c r="H180" s="9"/>
      <c r="I180" s="9"/>
      <c r="J180" s="9"/>
      <c r="K180" s="9"/>
      <c r="L180" s="9"/>
      <c r="M180" s="9"/>
      <c r="N180" s="9"/>
      <c r="O180" s="9"/>
      <c r="P180" s="9"/>
      <c r="Q180" s="9"/>
      <c r="R180" s="9"/>
    </row>
    <row r="181" spans="1:18" x14ac:dyDescent="0.3">
      <c r="A181" s="9"/>
      <c r="B181" s="9"/>
      <c r="C181" s="9"/>
      <c r="D181" s="9"/>
      <c r="E181" s="9"/>
      <c r="F181" s="9"/>
      <c r="G181" s="9"/>
      <c r="H181" s="9"/>
      <c r="I181" s="9"/>
      <c r="J181" s="9"/>
      <c r="K181" s="9"/>
      <c r="L181" s="9"/>
      <c r="M181" s="9"/>
      <c r="N181" s="9"/>
      <c r="O181" s="9"/>
      <c r="P181" s="9"/>
      <c r="Q181" s="9"/>
      <c r="R181" s="9"/>
    </row>
    <row r="182" spans="1:18" x14ac:dyDescent="0.3">
      <c r="A182" s="9"/>
      <c r="B182" s="9"/>
      <c r="C182" s="9"/>
      <c r="D182" s="9"/>
      <c r="E182" s="9"/>
      <c r="F182" s="9"/>
      <c r="G182" s="9"/>
      <c r="H182" s="9"/>
      <c r="I182" s="9"/>
      <c r="J182" s="9"/>
      <c r="K182" s="9"/>
      <c r="L182" s="9"/>
      <c r="M182" s="9"/>
      <c r="N182" s="9"/>
      <c r="O182" s="9"/>
      <c r="P182" s="9"/>
      <c r="Q182" s="9"/>
      <c r="R182" s="9"/>
    </row>
    <row r="183" spans="1:18" x14ac:dyDescent="0.3">
      <c r="A183" s="9"/>
      <c r="B183" s="9"/>
      <c r="C183" s="9"/>
      <c r="D183" s="9"/>
      <c r="E183" s="9"/>
      <c r="F183" s="9"/>
      <c r="G183" s="9"/>
      <c r="H183" s="9"/>
      <c r="I183" s="9"/>
      <c r="J183" s="9"/>
      <c r="K183" s="9"/>
      <c r="L183" s="9"/>
      <c r="M183" s="9"/>
      <c r="N183" s="9"/>
      <c r="O183" s="9"/>
      <c r="P183" s="9"/>
      <c r="Q183" s="9"/>
      <c r="R183" s="9"/>
    </row>
    <row r="184" spans="1:18" x14ac:dyDescent="0.3">
      <c r="A184" s="9"/>
      <c r="B184" s="9"/>
      <c r="C184" s="9"/>
      <c r="D184" s="9"/>
      <c r="E184" s="9"/>
      <c r="F184" s="9"/>
      <c r="G184" s="9"/>
      <c r="H184" s="9"/>
      <c r="I184" s="9"/>
      <c r="J184" s="9"/>
      <c r="K184" s="9"/>
      <c r="L184" s="9"/>
      <c r="M184" s="9"/>
      <c r="N184" s="9"/>
      <c r="O184" s="9"/>
      <c r="P184" s="9"/>
      <c r="Q184" s="9"/>
      <c r="R184" s="9"/>
    </row>
    <row r="185" spans="1:18" x14ac:dyDescent="0.3">
      <c r="A185" s="9"/>
      <c r="B185" s="9"/>
      <c r="C185" s="9"/>
      <c r="D185" s="9"/>
      <c r="E185" s="9"/>
      <c r="F185" s="9"/>
      <c r="G185" s="9"/>
      <c r="H185" s="9"/>
      <c r="I185" s="9"/>
      <c r="J185" s="9"/>
      <c r="K185" s="9"/>
      <c r="L185" s="9"/>
      <c r="M185" s="9"/>
      <c r="N185" s="9"/>
      <c r="O185" s="9"/>
      <c r="P185" s="9"/>
      <c r="Q185" s="9"/>
      <c r="R185" s="9"/>
    </row>
    <row r="186" spans="1:18" x14ac:dyDescent="0.3">
      <c r="A186" s="9"/>
      <c r="B186" s="9"/>
      <c r="C186" s="9"/>
      <c r="D186" s="9"/>
      <c r="E186" s="9"/>
      <c r="F186" s="9"/>
      <c r="G186" s="9"/>
      <c r="H186" s="9"/>
      <c r="I186" s="9"/>
      <c r="J186" s="9"/>
      <c r="K186" s="9"/>
      <c r="L186" s="9"/>
      <c r="M186" s="9"/>
      <c r="N186" s="9"/>
      <c r="O186" s="9"/>
      <c r="P186" s="9"/>
      <c r="Q186" s="9"/>
      <c r="R186" s="9"/>
    </row>
    <row r="187" spans="1:18" x14ac:dyDescent="0.3">
      <c r="A187" s="9"/>
      <c r="B187" s="9"/>
      <c r="C187" s="9"/>
      <c r="D187" s="9"/>
      <c r="E187" s="9"/>
      <c r="F187" s="9"/>
      <c r="G187" s="9"/>
      <c r="H187" s="9"/>
      <c r="I187" s="9"/>
      <c r="J187" s="9"/>
      <c r="K187" s="9"/>
      <c r="L187" s="9"/>
      <c r="M187" s="9"/>
      <c r="N187" s="9"/>
      <c r="O187" s="9"/>
      <c r="P187" s="9"/>
      <c r="Q187" s="9"/>
      <c r="R187" s="9"/>
    </row>
    <row r="188" spans="1:18" x14ac:dyDescent="0.3">
      <c r="A188" s="9"/>
      <c r="B188" s="9"/>
      <c r="C188" s="9"/>
      <c r="D188" s="9"/>
      <c r="E188" s="9"/>
      <c r="F188" s="9"/>
      <c r="G188" s="9"/>
      <c r="H188" s="9"/>
      <c r="I188" s="9"/>
      <c r="J188" s="9"/>
      <c r="K188" s="9"/>
      <c r="L188" s="9"/>
      <c r="M188" s="9"/>
      <c r="N188" s="9"/>
      <c r="O188" s="9"/>
      <c r="P188" s="9"/>
      <c r="Q188" s="9"/>
      <c r="R188" s="9"/>
    </row>
    <row r="189" spans="1:18" x14ac:dyDescent="0.3">
      <c r="A189" s="9"/>
      <c r="B189" s="9"/>
      <c r="C189" s="9"/>
      <c r="D189" s="9"/>
      <c r="E189" s="9"/>
      <c r="F189" s="9"/>
      <c r="G189" s="9"/>
      <c r="H189" s="9"/>
      <c r="I189" s="9"/>
      <c r="J189" s="9"/>
      <c r="K189" s="9"/>
      <c r="L189" s="9"/>
      <c r="M189" s="9"/>
      <c r="N189" s="9"/>
      <c r="O189" s="9"/>
      <c r="P189" s="9"/>
      <c r="Q189" s="9"/>
      <c r="R189" s="9"/>
    </row>
    <row r="190" spans="1:18" x14ac:dyDescent="0.3">
      <c r="A190" s="9"/>
      <c r="B190" s="9"/>
      <c r="C190" s="9"/>
      <c r="D190" s="9"/>
      <c r="E190" s="9"/>
      <c r="F190" s="9"/>
      <c r="G190" s="9"/>
      <c r="H190" s="9"/>
      <c r="I190" s="9"/>
      <c r="J190" s="9"/>
      <c r="K190" s="9"/>
      <c r="L190" s="9"/>
      <c r="M190" s="9"/>
      <c r="N190" s="9"/>
      <c r="O190" s="9"/>
      <c r="P190" s="9"/>
      <c r="Q190" s="9"/>
      <c r="R190" s="9"/>
    </row>
    <row r="191" spans="1:18" x14ac:dyDescent="0.3">
      <c r="A191" s="9"/>
      <c r="B191" s="9"/>
      <c r="C191" s="9"/>
      <c r="D191" s="9"/>
      <c r="E191" s="9"/>
      <c r="F191" s="9"/>
      <c r="G191" s="9"/>
      <c r="H191" s="9"/>
      <c r="I191" s="9"/>
      <c r="J191" s="9"/>
      <c r="K191" s="9"/>
      <c r="L191" s="9"/>
      <c r="M191" s="9"/>
      <c r="N191" s="9"/>
      <c r="O191" s="9"/>
      <c r="P191" s="9"/>
      <c r="Q191" s="9"/>
      <c r="R191" s="9"/>
    </row>
    <row r="192" spans="1:18" x14ac:dyDescent="0.3">
      <c r="A192" s="9"/>
      <c r="B192" s="9"/>
      <c r="C192" s="9"/>
      <c r="D192" s="9"/>
      <c r="E192" s="9"/>
      <c r="F192" s="9"/>
      <c r="G192" s="9"/>
      <c r="H192" s="9"/>
      <c r="I192" s="9"/>
      <c r="J192" s="9"/>
      <c r="K192" s="9"/>
      <c r="L192" s="9"/>
      <c r="M192" s="9"/>
      <c r="N192" s="9"/>
      <c r="O192" s="9"/>
      <c r="P192" s="9"/>
      <c r="Q192" s="9"/>
      <c r="R192" s="9"/>
    </row>
    <row r="193" spans="1:18" x14ac:dyDescent="0.3">
      <c r="A193" s="9"/>
      <c r="B193" s="9"/>
      <c r="C193" s="9"/>
      <c r="D193" s="9"/>
      <c r="E193" s="9"/>
      <c r="F193" s="9"/>
      <c r="G193" s="9"/>
      <c r="H193" s="9"/>
      <c r="I193" s="9"/>
      <c r="J193" s="9"/>
      <c r="K193" s="9"/>
      <c r="L193" s="9"/>
      <c r="M193" s="9"/>
      <c r="N193" s="9"/>
      <c r="O193" s="9"/>
      <c r="P193" s="9"/>
      <c r="Q193" s="9"/>
      <c r="R193" s="9"/>
    </row>
    <row r="194" spans="1:18" x14ac:dyDescent="0.3">
      <c r="A194" s="9"/>
      <c r="B194" s="9"/>
      <c r="C194" s="9"/>
      <c r="D194" s="9"/>
      <c r="E194" s="9"/>
      <c r="F194" s="9"/>
      <c r="G194" s="9"/>
      <c r="H194" s="9"/>
      <c r="I194" s="9"/>
      <c r="J194" s="9"/>
      <c r="K194" s="9"/>
      <c r="L194" s="9"/>
      <c r="M194" s="9"/>
      <c r="N194" s="9"/>
      <c r="O194" s="9"/>
      <c r="P194" s="9"/>
      <c r="Q194" s="9"/>
      <c r="R194" s="9"/>
    </row>
    <row r="195" spans="1:18" x14ac:dyDescent="0.3">
      <c r="A195" s="9"/>
      <c r="B195" s="9"/>
      <c r="C195" s="9"/>
      <c r="D195" s="9"/>
      <c r="E195" s="9"/>
      <c r="F195" s="9"/>
      <c r="G195" s="9"/>
      <c r="H195" s="9"/>
      <c r="I195" s="9"/>
      <c r="J195" s="9"/>
      <c r="K195" s="9"/>
      <c r="L195" s="9"/>
      <c r="M195" s="9"/>
      <c r="N195" s="9"/>
      <c r="O195" s="9"/>
      <c r="P195" s="9"/>
      <c r="Q195" s="9"/>
      <c r="R195" s="9"/>
    </row>
    <row r="196" spans="1:18" x14ac:dyDescent="0.3">
      <c r="A196" s="9"/>
      <c r="B196" s="9"/>
      <c r="C196" s="9"/>
      <c r="D196" s="9"/>
      <c r="E196" s="9"/>
      <c r="F196" s="9"/>
      <c r="G196" s="9"/>
      <c r="H196" s="9"/>
      <c r="I196" s="9"/>
      <c r="J196" s="9"/>
      <c r="K196" s="9"/>
      <c r="L196" s="9"/>
      <c r="M196" s="9"/>
      <c r="N196" s="9"/>
      <c r="O196" s="9"/>
      <c r="P196" s="9"/>
      <c r="Q196" s="9"/>
      <c r="R196" s="9"/>
    </row>
    <row r="197" spans="1:18" x14ac:dyDescent="0.3">
      <c r="A197" s="9"/>
      <c r="B197" s="9"/>
      <c r="C197" s="9"/>
      <c r="D197" s="9"/>
      <c r="E197" s="9"/>
      <c r="F197" s="9"/>
      <c r="G197" s="9"/>
      <c r="H197" s="9"/>
      <c r="I197" s="9"/>
      <c r="J197" s="9"/>
      <c r="K197" s="9"/>
      <c r="L197" s="9"/>
      <c r="M197" s="9"/>
      <c r="N197" s="9"/>
      <c r="O197" s="9"/>
      <c r="P197" s="9"/>
      <c r="Q197" s="9"/>
      <c r="R197" s="9"/>
    </row>
    <row r="198" spans="1:18" x14ac:dyDescent="0.3">
      <c r="A198" s="9"/>
      <c r="B198" s="9"/>
      <c r="C198" s="9"/>
      <c r="D198" s="9"/>
      <c r="E198" s="9"/>
      <c r="F198" s="9"/>
      <c r="G198" s="9"/>
      <c r="H198" s="9"/>
      <c r="I198" s="9"/>
      <c r="J198" s="9"/>
      <c r="K198" s="9"/>
      <c r="L198" s="9"/>
      <c r="M198" s="9"/>
      <c r="N198" s="9"/>
      <c r="O198" s="9"/>
      <c r="P198" s="9"/>
      <c r="Q198" s="9"/>
      <c r="R198" s="9"/>
    </row>
    <row r="199" spans="1:18" x14ac:dyDescent="0.3">
      <c r="A199" s="9"/>
      <c r="B199" s="9"/>
      <c r="C199" s="9"/>
      <c r="D199" s="9"/>
      <c r="E199" s="9"/>
      <c r="F199" s="9"/>
      <c r="G199" s="9"/>
      <c r="H199" s="9"/>
      <c r="I199" s="9"/>
      <c r="J199" s="9"/>
      <c r="K199" s="9"/>
      <c r="L199" s="9"/>
      <c r="M199" s="9"/>
      <c r="N199" s="9"/>
      <c r="O199" s="9"/>
      <c r="P199" s="9"/>
      <c r="Q199" s="9"/>
      <c r="R199" s="9"/>
    </row>
    <row r="200" spans="1:18" x14ac:dyDescent="0.3">
      <c r="A200" s="9"/>
      <c r="B200" s="9"/>
      <c r="C200" s="9"/>
      <c r="D200" s="9"/>
      <c r="E200" s="9"/>
      <c r="F200" s="9"/>
      <c r="G200" s="9"/>
      <c r="H200" s="9"/>
      <c r="I200" s="9"/>
      <c r="J200" s="9"/>
      <c r="K200" s="9"/>
      <c r="L200" s="9"/>
      <c r="M200" s="9"/>
      <c r="N200" s="9"/>
      <c r="O200" s="9"/>
      <c r="P200" s="9"/>
      <c r="Q200" s="9"/>
      <c r="R200" s="9"/>
    </row>
    <row r="201" spans="1:18" x14ac:dyDescent="0.3">
      <c r="A201" s="9"/>
      <c r="B201" s="9"/>
      <c r="C201" s="9"/>
      <c r="D201" s="9"/>
      <c r="E201" s="9"/>
      <c r="F201" s="9"/>
      <c r="G201" s="9"/>
      <c r="H201" s="9"/>
      <c r="I201" s="9"/>
      <c r="J201" s="9"/>
      <c r="K201" s="9"/>
      <c r="L201" s="9"/>
      <c r="M201" s="9"/>
      <c r="N201" s="9"/>
      <c r="O201" s="9"/>
      <c r="P201" s="9"/>
      <c r="Q201" s="9"/>
      <c r="R201" s="9"/>
    </row>
    <row r="202" spans="1:18" x14ac:dyDescent="0.3">
      <c r="A202" s="9"/>
      <c r="B202" s="9"/>
      <c r="C202" s="9"/>
      <c r="D202" s="9"/>
      <c r="E202" s="9"/>
      <c r="F202" s="9"/>
      <c r="G202" s="9"/>
      <c r="H202" s="9"/>
      <c r="I202" s="9"/>
      <c r="J202" s="9"/>
      <c r="K202" s="9"/>
      <c r="L202" s="9"/>
      <c r="M202" s="9"/>
      <c r="N202" s="9"/>
      <c r="O202" s="9"/>
      <c r="P202" s="9"/>
      <c r="Q202" s="9"/>
      <c r="R202" s="9"/>
    </row>
    <row r="203" spans="1:18" x14ac:dyDescent="0.3">
      <c r="A203" s="9"/>
      <c r="B203" s="9"/>
      <c r="C203" s="9"/>
      <c r="D203" s="9"/>
      <c r="E203" s="9"/>
      <c r="F203" s="9"/>
      <c r="G203" s="9"/>
      <c r="H203" s="9"/>
      <c r="I203" s="9"/>
      <c r="J203" s="9"/>
      <c r="K203" s="9"/>
      <c r="L203" s="9"/>
      <c r="M203" s="9"/>
      <c r="N203" s="9"/>
      <c r="O203" s="9"/>
      <c r="P203" s="9"/>
      <c r="Q203" s="9"/>
      <c r="R203" s="9"/>
    </row>
    <row r="204" spans="1:18" x14ac:dyDescent="0.3">
      <c r="A204" s="9"/>
      <c r="B204" s="9"/>
      <c r="C204" s="9"/>
      <c r="D204" s="9"/>
      <c r="E204" s="9"/>
      <c r="F204" s="9"/>
      <c r="G204" s="9"/>
      <c r="H204" s="9"/>
      <c r="I204" s="9"/>
      <c r="J204" s="9"/>
      <c r="K204" s="9"/>
      <c r="L204" s="9"/>
      <c r="M204" s="9"/>
      <c r="N204" s="9"/>
      <c r="O204" s="9"/>
      <c r="P204" s="9"/>
      <c r="Q204" s="9"/>
      <c r="R204" s="9"/>
    </row>
    <row r="205" spans="1:18" x14ac:dyDescent="0.3">
      <c r="A205" s="9"/>
      <c r="B205" s="9"/>
      <c r="C205" s="9"/>
      <c r="D205" s="9"/>
      <c r="E205" s="9"/>
      <c r="F205" s="9"/>
      <c r="G205" s="9"/>
      <c r="H205" s="9"/>
      <c r="I205" s="9"/>
      <c r="J205" s="9"/>
      <c r="K205" s="9"/>
      <c r="L205" s="9"/>
      <c r="M205" s="9"/>
      <c r="N205" s="9"/>
      <c r="O205" s="9"/>
      <c r="P205" s="9"/>
      <c r="Q205" s="9"/>
      <c r="R205" s="9"/>
    </row>
    <row r="206" spans="1:18" x14ac:dyDescent="0.3">
      <c r="A206" s="9"/>
      <c r="B206" s="9"/>
      <c r="C206" s="9"/>
      <c r="D206" s="9"/>
      <c r="E206" s="9"/>
      <c r="F206" s="9"/>
      <c r="G206" s="9"/>
      <c r="H206" s="9"/>
      <c r="I206" s="9"/>
      <c r="J206" s="9"/>
      <c r="K206" s="9"/>
      <c r="L206" s="9"/>
      <c r="M206" s="9"/>
      <c r="N206" s="9"/>
      <c r="O206" s="9"/>
      <c r="P206" s="9"/>
      <c r="Q206" s="9"/>
      <c r="R206" s="9"/>
    </row>
    <row r="207" spans="1:18" x14ac:dyDescent="0.3">
      <c r="A207" s="9"/>
      <c r="B207" s="9"/>
      <c r="C207" s="9"/>
      <c r="D207" s="9"/>
      <c r="E207" s="9"/>
      <c r="F207" s="9"/>
      <c r="G207" s="9"/>
      <c r="H207" s="9"/>
      <c r="I207" s="9"/>
      <c r="J207" s="9"/>
      <c r="K207" s="9"/>
      <c r="L207" s="9"/>
      <c r="M207" s="9"/>
      <c r="N207" s="9"/>
      <c r="O207" s="9"/>
      <c r="P207" s="9"/>
      <c r="Q207" s="9"/>
      <c r="R207" s="9"/>
    </row>
    <row r="208" spans="1:18" x14ac:dyDescent="0.3">
      <c r="A208" s="9"/>
      <c r="B208" s="9"/>
      <c r="C208" s="9"/>
      <c r="D208" s="9"/>
      <c r="E208" s="9"/>
      <c r="F208" s="9"/>
      <c r="G208" s="9"/>
      <c r="H208" s="9"/>
      <c r="I208" s="9"/>
      <c r="J208" s="9"/>
      <c r="K208" s="9"/>
      <c r="L208" s="9"/>
      <c r="M208" s="9"/>
      <c r="N208" s="9"/>
      <c r="O208" s="9"/>
      <c r="P208" s="9"/>
      <c r="Q208" s="9"/>
      <c r="R208" s="9"/>
    </row>
    <row r="209" spans="1:18" x14ac:dyDescent="0.3">
      <c r="A209" s="9"/>
      <c r="B209" s="9"/>
      <c r="C209" s="9"/>
      <c r="D209" s="9"/>
      <c r="E209" s="9"/>
      <c r="F209" s="9"/>
      <c r="G209" s="9"/>
      <c r="H209" s="9"/>
      <c r="I209" s="9"/>
      <c r="J209" s="9"/>
      <c r="K209" s="9"/>
      <c r="L209" s="9"/>
      <c r="M209" s="9"/>
      <c r="N209" s="9"/>
      <c r="O209" s="9"/>
      <c r="P209" s="9"/>
      <c r="Q209" s="9"/>
      <c r="R209" s="9"/>
    </row>
    <row r="210" spans="1:18" x14ac:dyDescent="0.3">
      <c r="A210" s="9"/>
      <c r="B210" s="9"/>
      <c r="C210" s="9"/>
      <c r="D210" s="9"/>
      <c r="E210" s="9"/>
      <c r="F210" s="9"/>
      <c r="G210" s="9"/>
      <c r="H210" s="9"/>
      <c r="I210" s="9"/>
      <c r="J210" s="9"/>
      <c r="K210" s="9"/>
      <c r="L210" s="9"/>
      <c r="M210" s="9"/>
      <c r="N210" s="9"/>
      <c r="O210" s="9"/>
      <c r="P210" s="9"/>
      <c r="Q210" s="9"/>
      <c r="R210" s="9"/>
    </row>
    <row r="211" spans="1:18" x14ac:dyDescent="0.3">
      <c r="A211" s="9"/>
      <c r="B211" s="9"/>
      <c r="C211" s="9"/>
      <c r="D211" s="9"/>
      <c r="E211" s="9"/>
      <c r="F211" s="9"/>
      <c r="G211" s="9"/>
      <c r="H211" s="9"/>
      <c r="I211" s="9"/>
      <c r="J211" s="9"/>
      <c r="K211" s="9"/>
      <c r="L211" s="9"/>
      <c r="M211" s="9"/>
      <c r="N211" s="9"/>
      <c r="O211" s="9"/>
      <c r="P211" s="9"/>
      <c r="Q211" s="9"/>
      <c r="R211" s="9"/>
    </row>
    <row r="212" spans="1:18" x14ac:dyDescent="0.3">
      <c r="A212" s="9"/>
      <c r="B212" s="9"/>
      <c r="C212" s="9"/>
      <c r="D212" s="9"/>
      <c r="E212" s="9"/>
      <c r="F212" s="9"/>
      <c r="G212" s="9"/>
      <c r="H212" s="9"/>
      <c r="I212" s="9"/>
      <c r="J212" s="9"/>
      <c r="K212" s="9"/>
      <c r="L212" s="9"/>
      <c r="M212" s="9"/>
      <c r="N212" s="9"/>
      <c r="O212" s="9"/>
      <c r="P212" s="9"/>
      <c r="Q212" s="9"/>
      <c r="R212" s="9"/>
    </row>
    <row r="213" spans="1:18" x14ac:dyDescent="0.3">
      <c r="A213" s="9"/>
      <c r="B213" s="9"/>
      <c r="C213" s="9"/>
      <c r="D213" s="9"/>
      <c r="E213" s="9"/>
      <c r="F213" s="9"/>
      <c r="G213" s="9"/>
      <c r="H213" s="9"/>
      <c r="I213" s="9"/>
      <c r="J213" s="9"/>
      <c r="K213" s="9"/>
      <c r="L213" s="9"/>
      <c r="M213" s="9"/>
      <c r="N213" s="9"/>
      <c r="O213" s="9"/>
      <c r="P213" s="9"/>
      <c r="Q213" s="9"/>
      <c r="R213" s="9"/>
    </row>
    <row r="214" spans="1:18" x14ac:dyDescent="0.3">
      <c r="A214" s="9"/>
      <c r="B214" s="9"/>
      <c r="C214" s="9"/>
      <c r="D214" s="9"/>
      <c r="E214" s="9"/>
      <c r="F214" s="9"/>
      <c r="G214" s="9"/>
      <c r="H214" s="9"/>
      <c r="I214" s="9"/>
      <c r="J214" s="9"/>
      <c r="K214" s="9"/>
      <c r="L214" s="9"/>
      <c r="M214" s="9"/>
      <c r="N214" s="9"/>
      <c r="O214" s="9"/>
      <c r="P214" s="9"/>
      <c r="Q214" s="9"/>
      <c r="R214" s="9"/>
    </row>
    <row r="215" spans="1:18" x14ac:dyDescent="0.3">
      <c r="A215" s="9"/>
      <c r="B215" s="9"/>
      <c r="C215" s="9"/>
      <c r="D215" s="9"/>
      <c r="E215" s="9"/>
      <c r="F215" s="9"/>
      <c r="G215" s="9"/>
      <c r="H215" s="9"/>
      <c r="I215" s="9"/>
      <c r="J215" s="9"/>
      <c r="K215" s="9"/>
      <c r="L215" s="9"/>
      <c r="M215" s="9"/>
      <c r="N215" s="9"/>
      <c r="O215" s="9"/>
      <c r="P215" s="9"/>
      <c r="Q215" s="9"/>
      <c r="R215" s="9"/>
    </row>
    <row r="216" spans="1:18" x14ac:dyDescent="0.3">
      <c r="A216" s="9"/>
      <c r="B216" s="9"/>
      <c r="C216" s="9"/>
      <c r="D216" s="9"/>
      <c r="E216" s="9"/>
      <c r="F216" s="9"/>
      <c r="G216" s="9"/>
      <c r="H216" s="9"/>
      <c r="I216" s="9"/>
      <c r="J216" s="9"/>
      <c r="K216" s="9"/>
      <c r="L216" s="9"/>
      <c r="M216" s="9"/>
      <c r="N216" s="9"/>
      <c r="O216" s="9"/>
      <c r="P216" s="9"/>
      <c r="Q216" s="9"/>
      <c r="R216" s="9"/>
    </row>
    <row r="217" spans="1:18" x14ac:dyDescent="0.3">
      <c r="A217" s="9"/>
      <c r="B217" s="9"/>
      <c r="C217" s="9"/>
      <c r="D217" s="9"/>
      <c r="E217" s="9"/>
      <c r="F217" s="9"/>
      <c r="G217" s="9"/>
      <c r="H217" s="9"/>
      <c r="I217" s="9"/>
      <c r="J217" s="9"/>
      <c r="K217" s="9"/>
      <c r="L217" s="9"/>
      <c r="M217" s="9"/>
      <c r="N217" s="9"/>
      <c r="O217" s="9"/>
      <c r="P217" s="9"/>
      <c r="Q217" s="9"/>
      <c r="R217" s="9"/>
    </row>
    <row r="218" spans="1:18" x14ac:dyDescent="0.3">
      <c r="A218" s="9"/>
      <c r="B218" s="9"/>
      <c r="C218" s="9"/>
      <c r="D218" s="9"/>
      <c r="E218" s="9"/>
      <c r="F218" s="9"/>
      <c r="G218" s="9"/>
      <c r="H218" s="9"/>
      <c r="I218" s="9"/>
      <c r="J218" s="9"/>
      <c r="K218" s="9"/>
      <c r="L218" s="9"/>
      <c r="M218" s="9"/>
      <c r="N218" s="9"/>
      <c r="O218" s="9"/>
      <c r="P218" s="9"/>
      <c r="Q218" s="9"/>
      <c r="R218" s="9"/>
    </row>
    <row r="219" spans="1:18" x14ac:dyDescent="0.3">
      <c r="A219" s="9"/>
      <c r="B219" s="9"/>
      <c r="C219" s="9"/>
      <c r="D219" s="9"/>
      <c r="E219" s="9"/>
      <c r="F219" s="9"/>
      <c r="G219" s="9"/>
      <c r="H219" s="9"/>
      <c r="I219" s="9"/>
      <c r="J219" s="9"/>
      <c r="K219" s="9"/>
      <c r="L219" s="9"/>
      <c r="M219" s="9"/>
      <c r="N219" s="9"/>
      <c r="O219" s="9"/>
      <c r="P219" s="9"/>
      <c r="Q219" s="9"/>
      <c r="R219" s="9"/>
    </row>
    <row r="220" spans="1:18" x14ac:dyDescent="0.3">
      <c r="A220" s="9"/>
      <c r="B220" s="9"/>
      <c r="C220" s="9"/>
      <c r="D220" s="9"/>
      <c r="E220" s="9"/>
      <c r="F220" s="9"/>
      <c r="G220" s="9"/>
      <c r="H220" s="9"/>
      <c r="I220" s="9"/>
      <c r="J220" s="9"/>
      <c r="K220" s="9"/>
      <c r="L220" s="9"/>
      <c r="M220" s="9"/>
      <c r="N220" s="9"/>
      <c r="O220" s="9"/>
      <c r="P220" s="9"/>
      <c r="Q220" s="9"/>
      <c r="R220" s="9"/>
    </row>
    <row r="221" spans="1:18" x14ac:dyDescent="0.3">
      <c r="A221" s="9"/>
      <c r="B221" s="9"/>
      <c r="C221" s="9"/>
      <c r="D221" s="9"/>
      <c r="E221" s="9"/>
      <c r="F221" s="9"/>
      <c r="G221" s="9"/>
      <c r="H221" s="9"/>
      <c r="I221" s="9"/>
      <c r="J221" s="9"/>
      <c r="K221" s="9"/>
      <c r="L221" s="9"/>
      <c r="M221" s="9"/>
      <c r="N221" s="9"/>
      <c r="O221" s="9"/>
      <c r="P221" s="9"/>
      <c r="Q221" s="9"/>
      <c r="R221" s="9"/>
    </row>
    <row r="222" spans="1:18" x14ac:dyDescent="0.3">
      <c r="A222" s="9"/>
      <c r="B222" s="9"/>
      <c r="C222" s="9"/>
      <c r="D222" s="9"/>
      <c r="E222" s="9"/>
      <c r="F222" s="9"/>
      <c r="G222" s="9"/>
      <c r="H222" s="9"/>
      <c r="I222" s="9"/>
      <c r="J222" s="9"/>
      <c r="K222" s="9"/>
      <c r="L222" s="9"/>
      <c r="M222" s="9"/>
      <c r="N222" s="9"/>
      <c r="O222" s="9"/>
      <c r="P222" s="9"/>
      <c r="Q222" s="9"/>
      <c r="R222" s="9"/>
    </row>
    <row r="223" spans="1:18" x14ac:dyDescent="0.3">
      <c r="A223" s="9"/>
      <c r="B223" s="9"/>
      <c r="C223" s="9"/>
      <c r="D223" s="9"/>
      <c r="E223" s="9"/>
      <c r="F223" s="9"/>
      <c r="G223" s="9"/>
      <c r="H223" s="9"/>
      <c r="I223" s="9"/>
      <c r="J223" s="9"/>
      <c r="K223" s="9"/>
      <c r="L223" s="9"/>
      <c r="M223" s="9"/>
      <c r="N223" s="9"/>
      <c r="O223" s="9"/>
      <c r="P223" s="9"/>
      <c r="Q223" s="9"/>
      <c r="R223" s="9"/>
    </row>
    <row r="224" spans="1:18" x14ac:dyDescent="0.3">
      <c r="A224" s="9"/>
      <c r="B224" s="9"/>
      <c r="C224" s="9"/>
      <c r="D224" s="9"/>
      <c r="E224" s="9"/>
      <c r="F224" s="9"/>
      <c r="G224" s="9"/>
      <c r="H224" s="9"/>
      <c r="I224" s="9"/>
      <c r="J224" s="9"/>
      <c r="K224" s="9"/>
      <c r="L224" s="9"/>
      <c r="M224" s="9"/>
      <c r="N224" s="9"/>
      <c r="O224" s="9"/>
      <c r="P224" s="9"/>
      <c r="Q224" s="9"/>
      <c r="R224" s="9"/>
    </row>
    <row r="225" spans="1:18" x14ac:dyDescent="0.3">
      <c r="A225" s="9"/>
      <c r="B225" s="9"/>
      <c r="C225" s="9"/>
      <c r="D225" s="9"/>
      <c r="E225" s="9"/>
      <c r="F225" s="9"/>
      <c r="G225" s="9"/>
      <c r="H225" s="9"/>
      <c r="I225" s="9"/>
      <c r="J225" s="9"/>
      <c r="K225" s="9"/>
      <c r="L225" s="9"/>
      <c r="M225" s="9"/>
      <c r="N225" s="9"/>
      <c r="O225" s="9"/>
      <c r="P225" s="9"/>
      <c r="Q225" s="9"/>
      <c r="R225" s="9"/>
    </row>
    <row r="226" spans="1:18" x14ac:dyDescent="0.3">
      <c r="A226" s="9"/>
      <c r="B226" s="9"/>
      <c r="C226" s="9"/>
      <c r="D226" s="9"/>
      <c r="E226" s="9"/>
      <c r="F226" s="9"/>
      <c r="G226" s="9"/>
      <c r="H226" s="9"/>
      <c r="I226" s="9"/>
      <c r="J226" s="9"/>
      <c r="K226" s="9"/>
      <c r="L226" s="9"/>
      <c r="M226" s="9"/>
      <c r="N226" s="9"/>
      <c r="O226" s="9"/>
      <c r="P226" s="9"/>
      <c r="Q226" s="9"/>
      <c r="R226" s="9"/>
    </row>
    <row r="227" spans="1:18" x14ac:dyDescent="0.3">
      <c r="A227" s="9"/>
      <c r="B227" s="9"/>
      <c r="C227" s="9"/>
      <c r="D227" s="9"/>
      <c r="E227" s="9"/>
      <c r="F227" s="9"/>
      <c r="G227" s="9"/>
      <c r="H227" s="9"/>
      <c r="I227" s="9"/>
      <c r="J227" s="9"/>
      <c r="K227" s="9"/>
      <c r="L227" s="9"/>
      <c r="M227" s="9"/>
      <c r="N227" s="9"/>
      <c r="O227" s="9"/>
      <c r="P227" s="9"/>
      <c r="Q227" s="9"/>
      <c r="R227" s="9"/>
    </row>
    <row r="228" spans="1:18" x14ac:dyDescent="0.3">
      <c r="K228" s="9"/>
      <c r="L228" s="9"/>
      <c r="M228" s="9"/>
      <c r="N228" s="9"/>
      <c r="O228" s="9"/>
      <c r="P228" s="9"/>
      <c r="Q228" s="9"/>
      <c r="R228" s="9"/>
    </row>
  </sheetData>
  <conditionalFormatting sqref="A137:L137">
    <cfRule type="colorScale" priority="43">
      <colorScale>
        <cfvo type="min"/>
        <cfvo type="max"/>
        <color theme="6" tint="0.79998168889431442"/>
        <color theme="5" tint="0.39997558519241921"/>
      </colorScale>
    </cfRule>
  </conditionalFormatting>
  <conditionalFormatting sqref="A141:L141">
    <cfRule type="colorScale" priority="42">
      <colorScale>
        <cfvo type="min"/>
        <cfvo type="max"/>
        <color theme="6" tint="0.79998168889431442"/>
        <color theme="5" tint="0.39997558519241921"/>
      </colorScale>
    </cfRule>
  </conditionalFormatting>
  <conditionalFormatting sqref="C155:O155">
    <cfRule type="colorScale" priority="40">
      <colorScale>
        <cfvo type="min"/>
        <cfvo type="max"/>
        <color theme="6" tint="0.79998168889431442"/>
        <color theme="5" tint="0.39997558519241921"/>
      </colorScale>
    </cfRule>
  </conditionalFormatting>
  <conditionalFormatting sqref="D165:H165">
    <cfRule type="colorScale" priority="39">
      <colorScale>
        <cfvo type="min"/>
        <cfvo type="max"/>
        <color theme="6" tint="0.79998168889431442"/>
        <color theme="5" tint="0.39997558519241921"/>
      </colorScale>
    </cfRule>
  </conditionalFormatting>
  <conditionalFormatting sqref="A172:M172">
    <cfRule type="colorScale" priority="38">
      <colorScale>
        <cfvo type="min"/>
        <cfvo type="max"/>
        <color theme="6" tint="0.79998168889431442"/>
        <color theme="5" tint="0.39997558519241921"/>
      </colorScale>
    </cfRule>
  </conditionalFormatting>
  <conditionalFormatting sqref="B53:H53 A60:F60 D61:F61">
    <cfRule type="colorScale" priority="37">
      <colorScale>
        <cfvo type="min"/>
        <cfvo type="max"/>
        <color theme="6" tint="0.79998168889431442"/>
        <color theme="5" tint="0.39997558519241921"/>
      </colorScale>
    </cfRule>
  </conditionalFormatting>
  <conditionalFormatting sqref="B68:C68">
    <cfRule type="colorScale" priority="35">
      <colorScale>
        <cfvo type="min"/>
        <cfvo type="max"/>
        <color theme="6" tint="0.79998168889431442"/>
        <color theme="5" tint="0.39997558519241921"/>
      </colorScale>
    </cfRule>
  </conditionalFormatting>
  <conditionalFormatting sqref="C78:J78">
    <cfRule type="colorScale" priority="34">
      <colorScale>
        <cfvo type="min"/>
        <cfvo type="max"/>
        <color theme="6" tint="0.79998168889431442"/>
        <color theme="5" tint="0.39997558519241921"/>
      </colorScale>
    </cfRule>
  </conditionalFormatting>
  <conditionalFormatting sqref="B38:L38">
    <cfRule type="colorScale" priority="33">
      <colorScale>
        <cfvo type="min"/>
        <cfvo type="max"/>
        <color theme="6" tint="0.79998168889431442"/>
        <color theme="5" tint="0.39997558519241921"/>
      </colorScale>
    </cfRule>
  </conditionalFormatting>
  <conditionalFormatting sqref="B13:C13">
    <cfRule type="colorScale" priority="32">
      <colorScale>
        <cfvo type="min"/>
        <cfvo type="max"/>
        <color theme="6" tint="0.79998168889431442"/>
        <color theme="5" tint="0.39997558519241921"/>
      </colorScale>
    </cfRule>
  </conditionalFormatting>
  <conditionalFormatting sqref="B7:G7">
    <cfRule type="colorScale" priority="31">
      <colorScale>
        <cfvo type="min"/>
        <cfvo type="max"/>
        <color theme="6" tint="0.79998168889431442"/>
        <color theme="5" tint="0.39997558519241921"/>
      </colorScale>
    </cfRule>
  </conditionalFormatting>
  <conditionalFormatting sqref="B90:D90">
    <cfRule type="colorScale" priority="30">
      <colorScale>
        <cfvo type="min"/>
        <cfvo type="max"/>
        <color theme="6" tint="0.79998168889431442"/>
        <color theme="5" tint="0.39997558519241921"/>
      </colorScale>
    </cfRule>
  </conditionalFormatting>
  <conditionalFormatting sqref="D13">
    <cfRule type="colorScale" priority="29">
      <colorScale>
        <cfvo type="min"/>
        <cfvo type="max"/>
        <color theme="6" tint="0.79998168889431442"/>
        <color theme="5" tint="0.39997558519241921"/>
      </colorScale>
    </cfRule>
  </conditionalFormatting>
  <conditionalFormatting sqref="D18:F18">
    <cfRule type="colorScale" priority="28">
      <colorScale>
        <cfvo type="min"/>
        <cfvo type="max"/>
        <color theme="6" tint="0.79998168889431442"/>
        <color theme="5" tint="0.39997558519241921"/>
      </colorScale>
    </cfRule>
  </conditionalFormatting>
  <conditionalFormatting sqref="B58:F58">
    <cfRule type="colorScale" priority="27">
      <colorScale>
        <cfvo type="min"/>
        <cfvo type="max"/>
        <color theme="6" tint="0.79998168889431442"/>
        <color theme="5" tint="0.39997558519241921"/>
      </colorScale>
    </cfRule>
  </conditionalFormatting>
  <conditionalFormatting sqref="A44:A45">
    <cfRule type="duplicateValues" dxfId="5" priority="24"/>
  </conditionalFormatting>
  <conditionalFormatting sqref="A52:A53">
    <cfRule type="duplicateValues" dxfId="4" priority="23"/>
  </conditionalFormatting>
  <conditionalFormatting sqref="B45:E45">
    <cfRule type="colorScale" priority="22">
      <colorScale>
        <cfvo type="min"/>
        <cfvo type="max"/>
        <color theme="6" tint="0.79998168889431442"/>
        <color theme="5" tint="0.39997558519241921"/>
      </colorScale>
    </cfRule>
  </conditionalFormatting>
  <conditionalFormatting sqref="C83:I83">
    <cfRule type="colorScale" priority="21">
      <colorScale>
        <cfvo type="min"/>
        <cfvo type="max"/>
        <color theme="6" tint="0.79998168889431442"/>
        <color theme="5" tint="0.39997558519241921"/>
      </colorScale>
    </cfRule>
  </conditionalFormatting>
  <conditionalFormatting sqref="A37:A38">
    <cfRule type="duplicateValues" dxfId="3" priority="20"/>
  </conditionalFormatting>
  <conditionalFormatting sqref="B95:C95">
    <cfRule type="colorScale" priority="19">
      <colorScale>
        <cfvo type="min"/>
        <cfvo type="max"/>
        <color theme="6" tint="0.79998168889431442"/>
        <color theme="5" tint="0.39997558519241921"/>
      </colorScale>
    </cfRule>
  </conditionalFormatting>
  <conditionalFormatting sqref="C103:E103">
    <cfRule type="colorScale" priority="18">
      <colorScale>
        <cfvo type="min"/>
        <cfvo type="max"/>
        <color theme="6" tint="0.79998168889431442"/>
        <color theme="5" tint="0.39997558519241921"/>
      </colorScale>
    </cfRule>
  </conditionalFormatting>
  <conditionalFormatting sqref="C108:F108">
    <cfRule type="colorScale" priority="17">
      <colorScale>
        <cfvo type="min"/>
        <cfvo type="max"/>
        <color theme="6" tint="0.79998168889431442"/>
        <color theme="5" tint="0.39997558519241921"/>
      </colorScale>
    </cfRule>
  </conditionalFormatting>
  <conditionalFormatting sqref="B117:I117">
    <cfRule type="colorScale" priority="16">
      <colorScale>
        <cfvo type="min"/>
        <cfvo type="max"/>
        <color theme="6" tint="0.79998168889431442"/>
        <color theme="5" tint="0.39997558519241921"/>
      </colorScale>
    </cfRule>
  </conditionalFormatting>
  <conditionalFormatting sqref="B122:D122">
    <cfRule type="colorScale" priority="15">
      <colorScale>
        <cfvo type="min"/>
        <cfvo type="max"/>
        <color theme="6" tint="0.79998168889431442"/>
        <color theme="5" tint="0.39997558519241921"/>
      </colorScale>
    </cfRule>
  </conditionalFormatting>
  <conditionalFormatting sqref="B145:C145">
    <cfRule type="colorScale" priority="14">
      <colorScale>
        <cfvo type="min"/>
        <cfvo type="max"/>
        <color theme="6" tint="0.79998168889431442"/>
        <color theme="5" tint="0.39997558519241921"/>
      </colorScale>
    </cfRule>
  </conditionalFormatting>
  <conditionalFormatting sqref="C150:I150">
    <cfRule type="colorScale" priority="13">
      <colorScale>
        <cfvo type="min"/>
        <cfvo type="max"/>
        <color theme="6" tint="0.79998168889431442"/>
        <color theme="5" tint="0.39997558519241921"/>
      </colorScale>
    </cfRule>
  </conditionalFormatting>
  <conditionalFormatting sqref="C160:D160">
    <cfRule type="colorScale" priority="12">
      <colorScale>
        <cfvo type="min"/>
        <cfvo type="max"/>
        <color theme="6" tint="0.79998168889431442"/>
        <color theme="5" tint="0.39997558519241921"/>
      </colorScale>
    </cfRule>
  </conditionalFormatting>
  <conditionalFormatting sqref="D23:H23">
    <cfRule type="colorScale" priority="11">
      <colorScale>
        <cfvo type="min"/>
        <cfvo type="max"/>
        <color theme="6" tint="0.79998168889431442"/>
        <color theme="5" tint="0.39997558519241921"/>
      </colorScale>
    </cfRule>
  </conditionalFormatting>
  <conditionalFormatting sqref="D28:I28">
    <cfRule type="colorScale" priority="10">
      <colorScale>
        <cfvo type="min"/>
        <cfvo type="max"/>
        <color theme="6" tint="0.79998168889431442"/>
        <color theme="5" tint="0.39997558519241921"/>
      </colorScale>
    </cfRule>
  </conditionalFormatting>
  <conditionalFormatting sqref="C73:F73">
    <cfRule type="colorScale" priority="8">
      <colorScale>
        <cfvo type="min"/>
        <cfvo type="max"/>
        <color theme="6" tint="0.79998168889431442"/>
        <color theme="5" tint="0.39997558519241921"/>
      </colorScale>
    </cfRule>
  </conditionalFormatting>
  <conditionalFormatting sqref="D33:H33">
    <cfRule type="colorScale" priority="7">
      <colorScale>
        <cfvo type="min"/>
        <cfvo type="max"/>
        <color theme="6" tint="0.79998168889431442"/>
        <color theme="5" tint="0.39997558519241921"/>
      </colorScale>
    </cfRule>
  </conditionalFormatting>
  <conditionalFormatting sqref="H7">
    <cfRule type="colorScale" priority="6">
      <colorScale>
        <cfvo type="min"/>
        <cfvo type="max"/>
        <color theme="6" tint="0.79998168889431442"/>
        <color theme="5" tint="0.39997558519241921"/>
      </colorScale>
    </cfRule>
  </conditionalFormatting>
  <conditionalFormatting sqref="B63:H63">
    <cfRule type="colorScale" priority="5">
      <colorScale>
        <cfvo type="min"/>
        <cfvo type="max"/>
        <color theme="6" tint="0.79998168889431442"/>
        <color theme="5" tint="0.39997558519241921"/>
      </colorScale>
    </cfRule>
  </conditionalFormatting>
  <conditionalFormatting sqref="B132:F132">
    <cfRule type="colorScale" priority="4">
      <colorScale>
        <cfvo type="min"/>
        <cfvo type="max"/>
        <color theme="6" tint="0.79998168889431442"/>
        <color theme="5" tint="0.39997558519241921"/>
      </colorScale>
    </cfRule>
  </conditionalFormatting>
  <conditionalFormatting sqref="C127:G127">
    <cfRule type="colorScale" priority="1">
      <colorScale>
        <cfvo type="min"/>
        <cfvo type="max"/>
        <color theme="6" tint="0.79998168889431442"/>
        <color theme="5" tint="0.39997558519241921"/>
      </colorScale>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2:Z304"/>
  <sheetViews>
    <sheetView topLeftCell="A163" zoomScale="80" zoomScaleNormal="80" workbookViewId="0">
      <selection activeCell="F175" sqref="F175"/>
    </sheetView>
  </sheetViews>
  <sheetFormatPr defaultColWidth="8.81640625" defaultRowHeight="14" x14ac:dyDescent="0.3"/>
  <cols>
    <col min="1" max="1" width="10.6328125" style="9" customWidth="1"/>
    <col min="2" max="2" width="16.453125" style="9" customWidth="1"/>
    <col min="3" max="3" width="12.90625" style="9" customWidth="1"/>
    <col min="4" max="4" width="12.36328125" style="9" customWidth="1"/>
    <col min="5" max="5" width="12.6328125" style="9" customWidth="1"/>
    <col min="6" max="7" width="13.81640625" style="9" customWidth="1"/>
    <col min="8" max="8" width="14.1796875" style="9" customWidth="1"/>
    <col min="9" max="9" width="11.7265625" style="9" customWidth="1"/>
    <col min="10" max="10" width="12.453125" style="9" customWidth="1"/>
    <col min="11" max="11" width="12.36328125" style="9" customWidth="1"/>
    <col min="12" max="16384" width="8.81640625" style="9"/>
  </cols>
  <sheetData>
    <row r="2" spans="1:13" ht="15.5" x14ac:dyDescent="0.35">
      <c r="A2" s="8" t="s">
        <v>1284</v>
      </c>
    </row>
    <row r="3" spans="1:13" ht="15.5" x14ac:dyDescent="0.35">
      <c r="A3" s="28" t="s">
        <v>1395</v>
      </c>
      <c r="B3" s="81"/>
      <c r="C3" s="82" t="str">
        <f>IF(COUNTIF('ZEMIO_Cleaned Data'!OK:OK,"hopital_district")=1,"OUI","NON")</f>
        <v>NON</v>
      </c>
    </row>
    <row r="4" spans="1:13" ht="34" customHeight="1" x14ac:dyDescent="0.3">
      <c r="A4" s="176" t="s">
        <v>2046</v>
      </c>
      <c r="B4" s="176"/>
      <c r="C4" s="72">
        <f>COUNTIFS('ZEMIO_Cleaned Data'!N:N,"sante",'ZEMIO_Cleaned Data'!J:J,"Zemio")</f>
        <v>2</v>
      </c>
    </row>
    <row r="6" spans="1:13" ht="15.5" x14ac:dyDescent="0.35">
      <c r="A6" s="8" t="s">
        <v>1275</v>
      </c>
    </row>
    <row r="7" spans="1:13" ht="15.5" x14ac:dyDescent="0.35">
      <c r="A7" s="28" t="s">
        <v>2024</v>
      </c>
    </row>
    <row r="8" spans="1:13" ht="42" x14ac:dyDescent="0.3">
      <c r="A8" s="3"/>
      <c r="B8" s="7" t="s">
        <v>1201</v>
      </c>
      <c r="C8" s="7" t="s">
        <v>1200</v>
      </c>
      <c r="D8" s="7" t="s">
        <v>1398</v>
      </c>
      <c r="E8" s="115" t="s">
        <v>2025</v>
      </c>
    </row>
    <row r="9" spans="1:13" x14ac:dyDescent="0.3">
      <c r="A9" s="3" t="s">
        <v>1198</v>
      </c>
      <c r="B9" s="23">
        <f>COUNTIF('ZEMIO_Cleaned Data'!ON:ON,"oui")</f>
        <v>2</v>
      </c>
      <c r="C9" s="23">
        <f>COUNTIF('ZEMIO_Cleaned Data'!ON:ON,"non")</f>
        <v>0</v>
      </c>
      <c r="D9" s="23">
        <f>COUNTIF('ZEMIO_Cleaned Data'!ON:ON,"partiel")</f>
        <v>0</v>
      </c>
      <c r="E9" s="51">
        <f>SUM(B9+D9)</f>
        <v>2</v>
      </c>
    </row>
    <row r="10" spans="1:13" ht="37.5" x14ac:dyDescent="0.3">
      <c r="A10" s="52" t="s">
        <v>2021</v>
      </c>
      <c r="B10" s="6">
        <f>(B9/$C$4)</f>
        <v>1</v>
      </c>
      <c r="C10" s="6">
        <f>(C9/$C$4)</f>
        <v>0</v>
      </c>
      <c r="D10" s="6">
        <f>(D9/$C$4)</f>
        <v>0</v>
      </c>
      <c r="E10" s="105">
        <f>SUM(B10+D10)</f>
        <v>1</v>
      </c>
    </row>
    <row r="11" spans="1:13" x14ac:dyDescent="0.3">
      <c r="A11" s="13"/>
      <c r="B11" s="14"/>
      <c r="C11" s="14"/>
      <c r="D11" s="14"/>
    </row>
    <row r="12" spans="1:13" x14ac:dyDescent="0.3">
      <c r="B12" s="17" t="s">
        <v>1753</v>
      </c>
      <c r="D12" s="95" t="s">
        <v>1994</v>
      </c>
    </row>
    <row r="13" spans="1:13" s="35" customFormat="1" ht="77.5" customHeight="1" x14ac:dyDescent="0.3">
      <c r="B13" s="3"/>
      <c r="C13" s="5" t="s">
        <v>1821</v>
      </c>
      <c r="D13" s="5" t="s">
        <v>1739</v>
      </c>
      <c r="E13" s="5" t="s">
        <v>1822</v>
      </c>
      <c r="F13" s="5" t="s">
        <v>1740</v>
      </c>
      <c r="G13" s="5" t="s">
        <v>1741</v>
      </c>
      <c r="H13" s="5" t="s">
        <v>1823</v>
      </c>
      <c r="I13" s="5" t="s">
        <v>1824</v>
      </c>
      <c r="J13" s="5" t="s">
        <v>1743</v>
      </c>
      <c r="K13" s="5" t="s">
        <v>1744</v>
      </c>
      <c r="L13" s="5" t="s">
        <v>1706</v>
      </c>
      <c r="M13" s="5" t="s">
        <v>1211</v>
      </c>
    </row>
    <row r="14" spans="1:13" x14ac:dyDescent="0.3">
      <c r="B14" s="3" t="s">
        <v>1198</v>
      </c>
      <c r="C14" s="3">
        <f>COUNTIF('ZEMIO_Cleaned Data'!OS:OS,"1")</f>
        <v>0</v>
      </c>
      <c r="D14" s="3">
        <f>COUNTIF('ZEMIO_Cleaned Data'!OT:OT,"1")</f>
        <v>0</v>
      </c>
      <c r="E14" s="3">
        <f>COUNTIF('ZEMIO_Cleaned Data'!PE:PE,"1")</f>
        <v>0</v>
      </c>
      <c r="F14" s="3">
        <f>COUNTIF('ZEMIO_Cleaned Data'!PF:PF,"1")</f>
        <v>0</v>
      </c>
      <c r="G14" s="3">
        <f>COUNTIF('ZEMIO_Cleaned Data'!PG:PG,"1")</f>
        <v>0</v>
      </c>
      <c r="H14" s="3">
        <f>COUNTIF('ZEMIO_Cleaned Data'!OW:OW,"1")</f>
        <v>0</v>
      </c>
      <c r="I14" s="3">
        <f>COUNTIF('ZEMIO_Cleaned Data'!PH:PH,"1")</f>
        <v>0</v>
      </c>
      <c r="J14" s="3">
        <f>COUNTIF('ZEMIO_Cleaned Data'!PB:PB,"1")</f>
        <v>0</v>
      </c>
      <c r="K14" s="3">
        <f>COUNTIF('ZEMIO_Cleaned Data'!PI:PI,"1")</f>
        <v>0</v>
      </c>
      <c r="L14" s="3">
        <f>COUNTIF('ZEMIO_Cleaned Data'!PC:PC,"1")</f>
        <v>0</v>
      </c>
      <c r="M14" s="3">
        <f>COUNTIF('ZEMIO_Cleaned Data'!PD:PD,"1")</f>
        <v>0</v>
      </c>
    </row>
    <row r="15" spans="1:13" ht="37.5" x14ac:dyDescent="0.3">
      <c r="B15" s="52" t="s">
        <v>2022</v>
      </c>
      <c r="C15" s="6" t="e">
        <f>C14/$C$9</f>
        <v>#DIV/0!</v>
      </c>
      <c r="D15" s="6" t="e">
        <f t="shared" ref="D15:M15" si="0">D14/$C$9</f>
        <v>#DIV/0!</v>
      </c>
      <c r="E15" s="6" t="e">
        <f t="shared" si="0"/>
        <v>#DIV/0!</v>
      </c>
      <c r="F15" s="6" t="e">
        <f t="shared" si="0"/>
        <v>#DIV/0!</v>
      </c>
      <c r="G15" s="6" t="e">
        <f t="shared" si="0"/>
        <v>#DIV/0!</v>
      </c>
      <c r="H15" s="6" t="e">
        <f t="shared" si="0"/>
        <v>#DIV/0!</v>
      </c>
      <c r="I15" s="6" t="e">
        <f t="shared" si="0"/>
        <v>#DIV/0!</v>
      </c>
      <c r="J15" s="6" t="e">
        <f t="shared" si="0"/>
        <v>#DIV/0!</v>
      </c>
      <c r="K15" s="6" t="e">
        <f t="shared" si="0"/>
        <v>#DIV/0!</v>
      </c>
      <c r="L15" s="6" t="e">
        <f t="shared" si="0"/>
        <v>#DIV/0!</v>
      </c>
      <c r="M15" s="6" t="e">
        <f t="shared" si="0"/>
        <v>#DIV/0!</v>
      </c>
    </row>
    <row r="17" spans="1:26" s="1" customFormat="1" x14ac:dyDescent="0.3">
      <c r="A17" s="9"/>
      <c r="B17" s="16" t="s">
        <v>1752</v>
      </c>
      <c r="C17" s="13"/>
      <c r="D17" s="9"/>
      <c r="E17" s="9"/>
      <c r="F17" s="9"/>
      <c r="G17" s="9"/>
      <c r="I17" s="9"/>
      <c r="J17" s="9"/>
      <c r="K17" s="73"/>
      <c r="L17" s="9"/>
      <c r="M17" s="9"/>
      <c r="N17" s="9"/>
      <c r="O17" s="9"/>
      <c r="P17" s="9"/>
      <c r="Q17" s="9"/>
      <c r="R17" s="9"/>
      <c r="S17" s="9"/>
      <c r="T17" s="9"/>
      <c r="U17" s="9"/>
      <c r="V17" s="9"/>
      <c r="W17" s="9"/>
      <c r="X17" s="9"/>
      <c r="Y17" s="9"/>
      <c r="Z17" s="9"/>
    </row>
    <row r="18" spans="1:26" s="1" customFormat="1" ht="28" x14ac:dyDescent="0.3">
      <c r="A18" s="9"/>
      <c r="B18" s="3"/>
      <c r="C18" s="5" t="s">
        <v>1663</v>
      </c>
      <c r="D18" s="5" t="s">
        <v>1664</v>
      </c>
      <c r="E18" s="5" t="s">
        <v>1665</v>
      </c>
      <c r="F18" s="5" t="s">
        <v>1666</v>
      </c>
      <c r="G18" s="5" t="s">
        <v>1706</v>
      </c>
      <c r="H18" s="102" t="s">
        <v>1197</v>
      </c>
      <c r="I18" s="9"/>
      <c r="J18" s="9"/>
      <c r="K18" s="9"/>
      <c r="L18" s="9"/>
      <c r="M18" s="9"/>
      <c r="N18" s="9"/>
      <c r="O18" s="9"/>
      <c r="P18" s="9"/>
      <c r="Q18" s="9"/>
      <c r="R18" s="9"/>
      <c r="S18" s="9"/>
      <c r="T18" s="9"/>
      <c r="U18" s="9"/>
      <c r="V18" s="9"/>
      <c r="W18" s="9"/>
      <c r="X18" s="9"/>
      <c r="Y18" s="9"/>
      <c r="Z18" s="9"/>
    </row>
    <row r="19" spans="1:26" s="1" customFormat="1" ht="14.5" customHeight="1" x14ac:dyDescent="0.3">
      <c r="A19" s="9"/>
      <c r="B19" s="3" t="s">
        <v>1198</v>
      </c>
      <c r="C19" s="3">
        <f>COUNTIF('ZEMIO_Cleaned Data'!PK:PK,"moins_six_mois")</f>
        <v>0</v>
      </c>
      <c r="D19" s="3">
        <f>COUNTIF('ZEMIO_Cleaned Data'!PK:PK,"six_mois_un_an ")</f>
        <v>0</v>
      </c>
      <c r="E19" s="3">
        <f>COUNTIF('ZEMIO_Cleaned Data'!PK:PK,"un_an_trois_ans")</f>
        <v>0</v>
      </c>
      <c r="F19" s="3">
        <f>COUNTIF('ZEMIO_Cleaned Data'!PK:PK,"plus_trois_ans")</f>
        <v>0</v>
      </c>
      <c r="G19" s="3">
        <f>COUNTIF('ZEMIO_Cleaned Data'!PK:PK,"nsp")</f>
        <v>0</v>
      </c>
      <c r="H19" s="103">
        <f>SUM(C19:G19)</f>
        <v>0</v>
      </c>
      <c r="I19" s="9"/>
      <c r="J19" s="9"/>
      <c r="K19" s="9"/>
      <c r="L19" s="9"/>
      <c r="M19" s="9"/>
      <c r="N19" s="9"/>
      <c r="O19" s="9"/>
      <c r="P19" s="9"/>
      <c r="Q19" s="9"/>
      <c r="R19" s="9"/>
      <c r="S19" s="9"/>
      <c r="T19" s="9"/>
      <c r="U19" s="9"/>
      <c r="V19" s="9"/>
      <c r="W19" s="9"/>
      <c r="X19" s="9"/>
      <c r="Y19" s="9"/>
      <c r="Z19" s="9"/>
    </row>
    <row r="20" spans="1:26" ht="37.5" x14ac:dyDescent="0.3">
      <c r="B20" s="52" t="s">
        <v>2022</v>
      </c>
      <c r="C20" s="6" t="e">
        <f>C19/$C$23</f>
        <v>#VALUE!</v>
      </c>
      <c r="D20" s="6" t="e">
        <f>D19/$C$23</f>
        <v>#VALUE!</v>
      </c>
      <c r="E20" s="6" t="e">
        <f>E19/$C$23</f>
        <v>#VALUE!</v>
      </c>
      <c r="F20" s="6" t="e">
        <f>F19/$C$23</f>
        <v>#VALUE!</v>
      </c>
      <c r="G20" s="6" t="e">
        <f>G19/$C$23</f>
        <v>#VALUE!</v>
      </c>
      <c r="H20" s="107" t="e">
        <f>SUM(C20:G20)</f>
        <v>#VALUE!</v>
      </c>
    </row>
    <row r="21" spans="1:26" x14ac:dyDescent="0.3">
      <c r="A21" s="13"/>
      <c r="B21" s="14"/>
      <c r="C21" s="14"/>
      <c r="D21" s="14"/>
      <c r="E21" s="25"/>
    </row>
    <row r="22" spans="1:26" x14ac:dyDescent="0.3">
      <c r="B22" s="17" t="s">
        <v>1754</v>
      </c>
      <c r="E22" s="95" t="s">
        <v>1994</v>
      </c>
    </row>
    <row r="23" spans="1:26" ht="77.5" customHeight="1" x14ac:dyDescent="0.3">
      <c r="B23" s="23"/>
      <c r="C23" s="5" t="s">
        <v>1745</v>
      </c>
      <c r="D23" s="5" t="s">
        <v>1825</v>
      </c>
      <c r="E23" s="5" t="s">
        <v>1826</v>
      </c>
      <c r="F23" s="5" t="s">
        <v>1827</v>
      </c>
      <c r="G23" s="5" t="s">
        <v>1828</v>
      </c>
      <c r="H23" s="5" t="s">
        <v>1829</v>
      </c>
      <c r="I23" s="5" t="s">
        <v>1830</v>
      </c>
      <c r="J23" s="5" t="s">
        <v>1831</v>
      </c>
      <c r="K23" s="5" t="s">
        <v>1706</v>
      </c>
      <c r="L23" s="5" t="s">
        <v>1211</v>
      </c>
    </row>
    <row r="24" spans="1:26" x14ac:dyDescent="0.3">
      <c r="B24" s="23" t="s">
        <v>1198</v>
      </c>
      <c r="C24" s="23">
        <f>COUNTIF('ZEMIO_Cleaned Data'!OO:OO,"infra_endommagee")</f>
        <v>0</v>
      </c>
      <c r="D24" s="23">
        <f>COUNTIF('ZEMIO_Cleaned Data'!OO:OO,"manque_mobilier")</f>
        <v>0</v>
      </c>
      <c r="E24" s="23">
        <f>COUNTIF('ZEMIO_Cleaned Data'!OO:OO,"faibles_capacites_accueil")</f>
        <v>0</v>
      </c>
      <c r="F24" s="23">
        <f>COUNTIF('ZEMIO_Cleaned Data'!OO:OO,"pbs_appro_eau_elec")</f>
        <v>0</v>
      </c>
      <c r="G24" s="23">
        <f>COUNTIF('ZEMIO_Cleaned Data'!OO:OO,"pbs_fin_fonctionnement ")</f>
        <v>0</v>
      </c>
      <c r="H24" s="23">
        <f>COUNTIF('ZEMIO_Cleaned Data'!OO:OO,"pbs_fin_fonctionnement_maintenance")</f>
        <v>0</v>
      </c>
      <c r="I24" s="23">
        <f>COUNTIF('ZEMIO_Cleaned Data'!OO:OO,"pbs_appro_medicaments")</f>
        <v>0</v>
      </c>
      <c r="J24" s="23">
        <f>COUNTIF('ZEMIO_Cleaned Data'!OO:OO,"pbs_personnels_qualifies")</f>
        <v>0</v>
      </c>
      <c r="K24" s="23">
        <f>COUNTIF('ZEMIO_Cleaned Data'!OO:OO,"nsp")</f>
        <v>0</v>
      </c>
      <c r="L24" s="23">
        <f>COUNTIF('ZEMIO_Cleaned Data'!OO:OO,"autre")</f>
        <v>0</v>
      </c>
    </row>
    <row r="25" spans="1:26" x14ac:dyDescent="0.3">
      <c r="B25" s="23" t="s">
        <v>1199</v>
      </c>
      <c r="C25" s="38" t="e">
        <f>C24/$D$23</f>
        <v>#VALUE!</v>
      </c>
      <c r="D25" s="38" t="e">
        <f t="shared" ref="D25:L25" si="1">D24/$D$23</f>
        <v>#VALUE!</v>
      </c>
      <c r="E25" s="38" t="e">
        <f t="shared" si="1"/>
        <v>#VALUE!</v>
      </c>
      <c r="F25" s="38" t="e">
        <f t="shared" si="1"/>
        <v>#VALUE!</v>
      </c>
      <c r="G25" s="38" t="e">
        <f t="shared" si="1"/>
        <v>#VALUE!</v>
      </c>
      <c r="H25" s="38" t="e">
        <f t="shared" si="1"/>
        <v>#VALUE!</v>
      </c>
      <c r="I25" s="38" t="e">
        <f t="shared" si="1"/>
        <v>#VALUE!</v>
      </c>
      <c r="J25" s="38" t="e">
        <f t="shared" si="1"/>
        <v>#VALUE!</v>
      </c>
      <c r="K25" s="38" t="e">
        <f t="shared" si="1"/>
        <v>#VALUE!</v>
      </c>
      <c r="L25" s="38" t="e">
        <f t="shared" si="1"/>
        <v>#VALUE!</v>
      </c>
    </row>
    <row r="26" spans="1:26" x14ac:dyDescent="0.3">
      <c r="B26" s="13"/>
    </row>
    <row r="27" spans="1:26" s="1" customFormat="1" x14ac:dyDescent="0.3">
      <c r="A27" s="9"/>
      <c r="B27" s="16" t="s">
        <v>1751</v>
      </c>
      <c r="D27" s="13"/>
      <c r="E27" s="9"/>
      <c r="F27" s="9"/>
      <c r="G27" s="9"/>
      <c r="H27" s="9"/>
      <c r="I27" s="9"/>
      <c r="J27" s="9"/>
      <c r="K27" s="9"/>
      <c r="L27" s="9"/>
      <c r="M27" s="9"/>
      <c r="N27" s="9"/>
      <c r="O27" s="9"/>
      <c r="P27" s="9"/>
      <c r="Q27" s="9"/>
      <c r="R27" s="9"/>
      <c r="S27" s="9"/>
      <c r="T27" s="9"/>
      <c r="U27" s="9"/>
      <c r="V27" s="9"/>
      <c r="W27" s="9"/>
      <c r="X27" s="9"/>
      <c r="Y27" s="9"/>
      <c r="Z27" s="9"/>
    </row>
    <row r="28" spans="1:26" s="1" customFormat="1" ht="28" x14ac:dyDescent="0.3">
      <c r="A28" s="9"/>
      <c r="B28" s="3"/>
      <c r="C28" s="5" t="s">
        <v>1663</v>
      </c>
      <c r="D28" s="5" t="s">
        <v>1664</v>
      </c>
      <c r="E28" s="5" t="s">
        <v>1665</v>
      </c>
      <c r="F28" s="5" t="s">
        <v>1666</v>
      </c>
      <c r="G28" s="5" t="s">
        <v>1706</v>
      </c>
      <c r="H28" s="102" t="s">
        <v>1197</v>
      </c>
      <c r="I28" s="9"/>
      <c r="J28" s="9"/>
      <c r="K28" s="9"/>
      <c r="L28" s="9"/>
      <c r="M28" s="9"/>
      <c r="N28" s="9"/>
      <c r="O28" s="9"/>
      <c r="P28" s="9"/>
      <c r="Q28" s="9"/>
      <c r="R28" s="9"/>
      <c r="S28" s="9"/>
      <c r="T28" s="9"/>
      <c r="U28" s="9"/>
      <c r="V28" s="9"/>
      <c r="W28" s="9"/>
      <c r="X28" s="9"/>
      <c r="Y28" s="9"/>
      <c r="Z28" s="9"/>
    </row>
    <row r="29" spans="1:26" s="1" customFormat="1" x14ac:dyDescent="0.3">
      <c r="A29" s="9"/>
      <c r="B29" s="3" t="s">
        <v>1198</v>
      </c>
      <c r="C29" s="3">
        <f>COUNTIF('ZEMIO_Cleaned Data'!OQ:OQ,"moins_six_mois")</f>
        <v>0</v>
      </c>
      <c r="D29" s="3">
        <f>COUNTIF('ZEMIO_Cleaned Data'!OQ:OQ,"six_mois_un_an ")</f>
        <v>0</v>
      </c>
      <c r="E29" s="3">
        <f>COUNTIF('ZEMIO_Cleaned Data'!OQ:OQ,"un_an_trois_ans")</f>
        <v>0</v>
      </c>
      <c r="F29" s="3">
        <f>COUNTIF('ZEMIO_Cleaned Data'!OQ:OQ,"plus_trois_ans")</f>
        <v>0</v>
      </c>
      <c r="G29" s="3">
        <f>COUNTIF('ZEMIO_Cleaned Data'!OQ:OQ,"nsp")</f>
        <v>0</v>
      </c>
      <c r="H29" s="103">
        <f>SUM(C29:G29)</f>
        <v>0</v>
      </c>
      <c r="I29" s="9"/>
      <c r="J29" s="9"/>
      <c r="K29" s="9"/>
      <c r="L29" s="9"/>
      <c r="M29" s="9"/>
      <c r="N29" s="9"/>
      <c r="O29" s="9"/>
      <c r="P29" s="9"/>
      <c r="Q29" s="9"/>
      <c r="R29" s="9"/>
      <c r="S29" s="9"/>
      <c r="T29" s="9"/>
      <c r="U29" s="9"/>
      <c r="V29" s="9"/>
      <c r="W29" s="9"/>
      <c r="X29" s="9"/>
      <c r="Y29" s="9"/>
      <c r="Z29" s="9"/>
    </row>
    <row r="30" spans="1:26" s="1" customFormat="1" ht="14.5" customHeight="1" x14ac:dyDescent="0.3">
      <c r="A30" s="9"/>
      <c r="B30" s="3" t="s">
        <v>1199</v>
      </c>
      <c r="C30" s="6" t="e">
        <f>C29/$D$9</f>
        <v>#DIV/0!</v>
      </c>
      <c r="D30" s="6" t="e">
        <f t="shared" ref="D30:G30" si="2">D29/$D$9</f>
        <v>#DIV/0!</v>
      </c>
      <c r="E30" s="6" t="e">
        <f t="shared" si="2"/>
        <v>#DIV/0!</v>
      </c>
      <c r="F30" s="6" t="e">
        <f t="shared" si="2"/>
        <v>#DIV/0!</v>
      </c>
      <c r="G30" s="6" t="e">
        <f t="shared" si="2"/>
        <v>#DIV/0!</v>
      </c>
      <c r="H30" s="107" t="e">
        <f>SUM(C30:G30)</f>
        <v>#DIV/0!</v>
      </c>
      <c r="I30" s="9"/>
      <c r="J30" s="9"/>
      <c r="K30" s="9"/>
      <c r="L30" s="9"/>
      <c r="M30" s="9"/>
      <c r="N30" s="9"/>
      <c r="O30" s="9"/>
      <c r="P30" s="9"/>
      <c r="Q30" s="9"/>
      <c r="R30" s="9"/>
      <c r="S30" s="9"/>
      <c r="T30" s="9"/>
      <c r="U30" s="9"/>
      <c r="V30" s="9"/>
      <c r="W30" s="9"/>
      <c r="X30" s="9"/>
      <c r="Y30" s="9"/>
      <c r="Z30" s="9"/>
    </row>
    <row r="31" spans="1:26" ht="14.5" customHeight="1" x14ac:dyDescent="0.3">
      <c r="B31" s="13"/>
      <c r="C31" s="14"/>
      <c r="D31" s="14"/>
      <c r="E31" s="14"/>
      <c r="F31" s="14"/>
      <c r="G31" s="14"/>
    </row>
    <row r="32" spans="1:26" ht="14.5" customHeight="1" x14ac:dyDescent="0.35">
      <c r="A32" s="28" t="s">
        <v>1832</v>
      </c>
      <c r="B32" s="13"/>
      <c r="C32" s="14"/>
      <c r="D32" s="14"/>
      <c r="E32" s="14"/>
      <c r="F32" s="14"/>
      <c r="G32" s="14"/>
    </row>
    <row r="33" spans="1:10" x14ac:dyDescent="0.3">
      <c r="A33" s="3"/>
      <c r="B33" s="7" t="s">
        <v>1201</v>
      </c>
      <c r="C33" s="7" t="s">
        <v>1200</v>
      </c>
      <c r="D33" s="102" t="s">
        <v>1197</v>
      </c>
    </row>
    <row r="34" spans="1:10" x14ac:dyDescent="0.3">
      <c r="A34" s="3" t="s">
        <v>1198</v>
      </c>
      <c r="B34" s="3">
        <f>COUNTIF('ZEMIO_Cleaned Data'!PX:PX,"oui")</f>
        <v>2</v>
      </c>
      <c r="C34" s="3">
        <f>COUNTIF('ZEMIO_Cleaned Data'!PX:PX,"non")</f>
        <v>0</v>
      </c>
      <c r="D34" s="103">
        <f>SUM(B34:C34)</f>
        <v>2</v>
      </c>
    </row>
    <row r="35" spans="1:10" s="35" customFormat="1" ht="37" x14ac:dyDescent="0.3">
      <c r="A35" s="53" t="s">
        <v>2023</v>
      </c>
      <c r="B35" s="88">
        <f>(B34/$E$9)</f>
        <v>1</v>
      </c>
      <c r="C35" s="88">
        <f>(C34/$E$9)</f>
        <v>0</v>
      </c>
      <c r="D35" s="107">
        <f>SUM(B35:C35)</f>
        <v>1</v>
      </c>
    </row>
    <row r="36" spans="1:10" ht="14.5" customHeight="1" x14ac:dyDescent="0.3">
      <c r="B36" s="13"/>
      <c r="C36" s="14"/>
      <c r="D36" s="14"/>
      <c r="E36" s="14"/>
      <c r="F36" s="14"/>
      <c r="G36" s="14"/>
    </row>
    <row r="37" spans="1:10" ht="14.5" customHeight="1" x14ac:dyDescent="0.3">
      <c r="B37" s="33" t="s">
        <v>1833</v>
      </c>
      <c r="C37" s="14"/>
      <c r="D37" s="14"/>
      <c r="E37" s="14"/>
      <c r="F37" s="14"/>
      <c r="G37" s="14"/>
    </row>
    <row r="38" spans="1:10" ht="34" customHeight="1" x14ac:dyDescent="0.3">
      <c r="B38" s="3"/>
      <c r="C38" s="5" t="s">
        <v>1834</v>
      </c>
      <c r="D38" s="5" t="s">
        <v>1835</v>
      </c>
      <c r="E38" s="5" t="s">
        <v>1836</v>
      </c>
      <c r="F38" s="102" t="s">
        <v>1197</v>
      </c>
      <c r="G38" s="14"/>
    </row>
    <row r="39" spans="1:10" ht="14.5" customHeight="1" x14ac:dyDescent="0.3">
      <c r="B39" s="3" t="s">
        <v>1198</v>
      </c>
      <c r="C39" s="76">
        <f>COUNTIF('ZEMIO_Cleaned Data'!PY:PY,"severes")</f>
        <v>0</v>
      </c>
      <c r="D39" s="76">
        <f>COUNTIF('ZEMIO_Cleaned Data'!PY:PY,"moderes")</f>
        <v>2</v>
      </c>
      <c r="E39" s="76">
        <f>COUNTIF('ZEMIO_Cleaned Data'!PY:PY,"faibles")</f>
        <v>0</v>
      </c>
      <c r="F39" s="103">
        <f>SUM(C39:E39)</f>
        <v>2</v>
      </c>
      <c r="G39" s="73"/>
    </row>
    <row r="40" spans="1:10" ht="47" customHeight="1" x14ac:dyDescent="0.3">
      <c r="B40" s="52" t="s">
        <v>2026</v>
      </c>
      <c r="C40" s="6">
        <f>C39/$B$34</f>
        <v>0</v>
      </c>
      <c r="D40" s="6">
        <f t="shared" ref="D40:E40" si="3">D39/$C$4</f>
        <v>1</v>
      </c>
      <c r="E40" s="6">
        <f t="shared" si="3"/>
        <v>0</v>
      </c>
      <c r="F40" s="107">
        <f>SUM(C40:E40)</f>
        <v>1</v>
      </c>
      <c r="G40" s="14"/>
    </row>
    <row r="41" spans="1:10" ht="14.5" customHeight="1" x14ac:dyDescent="0.3">
      <c r="B41" s="13"/>
      <c r="C41" s="14"/>
      <c r="D41" s="14"/>
      <c r="E41" s="14"/>
      <c r="F41" s="14"/>
      <c r="G41" s="14"/>
    </row>
    <row r="42" spans="1:10" ht="15.5" x14ac:dyDescent="0.35">
      <c r="A42" s="28" t="s">
        <v>1293</v>
      </c>
      <c r="C42" s="95" t="s">
        <v>1994</v>
      </c>
    </row>
    <row r="43" spans="1:10" ht="28" x14ac:dyDescent="0.3">
      <c r="A43" s="3"/>
      <c r="B43" s="7" t="s">
        <v>1225</v>
      </c>
      <c r="C43" s="7" t="s">
        <v>1226</v>
      </c>
      <c r="D43" s="7" t="s">
        <v>1227</v>
      </c>
      <c r="E43" s="7" t="s">
        <v>1228</v>
      </c>
      <c r="F43" s="7" t="s">
        <v>1229</v>
      </c>
      <c r="G43" s="7" t="s">
        <v>1230</v>
      </c>
      <c r="H43" s="7" t="s">
        <v>1231</v>
      </c>
      <c r="I43" s="7" t="s">
        <v>1706</v>
      </c>
      <c r="J43" s="7" t="s">
        <v>1211</v>
      </c>
    </row>
    <row r="44" spans="1:10" x14ac:dyDescent="0.3">
      <c r="A44" s="3" t="s">
        <v>1198</v>
      </c>
      <c r="B44" s="37">
        <f>COUNTIF('ZEMIO_Cleaned Data'!SO:SO,"1")</f>
        <v>1</v>
      </c>
      <c r="C44" s="37">
        <f>COUNTIF('ZEMIO_Cleaned Data'!SP:SP,"1")</f>
        <v>0</v>
      </c>
      <c r="D44" s="37">
        <f>COUNTIF('ZEMIO_Cleaned Data'!SQ:SQ,"1")</f>
        <v>0</v>
      </c>
      <c r="E44" s="37">
        <f>COUNTIF('ZEMIO_Cleaned Data'!SR:SR,"1")</f>
        <v>0</v>
      </c>
      <c r="F44" s="37">
        <f>COUNTIF('ZEMIO_Cleaned Data'!SS:SS,"1")</f>
        <v>0</v>
      </c>
      <c r="G44" s="37">
        <f>COUNTIF('ZEMIO_Cleaned Data'!ST:ST,"1")</f>
        <v>1</v>
      </c>
      <c r="H44" s="37">
        <f>COUNTIF('ZEMIO_Cleaned Data'!SZ:SZ,"1")</f>
        <v>0</v>
      </c>
      <c r="I44" s="37">
        <f>COUNTIF('ZEMIO_Cleaned Data'!SV:SV,"1")</f>
        <v>0</v>
      </c>
      <c r="J44" s="37">
        <f>COUNTIF('ZEMIO_Cleaned Data'!SW:SW,"1")</f>
        <v>1</v>
      </c>
    </row>
    <row r="45" spans="1:10" x14ac:dyDescent="0.3">
      <c r="A45" s="3" t="s">
        <v>1212</v>
      </c>
      <c r="B45" s="6">
        <f>B44/$B$9</f>
        <v>0.5</v>
      </c>
      <c r="C45" s="6">
        <f t="shared" ref="C45:J45" si="4">C44/$B$9</f>
        <v>0</v>
      </c>
      <c r="D45" s="6">
        <f t="shared" si="4"/>
        <v>0</v>
      </c>
      <c r="E45" s="6">
        <f t="shared" si="4"/>
        <v>0</v>
      </c>
      <c r="F45" s="6">
        <f t="shared" si="4"/>
        <v>0</v>
      </c>
      <c r="G45" s="6">
        <f t="shared" si="4"/>
        <v>0.5</v>
      </c>
      <c r="H45" s="6">
        <f t="shared" si="4"/>
        <v>0</v>
      </c>
      <c r="I45" s="6">
        <f t="shared" si="4"/>
        <v>0</v>
      </c>
      <c r="J45" s="6">
        <f t="shared" si="4"/>
        <v>0.5</v>
      </c>
    </row>
    <row r="46" spans="1:10" x14ac:dyDescent="0.3">
      <c r="A46" s="13"/>
      <c r="B46" s="14"/>
      <c r="C46" s="14"/>
      <c r="D46" s="14"/>
      <c r="J46" s="73"/>
    </row>
    <row r="47" spans="1:10" ht="15.5" x14ac:dyDescent="0.35">
      <c r="A47" s="28" t="s">
        <v>1399</v>
      </c>
    </row>
    <row r="48" spans="1:10" s="35" customFormat="1" ht="28" x14ac:dyDescent="0.35">
      <c r="A48" s="42"/>
      <c r="B48" s="34" t="s">
        <v>1201</v>
      </c>
      <c r="C48" s="34" t="s">
        <v>1400</v>
      </c>
      <c r="D48" s="34" t="s">
        <v>1200</v>
      </c>
      <c r="E48" s="102" t="s">
        <v>1197</v>
      </c>
    </row>
    <row r="49" spans="1:6" x14ac:dyDescent="0.3">
      <c r="A49" s="3" t="s">
        <v>1198</v>
      </c>
      <c r="B49" s="3">
        <f>COUNTIF('ZEMIO_Cleaned Data'!PL:PL,"oui")</f>
        <v>2</v>
      </c>
      <c r="C49" s="3">
        <f>COUNTIF('ZEMIO_Cleaned Data'!PL:PL,"non_non_fonctionnelles")</f>
        <v>0</v>
      </c>
      <c r="D49" s="3">
        <f>COUNTIF('ZEMIO_Cleaned Data'!PL:PL,"non_aucun")</f>
        <v>0</v>
      </c>
      <c r="E49" s="103">
        <f>SUM(B49:D49)</f>
        <v>2</v>
      </c>
    </row>
    <row r="50" spans="1:6" s="35" customFormat="1" ht="37" x14ac:dyDescent="0.3">
      <c r="A50" s="53" t="s">
        <v>2023</v>
      </c>
      <c r="B50" s="88">
        <f>(B49/$E$9)</f>
        <v>1</v>
      </c>
      <c r="C50" s="88">
        <f t="shared" ref="C50:D50" si="5">(C49/$E$9)</f>
        <v>0</v>
      </c>
      <c r="D50" s="88">
        <f t="shared" si="5"/>
        <v>0</v>
      </c>
      <c r="E50" s="107">
        <f>SUM(B50:D50)</f>
        <v>1</v>
      </c>
    </row>
    <row r="52" spans="1:6" x14ac:dyDescent="0.3">
      <c r="B52" s="17" t="s">
        <v>1277</v>
      </c>
    </row>
    <row r="53" spans="1:6" x14ac:dyDescent="0.3">
      <c r="B53" s="20">
        <f>AVERAGE('ZEMIO_Cleaned Data'!PM:PM)</f>
        <v>8</v>
      </c>
    </row>
    <row r="54" spans="1:6" x14ac:dyDescent="0.3">
      <c r="B54" s="20"/>
    </row>
    <row r="55" spans="1:6" x14ac:dyDescent="0.3">
      <c r="B55" s="17" t="s">
        <v>1401</v>
      </c>
    </row>
    <row r="56" spans="1:6" x14ac:dyDescent="0.3">
      <c r="B56" s="3"/>
      <c r="C56" s="10" t="s">
        <v>1201</v>
      </c>
      <c r="D56" s="10" t="s">
        <v>1200</v>
      </c>
      <c r="E56" s="102" t="s">
        <v>1197</v>
      </c>
    </row>
    <row r="57" spans="1:6" x14ac:dyDescent="0.3">
      <c r="B57" s="3" t="s">
        <v>1198</v>
      </c>
      <c r="C57" s="3">
        <f>COUNTIF('ZEMIO_Cleaned Data'!PN:PN,"oui")</f>
        <v>2</v>
      </c>
      <c r="D57" s="3">
        <f>COUNTIF('ZEMIO_Cleaned Data'!PN:PN,"non")</f>
        <v>0</v>
      </c>
      <c r="E57" s="103">
        <f>SUM(C57:D57)</f>
        <v>2</v>
      </c>
    </row>
    <row r="58" spans="1:6" ht="37.5" x14ac:dyDescent="0.3">
      <c r="B58" s="52" t="s">
        <v>2027</v>
      </c>
      <c r="C58" s="6">
        <f>(C57/$B$49)</f>
        <v>1</v>
      </c>
      <c r="D58" s="6">
        <f>(D57/$B$49)</f>
        <v>0</v>
      </c>
      <c r="E58" s="107">
        <f>SUM(C58:D58)</f>
        <v>1</v>
      </c>
    </row>
    <row r="60" spans="1:6" x14ac:dyDescent="0.3">
      <c r="C60" s="17" t="s">
        <v>1403</v>
      </c>
      <c r="D60" s="17"/>
      <c r="E60" s="20">
        <f>AVERAGE('ZEMIO_Cleaned Data'!PO:PO)</f>
        <v>4</v>
      </c>
      <c r="F60" s="73"/>
    </row>
    <row r="61" spans="1:6" x14ac:dyDescent="0.3">
      <c r="C61" s="17"/>
      <c r="D61" s="17"/>
    </row>
    <row r="62" spans="1:6" x14ac:dyDescent="0.3">
      <c r="C62" s="17" t="s">
        <v>1402</v>
      </c>
      <c r="D62" s="17"/>
      <c r="E62" s="20">
        <f>AVERAGE('ZEMIO_Cleaned Data'!PP:PP)</f>
        <v>4</v>
      </c>
      <c r="F62" s="73"/>
    </row>
    <row r="64" spans="1:6" x14ac:dyDescent="0.3">
      <c r="B64" s="17" t="s">
        <v>1404</v>
      </c>
    </row>
    <row r="65" spans="1:8" x14ac:dyDescent="0.3">
      <c r="B65" s="3"/>
      <c r="C65" s="10" t="s">
        <v>1201</v>
      </c>
      <c r="D65" s="10" t="s">
        <v>1200</v>
      </c>
      <c r="E65" s="102" t="s">
        <v>1197</v>
      </c>
    </row>
    <row r="66" spans="1:8" x14ac:dyDescent="0.3">
      <c r="B66" s="3" t="s">
        <v>1198</v>
      </c>
      <c r="C66" s="3">
        <f>COUNTIF('ZEMIO_Cleaned Data'!PQ:PQ,"oui")</f>
        <v>2</v>
      </c>
      <c r="D66" s="3">
        <f>COUNTIF('ZEMIO_Cleaned Data'!PQ:PQ,"non")</f>
        <v>0</v>
      </c>
      <c r="E66" s="103">
        <f>SUM(C66:D66)</f>
        <v>2</v>
      </c>
    </row>
    <row r="67" spans="1:8" ht="37.5" x14ac:dyDescent="0.3">
      <c r="B67" s="52" t="s">
        <v>2027</v>
      </c>
      <c r="C67" s="6">
        <f>(C66/$B$49)</f>
        <v>1</v>
      </c>
      <c r="D67" s="6">
        <f>(D66/$B$49)</f>
        <v>0</v>
      </c>
      <c r="E67" s="107">
        <f>SUM(C67:D67)</f>
        <v>1</v>
      </c>
    </row>
    <row r="69" spans="1:8" ht="15.5" x14ac:dyDescent="0.35">
      <c r="A69" s="28" t="s">
        <v>1405</v>
      </c>
    </row>
    <row r="70" spans="1:8" x14ac:dyDescent="0.3">
      <c r="A70" s="3"/>
      <c r="B70" s="7" t="s">
        <v>1201</v>
      </c>
      <c r="C70" s="7" t="s">
        <v>1200</v>
      </c>
      <c r="D70" s="102" t="s">
        <v>1197</v>
      </c>
    </row>
    <row r="71" spans="1:8" x14ac:dyDescent="0.3">
      <c r="A71" s="3" t="s">
        <v>1198</v>
      </c>
      <c r="B71" s="3">
        <f>COUNTIF('ZEMIO_Cleaned Data'!PR:PR,"oui")</f>
        <v>1</v>
      </c>
      <c r="C71" s="3">
        <f>COUNTIF('ZEMIO_Cleaned Data'!PR:PR,"non")</f>
        <v>1</v>
      </c>
      <c r="D71" s="103">
        <f>SUM(B71:C71)</f>
        <v>2</v>
      </c>
    </row>
    <row r="72" spans="1:8" s="35" customFormat="1" ht="37" x14ac:dyDescent="0.3">
      <c r="A72" s="53" t="s">
        <v>2023</v>
      </c>
      <c r="B72" s="88">
        <f>(B71/$E$9)</f>
        <v>0.5</v>
      </c>
      <c r="C72" s="88">
        <f>(C71/$E$9)</f>
        <v>0.5</v>
      </c>
      <c r="D72" s="107">
        <f>SUM(B72:C72)</f>
        <v>1</v>
      </c>
    </row>
    <row r="74" spans="1:8" x14ac:dyDescent="0.3">
      <c r="B74" s="17" t="s">
        <v>1406</v>
      </c>
    </row>
    <row r="75" spans="1:8" ht="42" x14ac:dyDescent="0.3">
      <c r="B75" s="3"/>
      <c r="C75" s="5" t="s">
        <v>1407</v>
      </c>
      <c r="D75" s="10" t="s">
        <v>1408</v>
      </c>
      <c r="E75" s="10" t="s">
        <v>1409</v>
      </c>
      <c r="F75" s="10" t="s">
        <v>1706</v>
      </c>
      <c r="G75" s="10" t="s">
        <v>1196</v>
      </c>
      <c r="H75" s="102" t="s">
        <v>1197</v>
      </c>
    </row>
    <row r="76" spans="1:8" x14ac:dyDescent="0.3">
      <c r="B76" s="3" t="s">
        <v>1198</v>
      </c>
      <c r="C76" s="3">
        <f>COUNTIF('ZEMIO_Cleaned Data'!PS:PS,"acces_direct")</f>
        <v>0</v>
      </c>
      <c r="D76" s="3">
        <f>COUNTIF('ZEMIO_Cleaned Data'!PS:PS,"acces_communautaire")</f>
        <v>0</v>
      </c>
      <c r="E76" s="3">
        <f>COUNTIF('ZEMIO_Cleaned Data'!PS:PS,"camion")</f>
        <v>0</v>
      </c>
      <c r="F76" s="3">
        <f>COUNTIF('ZEMIO_Cleaned Data'!PS:PS,"nsp")</f>
        <v>0</v>
      </c>
      <c r="G76" s="3">
        <f>COUNTIF('ZEMIO_Cleaned Data'!PS:PS,"autre")</f>
        <v>1</v>
      </c>
      <c r="H76" s="103">
        <f>SUM(C76:G76)</f>
        <v>1</v>
      </c>
    </row>
    <row r="77" spans="1:8" ht="48.5" x14ac:dyDescent="0.3">
      <c r="B77" s="53" t="s">
        <v>2028</v>
      </c>
      <c r="C77" s="88">
        <f>C76/$B$71</f>
        <v>0</v>
      </c>
      <c r="D77" s="88">
        <f t="shared" ref="D77:G77" si="6">D76/$B$71</f>
        <v>0</v>
      </c>
      <c r="E77" s="88">
        <f t="shared" si="6"/>
        <v>0</v>
      </c>
      <c r="F77" s="88">
        <f t="shared" si="6"/>
        <v>0</v>
      </c>
      <c r="G77" s="88">
        <f t="shared" si="6"/>
        <v>1</v>
      </c>
      <c r="H77" s="107">
        <f>SUM(C77:G77)</f>
        <v>1</v>
      </c>
    </row>
    <row r="78" spans="1:8" x14ac:dyDescent="0.3">
      <c r="B78" s="86"/>
    </row>
    <row r="79" spans="1:8" ht="15.5" x14ac:dyDescent="0.35">
      <c r="A79" s="28" t="s">
        <v>1410</v>
      </c>
    </row>
    <row r="80" spans="1:8" x14ac:dyDescent="0.3">
      <c r="A80" s="3"/>
      <c r="B80" s="7" t="s">
        <v>1201</v>
      </c>
      <c r="C80" s="7" t="s">
        <v>1200</v>
      </c>
      <c r="D80" s="102" t="s">
        <v>1197</v>
      </c>
    </row>
    <row r="81" spans="1:14" x14ac:dyDescent="0.3">
      <c r="A81" s="3" t="s">
        <v>1198</v>
      </c>
      <c r="B81" s="3">
        <f>COUNTIF('ZEMIO_Cleaned Data'!PU:PU,"oui")</f>
        <v>1</v>
      </c>
      <c r="C81" s="3">
        <f>COUNTIF('ZEMIO_Cleaned Data'!PU:PU,"non")</f>
        <v>1</v>
      </c>
      <c r="D81" s="103">
        <f>SUM(B81:C81)</f>
        <v>2</v>
      </c>
    </row>
    <row r="82" spans="1:14" s="35" customFormat="1" ht="37" x14ac:dyDescent="0.3">
      <c r="A82" s="53" t="s">
        <v>2023</v>
      </c>
      <c r="B82" s="88">
        <f>(B81/$E$9)</f>
        <v>0.5</v>
      </c>
      <c r="C82" s="88">
        <f>(C81/$E$9)</f>
        <v>0.5</v>
      </c>
      <c r="D82" s="92">
        <f>SUM(B82:C82)</f>
        <v>1</v>
      </c>
    </row>
    <row r="83" spans="1:14" s="35" customFormat="1" x14ac:dyDescent="0.35">
      <c r="A83" s="64"/>
      <c r="B83" s="47"/>
      <c r="C83" s="47"/>
    </row>
    <row r="84" spans="1:14" x14ac:dyDescent="0.3">
      <c r="B84" s="17" t="s">
        <v>1908</v>
      </c>
    </row>
    <row r="85" spans="1:14" ht="56" x14ac:dyDescent="0.3">
      <c r="B85" s="3"/>
      <c r="C85" s="10" t="s">
        <v>1201</v>
      </c>
      <c r="D85" s="10" t="s">
        <v>1909</v>
      </c>
      <c r="E85" s="10" t="s">
        <v>1910</v>
      </c>
      <c r="F85" s="10" t="s">
        <v>1911</v>
      </c>
      <c r="G85" s="102" t="s">
        <v>1197</v>
      </c>
    </row>
    <row r="86" spans="1:14" s="35" customFormat="1" x14ac:dyDescent="0.3">
      <c r="B86" s="3" t="s">
        <v>1198</v>
      </c>
      <c r="C86" s="3">
        <f>COUNTIF('ZEMIO_Cleaned Data'!PV:PV,"oui")</f>
        <v>1</v>
      </c>
      <c r="D86" s="3">
        <f>COUNTIF('ZEMIO_Cleaned Data'!PV:PV,"non_panne")</f>
        <v>0</v>
      </c>
      <c r="E86" s="3">
        <f>COUNTIF('ZEMIO_Cleaned Data'!PV:PV,"non_essence")</f>
        <v>0</v>
      </c>
      <c r="F86" s="3">
        <f>COUNTIF('ZEMIO_Cleaned Data'!PV:PV,"non_equipement")</f>
        <v>0</v>
      </c>
      <c r="G86" s="103">
        <f>SUM(C86:F86)</f>
        <v>1</v>
      </c>
    </row>
    <row r="87" spans="1:14" ht="37" x14ac:dyDescent="0.3">
      <c r="B87" s="53" t="s">
        <v>2029</v>
      </c>
      <c r="C87" s="88">
        <f>(C86/$B$81)</f>
        <v>1</v>
      </c>
      <c r="D87" s="88">
        <f t="shared" ref="D87:F87" si="7">(D86/$B$81)</f>
        <v>0</v>
      </c>
      <c r="E87" s="88">
        <f t="shared" si="7"/>
        <v>0</v>
      </c>
      <c r="F87" s="88">
        <f t="shared" si="7"/>
        <v>0</v>
      </c>
      <c r="G87" s="92">
        <f>SUM(C87:F87)</f>
        <v>1</v>
      </c>
    </row>
    <row r="88" spans="1:14" x14ac:dyDescent="0.3">
      <c r="C88" s="64"/>
      <c r="D88" s="47"/>
      <c r="E88" s="47"/>
    </row>
    <row r="89" spans="1:14" x14ac:dyDescent="0.3">
      <c r="A89" s="20" t="s">
        <v>1411</v>
      </c>
    </row>
    <row r="90" spans="1:14" ht="15.5" x14ac:dyDescent="0.35">
      <c r="A90" s="28" t="s">
        <v>1412</v>
      </c>
      <c r="C90" s="95" t="s">
        <v>1994</v>
      </c>
    </row>
    <row r="91" spans="1:14" s="35" customFormat="1" ht="42" x14ac:dyDescent="0.3">
      <c r="A91" s="3"/>
      <c r="B91" s="7" t="s">
        <v>1413</v>
      </c>
      <c r="C91" s="7" t="s">
        <v>1837</v>
      </c>
      <c r="D91" s="7" t="s">
        <v>1414</v>
      </c>
      <c r="E91" s="7" t="s">
        <v>1838</v>
      </c>
      <c r="F91" s="7" t="s">
        <v>1415</v>
      </c>
      <c r="G91" s="7" t="s">
        <v>1416</v>
      </c>
      <c r="H91" s="7" t="s">
        <v>1417</v>
      </c>
      <c r="I91" s="7" t="s">
        <v>1839</v>
      </c>
      <c r="J91" s="7" t="s">
        <v>1840</v>
      </c>
      <c r="K91" s="7" t="s">
        <v>1841</v>
      </c>
      <c r="L91" s="7" t="s">
        <v>1418</v>
      </c>
      <c r="M91" s="7" t="s">
        <v>2030</v>
      </c>
      <c r="N91" s="7" t="s">
        <v>1211</v>
      </c>
    </row>
    <row r="92" spans="1:14" x14ac:dyDescent="0.3">
      <c r="A92" s="3" t="s">
        <v>1198</v>
      </c>
      <c r="B92" s="3">
        <f>COUNTIF('ZEMIO_Cleaned Data'!QA:QA,"1")</f>
        <v>2</v>
      </c>
      <c r="C92" s="3">
        <f>COUNTIF('ZEMIO_Cleaned Data'!QN:QN,"1")</f>
        <v>2</v>
      </c>
      <c r="D92" s="3">
        <f>COUNTIF('ZEMIO_Cleaned Data'!QB:QB,"1")</f>
        <v>2</v>
      </c>
      <c r="E92" s="3">
        <f>COUNTIF('ZEMIO_Cleaned Data'!QC:QC,"1")</f>
        <v>1</v>
      </c>
      <c r="F92" s="3">
        <f>COUNTIF('ZEMIO_Cleaned Data'!QD:QD,"1")</f>
        <v>1</v>
      </c>
      <c r="G92" s="3">
        <f>COUNTIF('ZEMIO_Cleaned Data'!QE:QE,"1")</f>
        <v>1</v>
      </c>
      <c r="H92" s="3">
        <f>COUNTIF('ZEMIO_Cleaned Data'!QF:QF,"1")</f>
        <v>2</v>
      </c>
      <c r="I92" s="3">
        <f>COUNTIF('ZEMIO_Cleaned Data'!QG:QG,"1")</f>
        <v>0</v>
      </c>
      <c r="J92" s="3">
        <f>COUNTIF('ZEMIO_Cleaned Data'!QH:QH,"1")</f>
        <v>1</v>
      </c>
      <c r="K92" s="3">
        <f>COUNTIF('ZEMIO_Cleaned Data'!QJ:QJ,"1")</f>
        <v>1</v>
      </c>
      <c r="L92" s="3">
        <f>COUNTIF('ZEMIO_Cleaned Data'!QK:QK,"1")</f>
        <v>2</v>
      </c>
      <c r="M92" s="3">
        <f>COUNTIF('ZEMIO_Cleaned Data'!QL:QL,"1")</f>
        <v>1</v>
      </c>
      <c r="N92" s="3">
        <f>COUNTIF('ZEMIO_Cleaned Data'!QM:QM,"1")</f>
        <v>0</v>
      </c>
    </row>
    <row r="93" spans="1:14" s="35" customFormat="1" ht="37" x14ac:dyDescent="0.35">
      <c r="A93" s="53" t="s">
        <v>2031</v>
      </c>
      <c r="B93" s="54">
        <f t="shared" ref="B93:N93" si="8">(B92/$E$9)</f>
        <v>1</v>
      </c>
      <c r="C93" s="54">
        <f t="shared" si="8"/>
        <v>1</v>
      </c>
      <c r="D93" s="54">
        <f t="shared" si="8"/>
        <v>1</v>
      </c>
      <c r="E93" s="54">
        <f t="shared" si="8"/>
        <v>0.5</v>
      </c>
      <c r="F93" s="54">
        <f t="shared" si="8"/>
        <v>0.5</v>
      </c>
      <c r="G93" s="54">
        <f t="shared" si="8"/>
        <v>0.5</v>
      </c>
      <c r="H93" s="54">
        <f t="shared" si="8"/>
        <v>1</v>
      </c>
      <c r="I93" s="54">
        <f t="shared" si="8"/>
        <v>0</v>
      </c>
      <c r="J93" s="54">
        <f t="shared" si="8"/>
        <v>0.5</v>
      </c>
      <c r="K93" s="54">
        <f t="shared" si="8"/>
        <v>0.5</v>
      </c>
      <c r="L93" s="54">
        <f t="shared" si="8"/>
        <v>1</v>
      </c>
      <c r="M93" s="54">
        <f t="shared" si="8"/>
        <v>0.5</v>
      </c>
      <c r="N93" s="54">
        <f t="shared" si="8"/>
        <v>0</v>
      </c>
    </row>
    <row r="94" spans="1:14" x14ac:dyDescent="0.3">
      <c r="A94" s="13"/>
      <c r="B94" s="13"/>
      <c r="C94" s="13"/>
      <c r="D94" s="13"/>
      <c r="E94" s="13"/>
      <c r="F94" s="13"/>
      <c r="G94" s="13"/>
      <c r="H94" s="13"/>
      <c r="I94" s="13"/>
      <c r="J94" s="13"/>
      <c r="K94" s="13"/>
      <c r="L94" s="13"/>
      <c r="M94" s="13"/>
    </row>
    <row r="95" spans="1:14" ht="15.5" x14ac:dyDescent="0.35">
      <c r="A95" s="44" t="s">
        <v>1449</v>
      </c>
      <c r="B95" s="13"/>
      <c r="C95" s="13"/>
      <c r="D95" s="13"/>
      <c r="E95" s="13"/>
      <c r="F95" s="13"/>
      <c r="G95" s="13"/>
      <c r="H95" s="13"/>
      <c r="I95" s="13"/>
      <c r="J95" s="13"/>
      <c r="K95" s="13"/>
      <c r="L95" s="13"/>
      <c r="M95" s="13"/>
    </row>
    <row r="96" spans="1:14" ht="42" x14ac:dyDescent="0.3">
      <c r="A96" s="23"/>
      <c r="B96" s="7" t="s">
        <v>1912</v>
      </c>
      <c r="C96" s="7" t="s">
        <v>1913</v>
      </c>
      <c r="D96" s="7" t="s">
        <v>1882</v>
      </c>
      <c r="E96" s="102" t="s">
        <v>1197</v>
      </c>
      <c r="F96" s="13"/>
      <c r="G96" s="13"/>
      <c r="H96" s="13"/>
      <c r="I96" s="13"/>
      <c r="J96" s="13"/>
      <c r="K96" s="13"/>
      <c r="L96" s="13"/>
      <c r="M96" s="13"/>
    </row>
    <row r="97" spans="1:13" x14ac:dyDescent="0.3">
      <c r="A97" s="23" t="s">
        <v>1198</v>
      </c>
      <c r="B97" s="3">
        <f>COUNTIF('ZEMIO_Cleaned Data'!TB:TB,"oui")</f>
        <v>0</v>
      </c>
      <c r="C97" s="3">
        <f>COUNTIF('ZEMIO_Cleaned Data'!TB:TB,"oui_exception")</f>
        <v>0</v>
      </c>
      <c r="D97" s="3">
        <f>COUNTIF('ZEMIO_Cleaned Data'!TB:TB,"non")</f>
        <v>2</v>
      </c>
      <c r="E97" s="103">
        <f>SUM(B97:D97)</f>
        <v>2</v>
      </c>
      <c r="F97" s="13"/>
      <c r="G97" s="13"/>
      <c r="H97" s="13"/>
      <c r="I97" s="13"/>
      <c r="J97" s="13"/>
      <c r="K97" s="13"/>
      <c r="L97" s="13"/>
      <c r="M97" s="13"/>
    </row>
    <row r="98" spans="1:13" s="35" customFormat="1" ht="37" x14ac:dyDescent="0.3">
      <c r="A98" s="53" t="s">
        <v>2031</v>
      </c>
      <c r="B98" s="110">
        <f>(B97/$E$9)</f>
        <v>0</v>
      </c>
      <c r="C98" s="110">
        <f t="shared" ref="C98:D98" si="9">(C97/$E$9)</f>
        <v>0</v>
      </c>
      <c r="D98" s="110">
        <f t="shared" si="9"/>
        <v>1</v>
      </c>
      <c r="E98" s="92">
        <f>SUM(B98:D98)</f>
        <v>1</v>
      </c>
      <c r="F98" s="46"/>
      <c r="G98" s="46"/>
      <c r="H98" s="46"/>
      <c r="I98" s="46"/>
      <c r="J98" s="46"/>
      <c r="K98" s="46"/>
      <c r="L98" s="46"/>
      <c r="M98" s="46"/>
    </row>
    <row r="99" spans="1:13" x14ac:dyDescent="0.3">
      <c r="A99" s="13"/>
      <c r="B99" s="14"/>
      <c r="C99" s="84"/>
      <c r="D99" s="13"/>
      <c r="E99" s="13"/>
      <c r="F99" s="13"/>
      <c r="G99" s="13"/>
      <c r="H99" s="13"/>
      <c r="I99" s="13"/>
      <c r="J99" s="13"/>
      <c r="K99" s="13"/>
      <c r="L99" s="13"/>
      <c r="M99" s="13"/>
    </row>
    <row r="100" spans="1:13" x14ac:dyDescent="0.3">
      <c r="A100" s="13"/>
      <c r="B100" s="14"/>
      <c r="C100" s="83"/>
      <c r="D100" s="13"/>
      <c r="E100" s="13"/>
      <c r="F100" s="13"/>
      <c r="G100" s="13"/>
      <c r="H100" s="13"/>
      <c r="I100" s="13"/>
      <c r="J100" s="13"/>
      <c r="K100" s="13"/>
      <c r="L100" s="13"/>
      <c r="M100" s="13"/>
    </row>
    <row r="101" spans="1:13" x14ac:dyDescent="0.3">
      <c r="A101" s="13"/>
      <c r="B101" s="41" t="s">
        <v>1450</v>
      </c>
      <c r="C101" s="14"/>
      <c r="D101" s="13"/>
      <c r="E101" s="13"/>
      <c r="F101" s="13"/>
      <c r="G101" s="13"/>
      <c r="H101" s="13"/>
      <c r="I101" s="13"/>
      <c r="J101" s="13"/>
      <c r="K101" s="13"/>
      <c r="L101" s="13"/>
      <c r="M101" s="13"/>
    </row>
    <row r="102" spans="1:13" x14ac:dyDescent="0.3">
      <c r="A102" s="13"/>
      <c r="B102" s="23"/>
      <c r="C102" s="10" t="s">
        <v>1201</v>
      </c>
      <c r="D102" s="10" t="s">
        <v>1200</v>
      </c>
      <c r="E102" s="102" t="s">
        <v>1197</v>
      </c>
      <c r="F102" s="13"/>
      <c r="G102" s="13"/>
      <c r="H102" s="13"/>
      <c r="I102" s="13"/>
      <c r="J102" s="13"/>
      <c r="K102" s="13"/>
      <c r="L102" s="13"/>
      <c r="M102" s="13"/>
    </row>
    <row r="103" spans="1:13" x14ac:dyDescent="0.3">
      <c r="A103" s="13"/>
      <c r="B103" s="23" t="s">
        <v>1198</v>
      </c>
      <c r="C103" s="3">
        <f>COUNTIF('ZEMIO_Cleaned Data'!TJ:TJ,"oui")</f>
        <v>0</v>
      </c>
      <c r="D103" s="3">
        <f>COUNTIF('ZEMIO_Cleaned Data'!TJ:TJ,"non")</f>
        <v>2</v>
      </c>
      <c r="E103" s="103">
        <f>SUM(C103:D103)</f>
        <v>2</v>
      </c>
      <c r="F103" s="75"/>
      <c r="G103" s="13"/>
      <c r="H103" s="13"/>
      <c r="I103" s="13"/>
      <c r="J103" s="13"/>
      <c r="K103" s="13"/>
      <c r="L103" s="13"/>
      <c r="M103" s="13"/>
    </row>
    <row r="104" spans="1:13" ht="40.5" customHeight="1" x14ac:dyDescent="0.3">
      <c r="A104" s="13"/>
      <c r="B104" s="111" t="s">
        <v>2032</v>
      </c>
      <c r="C104" s="38" t="e">
        <f>(C103/($B$97+$C$97))</f>
        <v>#DIV/0!</v>
      </c>
      <c r="D104" s="38" t="e">
        <f>(D103/($B$97+$C$97))</f>
        <v>#DIV/0!</v>
      </c>
      <c r="E104" s="92" t="e">
        <f>SUM(C104:D104)</f>
        <v>#DIV/0!</v>
      </c>
      <c r="F104" s="13"/>
      <c r="G104" s="13"/>
      <c r="H104" s="13"/>
      <c r="I104" s="13"/>
      <c r="J104" s="13"/>
      <c r="K104" s="13"/>
      <c r="L104" s="13"/>
      <c r="M104" s="13"/>
    </row>
    <row r="105" spans="1:13" x14ac:dyDescent="0.3">
      <c r="A105" s="13"/>
      <c r="B105" s="14"/>
      <c r="C105" s="14"/>
      <c r="D105" s="13"/>
      <c r="E105" s="13"/>
      <c r="F105" s="13"/>
      <c r="G105" s="13"/>
      <c r="H105" s="13"/>
      <c r="I105" s="13"/>
      <c r="J105" s="13"/>
      <c r="K105" s="13"/>
      <c r="L105" s="13"/>
      <c r="M105" s="13"/>
    </row>
    <row r="106" spans="1:13" x14ac:dyDescent="0.3">
      <c r="A106" s="13"/>
      <c r="B106" s="14"/>
      <c r="C106" s="41" t="s">
        <v>1451</v>
      </c>
      <c r="D106" s="13"/>
      <c r="E106" s="13"/>
      <c r="F106" s="13"/>
      <c r="G106" s="13"/>
      <c r="H106" s="13"/>
      <c r="I106" s="13"/>
      <c r="J106" s="13"/>
      <c r="K106" s="13"/>
      <c r="L106" s="13"/>
      <c r="M106" s="13"/>
    </row>
    <row r="107" spans="1:13" ht="28" x14ac:dyDescent="0.3">
      <c r="A107" s="13"/>
      <c r="B107" s="14"/>
      <c r="C107" s="23"/>
      <c r="D107" s="10" t="s">
        <v>1217</v>
      </c>
      <c r="E107" s="10" t="s">
        <v>1392</v>
      </c>
      <c r="F107" s="10" t="s">
        <v>1216</v>
      </c>
      <c r="G107" s="10" t="s">
        <v>1391</v>
      </c>
      <c r="J107" s="13"/>
      <c r="K107" s="13"/>
      <c r="L107" s="13"/>
      <c r="M107" s="13"/>
    </row>
    <row r="108" spans="1:13" x14ac:dyDescent="0.3">
      <c r="A108" s="13"/>
      <c r="B108" s="14"/>
      <c r="C108" s="23" t="s">
        <v>1198</v>
      </c>
      <c r="D108" s="37">
        <f>COUNTIF('ZEMIO_Cleaned Data'!TK:TK,"bcp_diminue")</f>
        <v>0</v>
      </c>
      <c r="E108" s="37">
        <f>COUNTIF('ZEMIO_Cleaned Data'!TK:TK,"peu_diminue")</f>
        <v>0</v>
      </c>
      <c r="F108" s="37">
        <f>COUNTIF('ZEMIO_Cleaned Data'!TK:TK,"bcp_augmente")</f>
        <v>0</v>
      </c>
      <c r="G108" s="37">
        <f>COUNTIF('ZEMIO_Cleaned Data'!TK:TK,"peu_augmente")</f>
        <v>0</v>
      </c>
      <c r="J108" s="13"/>
      <c r="K108" s="75"/>
      <c r="L108" s="13"/>
      <c r="M108" s="13"/>
    </row>
    <row r="109" spans="1:13" ht="60.5" x14ac:dyDescent="0.3">
      <c r="A109" s="13"/>
      <c r="B109" s="14"/>
      <c r="C109" s="111" t="s">
        <v>2032</v>
      </c>
      <c r="D109" s="38" t="e">
        <f>(D108/$C$103)</f>
        <v>#DIV/0!</v>
      </c>
      <c r="E109" s="38" t="e">
        <f>(E108/$C$103)</f>
        <v>#DIV/0!</v>
      </c>
      <c r="F109" s="38" t="e">
        <f>(F108/$C$103)</f>
        <v>#DIV/0!</v>
      </c>
      <c r="G109" s="38" t="e">
        <f>(G108/$C$103)</f>
        <v>#DIV/0!</v>
      </c>
      <c r="J109" s="13"/>
      <c r="K109" s="13"/>
      <c r="L109" s="13"/>
      <c r="M109" s="13"/>
    </row>
    <row r="110" spans="1:13" x14ac:dyDescent="0.3">
      <c r="A110" s="13"/>
      <c r="B110" s="14"/>
      <c r="C110" s="14"/>
      <c r="D110" s="13"/>
      <c r="E110" s="13"/>
      <c r="F110" s="13"/>
      <c r="G110" s="13"/>
      <c r="H110" s="13"/>
      <c r="I110" s="13"/>
      <c r="J110" s="13"/>
      <c r="K110" s="13"/>
      <c r="L110" s="13"/>
      <c r="M110" s="13"/>
    </row>
    <row r="111" spans="1:13" x14ac:dyDescent="0.3">
      <c r="A111" s="13"/>
      <c r="B111" s="14"/>
      <c r="C111" s="41" t="s">
        <v>1300</v>
      </c>
      <c r="D111" s="13"/>
      <c r="E111" s="95" t="s">
        <v>1994</v>
      </c>
      <c r="F111" s="13"/>
      <c r="G111" s="13"/>
      <c r="H111" s="13"/>
      <c r="I111" s="13"/>
      <c r="J111" s="13"/>
      <c r="K111" s="13"/>
      <c r="L111" s="13"/>
      <c r="M111" s="13"/>
    </row>
    <row r="112" spans="1:13" s="35" customFormat="1" ht="70" x14ac:dyDescent="0.3">
      <c r="A112" s="46"/>
      <c r="B112" s="47"/>
      <c r="C112" s="23"/>
      <c r="D112" s="10" t="s">
        <v>1850</v>
      </c>
      <c r="E112" s="10" t="s">
        <v>1851</v>
      </c>
      <c r="F112" s="10" t="s">
        <v>1852</v>
      </c>
      <c r="G112" s="10" t="s">
        <v>1853</v>
      </c>
      <c r="H112" s="10" t="s">
        <v>1854</v>
      </c>
      <c r="I112" s="10" t="s">
        <v>1855</v>
      </c>
      <c r="J112" s="10" t="s">
        <v>1706</v>
      </c>
      <c r="K112" s="10" t="s">
        <v>1211</v>
      </c>
      <c r="L112" s="46"/>
      <c r="M112" s="46"/>
    </row>
    <row r="113" spans="1:13" x14ac:dyDescent="0.3">
      <c r="A113" s="13"/>
      <c r="B113" s="14"/>
      <c r="C113" s="23" t="s">
        <v>1198</v>
      </c>
      <c r="D113" s="23">
        <f>COUNTIF('ZEMIO_Cleaned Data'!TW:TW,"1")</f>
        <v>0</v>
      </c>
      <c r="E113" s="23">
        <f>COUNTIF('ZEMIO_Cleaned Data'!TX:TX,"1")</f>
        <v>0</v>
      </c>
      <c r="F113" s="23">
        <f>COUNTIF('ZEMIO_Cleaned Data'!TY:TY,"1")</f>
        <v>0</v>
      </c>
      <c r="G113" s="23">
        <f>COUNTIF('ZEMIO_Cleaned Data'!TZ:TZ,"1")</f>
        <v>0</v>
      </c>
      <c r="H113" s="23">
        <f>COUNTIF('ZEMIO_Cleaned Data'!UA:UA,"1")</f>
        <v>0</v>
      </c>
      <c r="I113" s="23">
        <f>COUNTIF('ZEMIO_Cleaned Data'!UB:UB,"1")</f>
        <v>0</v>
      </c>
      <c r="J113" s="23">
        <f>COUNTIF('ZEMIO_Cleaned Data'!UC:UC,"1")</f>
        <v>0</v>
      </c>
      <c r="K113" s="23">
        <f>COUNTIF('ZEMIO_Cleaned Data'!UD:UD,"1")</f>
        <v>0</v>
      </c>
      <c r="L113" s="13"/>
      <c r="M113" s="13"/>
    </row>
    <row r="114" spans="1:13" ht="60.5" x14ac:dyDescent="0.3">
      <c r="A114" s="13"/>
      <c r="B114" s="14"/>
      <c r="C114" s="111" t="s">
        <v>2033</v>
      </c>
      <c r="D114" s="37" t="e">
        <f>D113/(D108+E108)</f>
        <v>#DIV/0!</v>
      </c>
      <c r="E114" s="80" t="e">
        <f>E113/(D108+E108)</f>
        <v>#DIV/0!</v>
      </c>
      <c r="F114" s="80" t="e">
        <f>F113/(D108+E108)</f>
        <v>#DIV/0!</v>
      </c>
      <c r="G114" s="80" t="e">
        <f>G113/(D108+E108)</f>
        <v>#DIV/0!</v>
      </c>
      <c r="H114" s="80" t="e">
        <f>H113/(D108+E108)</f>
        <v>#DIV/0!</v>
      </c>
      <c r="I114" s="80" t="e">
        <f>I113/(D108+E108)</f>
        <v>#DIV/0!</v>
      </c>
      <c r="J114" s="80" t="e">
        <f>J113/(D108+E108)</f>
        <v>#DIV/0!</v>
      </c>
      <c r="K114" s="80" t="e">
        <f>K113/(D108+E108)</f>
        <v>#DIV/0!</v>
      </c>
      <c r="L114" s="13"/>
      <c r="M114" s="13"/>
    </row>
    <row r="115" spans="1:13" x14ac:dyDescent="0.3">
      <c r="A115" s="13"/>
      <c r="B115" s="14"/>
      <c r="C115" s="13"/>
      <c r="D115" s="13"/>
      <c r="E115" s="13"/>
      <c r="F115" s="13"/>
      <c r="G115" s="13"/>
      <c r="H115" s="13"/>
      <c r="I115" s="13"/>
      <c r="J115" s="13"/>
      <c r="K115" s="13"/>
      <c r="L115" s="13"/>
      <c r="M115" s="13"/>
    </row>
    <row r="116" spans="1:13" x14ac:dyDescent="0.3">
      <c r="A116" s="13"/>
      <c r="B116" s="14"/>
      <c r="C116" s="41" t="s">
        <v>1218</v>
      </c>
      <c r="D116" s="13"/>
      <c r="E116" s="95" t="s">
        <v>1994</v>
      </c>
      <c r="F116" s="13"/>
      <c r="G116" s="13"/>
      <c r="H116" s="13"/>
      <c r="I116" s="13"/>
      <c r="J116" s="13"/>
      <c r="K116" s="13"/>
      <c r="L116" s="13"/>
      <c r="M116" s="13"/>
    </row>
    <row r="117" spans="1:13" s="35" customFormat="1" ht="42" x14ac:dyDescent="0.3">
      <c r="A117" s="46"/>
      <c r="B117" s="47"/>
      <c r="C117" s="23"/>
      <c r="D117" s="10" t="s">
        <v>1452</v>
      </c>
      <c r="E117" s="10" t="s">
        <v>1856</v>
      </c>
      <c r="F117" s="10" t="s">
        <v>1453</v>
      </c>
      <c r="G117" s="10" t="s">
        <v>1454</v>
      </c>
      <c r="H117" s="10" t="s">
        <v>1857</v>
      </c>
      <c r="I117" s="10" t="s">
        <v>1455</v>
      </c>
      <c r="J117" s="10" t="s">
        <v>1706</v>
      </c>
      <c r="K117" s="10" t="s">
        <v>1196</v>
      </c>
      <c r="L117" s="46"/>
      <c r="M117" s="46"/>
    </row>
    <row r="118" spans="1:13" x14ac:dyDescent="0.3">
      <c r="A118" s="13"/>
      <c r="B118" s="14"/>
      <c r="C118" s="23" t="s">
        <v>1198</v>
      </c>
      <c r="D118" s="23">
        <f>COUNTIF('ZEMIO_Cleaned Data'!TM:TM,"1")</f>
        <v>0</v>
      </c>
      <c r="E118" s="23">
        <f>COUNTIF('ZEMIO_Cleaned Data'!TN:TN,"1")</f>
        <v>0</v>
      </c>
      <c r="F118" s="23">
        <f>COUNTIF('ZEMIO_Cleaned Data'!TO:TO,"1")</f>
        <v>0</v>
      </c>
      <c r="G118" s="23">
        <f>COUNTIF('ZEMIO_Cleaned Data'!TP:TP,"1")</f>
        <v>0</v>
      </c>
      <c r="H118" s="23">
        <f>COUNTIF('ZEMIO_Cleaned Data'!TQ:TQ,"1")</f>
        <v>0</v>
      </c>
      <c r="I118" s="23">
        <f>COUNTIF('ZEMIO_Cleaned Data'!TR:TR,"1")</f>
        <v>0</v>
      </c>
      <c r="J118" s="23">
        <f>COUNTIF('ZEMIO_Cleaned Data'!TS:TS,"1")</f>
        <v>0</v>
      </c>
      <c r="K118" s="23">
        <f>COUNTIF('ZEMIO_Cleaned Data'!TT:TT,"1")</f>
        <v>0</v>
      </c>
      <c r="L118" s="13"/>
      <c r="M118" s="13"/>
    </row>
    <row r="119" spans="1:13" ht="60.5" x14ac:dyDescent="0.3">
      <c r="A119" s="13"/>
      <c r="B119" s="14"/>
      <c r="C119" s="111" t="s">
        <v>2034</v>
      </c>
      <c r="D119" s="38" t="e">
        <f>D118/(F108+G108)</f>
        <v>#DIV/0!</v>
      </c>
      <c r="E119" s="38" t="e">
        <f>E118/(F108+G108)</f>
        <v>#DIV/0!</v>
      </c>
      <c r="F119" s="38" t="e">
        <f>F118/(F108+G108)</f>
        <v>#DIV/0!</v>
      </c>
      <c r="G119" s="38" t="e">
        <f>G118/(F108+G108)</f>
        <v>#DIV/0!</v>
      </c>
      <c r="H119" s="38" t="e">
        <f>H118/(F108+G108)</f>
        <v>#DIV/0!</v>
      </c>
      <c r="I119" s="38" t="e">
        <f>I118/(F108+G108)</f>
        <v>#DIV/0!</v>
      </c>
      <c r="J119" s="38" t="e">
        <f>J118/(F108+G108)</f>
        <v>#DIV/0!</v>
      </c>
      <c r="K119" s="38" t="e">
        <f>K118/(F108+G108)</f>
        <v>#DIV/0!</v>
      </c>
      <c r="L119" s="13"/>
      <c r="M119" s="13"/>
    </row>
    <row r="120" spans="1:13" x14ac:dyDescent="0.3">
      <c r="A120" s="13"/>
      <c r="B120" s="14"/>
      <c r="C120" s="13"/>
      <c r="D120" s="13"/>
      <c r="E120" s="13"/>
      <c r="F120" s="13"/>
      <c r="G120" s="13"/>
      <c r="H120" s="13"/>
      <c r="I120" s="13"/>
      <c r="J120" s="13"/>
      <c r="K120" s="13"/>
      <c r="L120" s="13"/>
      <c r="M120" s="13"/>
    </row>
    <row r="121" spans="1:13" ht="15.5" x14ac:dyDescent="0.35">
      <c r="A121" s="28" t="s">
        <v>1419</v>
      </c>
      <c r="C121" s="95" t="s">
        <v>1994</v>
      </c>
    </row>
    <row r="122" spans="1:13" ht="28" x14ac:dyDescent="0.3">
      <c r="A122" s="3"/>
      <c r="B122" s="7" t="s">
        <v>1420</v>
      </c>
      <c r="C122" s="7" t="s">
        <v>1842</v>
      </c>
      <c r="D122" s="7" t="s">
        <v>1843</v>
      </c>
      <c r="E122" s="7" t="s">
        <v>1844</v>
      </c>
      <c r="F122" s="7" t="s">
        <v>1706</v>
      </c>
      <c r="G122" s="7" t="s">
        <v>1196</v>
      </c>
    </row>
    <row r="123" spans="1:13" x14ac:dyDescent="0.3">
      <c r="A123" s="3" t="s">
        <v>1198</v>
      </c>
      <c r="B123" s="3">
        <f>COUNTIF('ZEMIO_Cleaned Data'!QR:QR,"1")</f>
        <v>1</v>
      </c>
      <c r="C123" s="3">
        <f>COUNTIF('ZEMIO_Cleaned Data'!QS:QS,"1")</f>
        <v>1</v>
      </c>
      <c r="D123" s="3">
        <f>COUNTIF('ZEMIO_Cleaned Data'!QV:QV,"1")</f>
        <v>1</v>
      </c>
      <c r="E123" s="3">
        <f>COUNTIF('ZEMIO_Cleaned Data'!QW:QW,"1")</f>
        <v>1</v>
      </c>
      <c r="F123" s="3">
        <f>COUNTIF('ZEMIO_Cleaned Data'!QT:QT,"1")</f>
        <v>0</v>
      </c>
      <c r="G123" s="3">
        <f>COUNTIF('ZEMIO_Cleaned Data'!QU:QU,"1")</f>
        <v>0</v>
      </c>
    </row>
    <row r="124" spans="1:13" s="35" customFormat="1" ht="37" x14ac:dyDescent="0.3">
      <c r="A124" s="53" t="s">
        <v>2031</v>
      </c>
      <c r="B124" s="88">
        <f>B123/$E$9</f>
        <v>0.5</v>
      </c>
      <c r="C124" s="88">
        <f t="shared" ref="C124:G124" si="10">C123/$E$9</f>
        <v>0.5</v>
      </c>
      <c r="D124" s="88">
        <f t="shared" si="10"/>
        <v>0.5</v>
      </c>
      <c r="E124" s="88">
        <f t="shared" si="10"/>
        <v>0.5</v>
      </c>
      <c r="F124" s="88">
        <f t="shared" si="10"/>
        <v>0</v>
      </c>
      <c r="G124" s="88">
        <f t="shared" si="10"/>
        <v>0</v>
      </c>
    </row>
    <row r="125" spans="1:13" x14ac:dyDescent="0.3">
      <c r="G125" s="112"/>
    </row>
    <row r="126" spans="1:13" x14ac:dyDescent="0.3">
      <c r="F126" s="73"/>
    </row>
    <row r="127" spans="1:13" ht="15.5" x14ac:dyDescent="0.35">
      <c r="A127" s="28" t="s">
        <v>1421</v>
      </c>
    </row>
    <row r="128" spans="1:13" x14ac:dyDescent="0.3">
      <c r="A128" s="3"/>
      <c r="B128" s="7" t="s">
        <v>1201</v>
      </c>
      <c r="C128" s="7" t="s">
        <v>1200</v>
      </c>
      <c r="D128" s="102" t="s">
        <v>1197</v>
      </c>
    </row>
    <row r="129" spans="1:6" x14ac:dyDescent="0.3">
      <c r="A129" s="3" t="s">
        <v>1198</v>
      </c>
      <c r="B129" s="3">
        <f>COUNTIF('ZEMIO_Cleaned Data'!QY:QY,"oui")</f>
        <v>1</v>
      </c>
      <c r="C129" s="3">
        <f>COUNTIF('ZEMIO_Cleaned Data'!QY:QY,"non")</f>
        <v>1</v>
      </c>
      <c r="D129" s="103">
        <f>SUM(B129:C129)</f>
        <v>2</v>
      </c>
    </row>
    <row r="130" spans="1:6" s="35" customFormat="1" ht="37" x14ac:dyDescent="0.3">
      <c r="A130" s="53" t="s">
        <v>2031</v>
      </c>
      <c r="B130" s="88">
        <f>(B129/$E$9)</f>
        <v>0.5</v>
      </c>
      <c r="C130" s="88">
        <f>(C129/$E$9)</f>
        <v>0.5</v>
      </c>
      <c r="D130" s="92">
        <f>SUM(B130:C130)</f>
        <v>1</v>
      </c>
    </row>
    <row r="132" spans="1:6" x14ac:dyDescent="0.3">
      <c r="B132" s="17" t="s">
        <v>1422</v>
      </c>
      <c r="D132" s="95" t="s">
        <v>1994</v>
      </c>
      <c r="E132" s="20"/>
    </row>
    <row r="133" spans="1:6" ht="28" x14ac:dyDescent="0.3">
      <c r="B133" s="5" t="s">
        <v>1423</v>
      </c>
      <c r="C133" s="5" t="s">
        <v>1424</v>
      </c>
      <c r="D133" s="5" t="s">
        <v>1425</v>
      </c>
      <c r="E133" s="5" t="s">
        <v>1706</v>
      </c>
      <c r="F133" s="5" t="s">
        <v>1196</v>
      </c>
    </row>
    <row r="134" spans="1:6" x14ac:dyDescent="0.3">
      <c r="B134" s="3">
        <f>COUNTIF('ZEMIO_Cleaned Data'!RA:RA,"1")</f>
        <v>0</v>
      </c>
      <c r="C134" s="3">
        <f>COUNTIF('ZEMIO_Cleaned Data'!RB:RB,"1")</f>
        <v>0</v>
      </c>
      <c r="D134" s="3">
        <f>COUNTIF('ZEMIO_Cleaned Data'!RC:RC,"1")</f>
        <v>0</v>
      </c>
      <c r="E134" s="3">
        <f>COUNTIF('ZEMIO_Cleaned Data'!RD:RD,"1")</f>
        <v>0</v>
      </c>
      <c r="F134" s="3">
        <f>COUNTIF('ZEMIO_Cleaned Data'!RE:RE,"1")</f>
        <v>1</v>
      </c>
    </row>
    <row r="137" spans="1:6" x14ac:dyDescent="0.3">
      <c r="A137" s="20" t="s">
        <v>1292</v>
      </c>
    </row>
    <row r="138" spans="1:6" ht="33.5" customHeight="1" x14ac:dyDescent="0.3">
      <c r="A138" s="175" t="s">
        <v>1426</v>
      </c>
      <c r="B138" s="175"/>
      <c r="C138" s="175"/>
      <c r="D138" s="175"/>
      <c r="E138" s="43">
        <f>AVERAGE('ZEMIO_Cleaned Data'!RG:RG)</f>
        <v>65</v>
      </c>
    </row>
    <row r="140" spans="1:6" ht="15.5" x14ac:dyDescent="0.35">
      <c r="A140" s="28" t="s">
        <v>1427</v>
      </c>
    </row>
    <row r="141" spans="1:6" x14ac:dyDescent="0.3">
      <c r="A141" s="3"/>
      <c r="B141" s="7" t="s">
        <v>1201</v>
      </c>
      <c r="C141" s="7" t="s">
        <v>1200</v>
      </c>
      <c r="D141" s="102" t="s">
        <v>1197</v>
      </c>
    </row>
    <row r="142" spans="1:6" x14ac:dyDescent="0.3">
      <c r="A142" s="3" t="s">
        <v>1198</v>
      </c>
      <c r="B142" s="3">
        <f>COUNTIF('ZEMIO_Cleaned Data'!RH:RH,"oui")</f>
        <v>2</v>
      </c>
      <c r="C142" s="3">
        <f>COUNTIF('ZEMIO_Cleaned Data'!RH:RH,"non")</f>
        <v>0</v>
      </c>
      <c r="D142" s="103">
        <f>SUM(B142:C142)</f>
        <v>2</v>
      </c>
    </row>
    <row r="143" spans="1:6" s="35" customFormat="1" ht="37" x14ac:dyDescent="0.3">
      <c r="A143" s="53" t="s">
        <v>2031</v>
      </c>
      <c r="B143" s="88">
        <f>(B142/$E$9)</f>
        <v>1</v>
      </c>
      <c r="C143" s="88">
        <f>(C142/$E$9)</f>
        <v>0</v>
      </c>
      <c r="D143" s="92">
        <f>SUM(B143:C143)</f>
        <v>1</v>
      </c>
    </row>
    <row r="145" spans="1:13" x14ac:dyDescent="0.3">
      <c r="B145" s="17" t="s">
        <v>1428</v>
      </c>
    </row>
    <row r="146" spans="1:13" ht="28" x14ac:dyDescent="0.3">
      <c r="B146" s="3"/>
      <c r="C146" s="11" t="s">
        <v>1217</v>
      </c>
      <c r="D146" s="11" t="s">
        <v>1392</v>
      </c>
      <c r="E146" s="11" t="s">
        <v>1216</v>
      </c>
      <c r="F146" s="11" t="s">
        <v>1391</v>
      </c>
      <c r="G146" s="102" t="s">
        <v>1197</v>
      </c>
    </row>
    <row r="147" spans="1:13" x14ac:dyDescent="0.3">
      <c r="B147" s="3" t="s">
        <v>1198</v>
      </c>
      <c r="C147" s="3">
        <f>COUNTIF('ZEMIO_Cleaned Data'!RI:RI,"bcp_diminue")</f>
        <v>0</v>
      </c>
      <c r="D147" s="3">
        <f>COUNTIF('ZEMIO_Cleaned Data'!RI:RI,"peu_diminue")</f>
        <v>1</v>
      </c>
      <c r="E147" s="3">
        <f>COUNTIF('ZEMIO_Cleaned Data'!RI:RI,"bcp_augmente")</f>
        <v>1</v>
      </c>
      <c r="F147" s="3">
        <f>COUNTIF('ZEMIO_Cleaned Data'!RI:RI,"peu_augmente")</f>
        <v>0</v>
      </c>
      <c r="G147" s="103">
        <f>SUM(C147:F147)</f>
        <v>2</v>
      </c>
    </row>
    <row r="148" spans="1:13" ht="49" x14ac:dyDescent="0.3">
      <c r="B148" s="52" t="s">
        <v>2035</v>
      </c>
      <c r="C148" s="6">
        <f>(C147/$B$142)</f>
        <v>0</v>
      </c>
      <c r="D148" s="6">
        <f>(D147/$B$142)</f>
        <v>0.5</v>
      </c>
      <c r="E148" s="6">
        <f>(E147/$B$142)</f>
        <v>0.5</v>
      </c>
      <c r="F148" s="6">
        <f>(F147/$B$142)</f>
        <v>0</v>
      </c>
      <c r="G148" s="92">
        <f>SUM(C148:F148)</f>
        <v>1</v>
      </c>
    </row>
    <row r="150" spans="1:13" x14ac:dyDescent="0.3">
      <c r="C150" s="17" t="s">
        <v>1300</v>
      </c>
      <c r="E150" s="95" t="s">
        <v>1994</v>
      </c>
    </row>
    <row r="151" spans="1:13" s="35" customFormat="1" ht="73.5" customHeight="1" x14ac:dyDescent="0.3">
      <c r="C151" s="3"/>
      <c r="D151" s="10" t="s">
        <v>1845</v>
      </c>
      <c r="E151" s="10" t="s">
        <v>1846</v>
      </c>
      <c r="F151" s="10" t="s">
        <v>1847</v>
      </c>
      <c r="G151" s="10" t="s">
        <v>1848</v>
      </c>
      <c r="H151" s="10" t="s">
        <v>1849</v>
      </c>
      <c r="I151" s="10" t="s">
        <v>1706</v>
      </c>
      <c r="J151" s="10" t="s">
        <v>1196</v>
      </c>
      <c r="K151" s="9"/>
      <c r="L151" s="9"/>
      <c r="M151" s="9"/>
    </row>
    <row r="152" spans="1:13" x14ac:dyDescent="0.3">
      <c r="C152" s="3" t="s">
        <v>1198</v>
      </c>
      <c r="D152" s="3">
        <f>COUNTIF('ZEMIO_Cleaned Data'!RW:RW,"1")</f>
        <v>1</v>
      </c>
      <c r="E152" s="3">
        <f>COUNTIF('ZEMIO_Cleaned Data'!RX:RX,"1")</f>
        <v>0</v>
      </c>
      <c r="F152" s="3">
        <f>COUNTIF('ZEMIO_Cleaned Data'!RY:RY,"1")</f>
        <v>0</v>
      </c>
      <c r="G152" s="3">
        <f>COUNTIF('ZEMIO_Cleaned Data'!RZ:RZ,"1")</f>
        <v>1</v>
      </c>
      <c r="H152" s="3">
        <f>COUNTIF('ZEMIO_Cleaned Data'!SA:SA,"1")</f>
        <v>0</v>
      </c>
      <c r="I152" s="3">
        <f>COUNTIF('ZEMIO_Cleaned Data'!SB:SB,"1")</f>
        <v>0</v>
      </c>
      <c r="J152" s="3">
        <f>COUNTIF('ZEMIO_Cleaned Data'!SC:SC,"1")</f>
        <v>0</v>
      </c>
    </row>
    <row r="153" spans="1:13" ht="49" x14ac:dyDescent="0.3">
      <c r="C153" s="52" t="s">
        <v>2036</v>
      </c>
      <c r="D153" s="77">
        <f>D152/(C147+D147)</f>
        <v>1</v>
      </c>
      <c r="E153" s="77">
        <f>E152/(C147+D147)</f>
        <v>0</v>
      </c>
      <c r="F153" s="77">
        <f>F152/(C147+D147)</f>
        <v>0</v>
      </c>
      <c r="G153" s="77">
        <f>G152/(C147+D147)</f>
        <v>1</v>
      </c>
      <c r="H153" s="77">
        <f>H152/(C147+D147)</f>
        <v>0</v>
      </c>
      <c r="I153" s="77">
        <f>I152/(C147+D147)</f>
        <v>0</v>
      </c>
      <c r="J153" s="77">
        <f>J152/(C147+D147)</f>
        <v>0</v>
      </c>
    </row>
    <row r="154" spans="1:13" x14ac:dyDescent="0.3">
      <c r="C154" s="13"/>
      <c r="D154" s="13"/>
      <c r="E154" s="13"/>
      <c r="F154" s="13"/>
      <c r="G154" s="13"/>
      <c r="H154" s="13"/>
      <c r="I154" s="13"/>
      <c r="J154" s="13"/>
    </row>
    <row r="155" spans="1:13" x14ac:dyDescent="0.3">
      <c r="C155" s="17" t="s">
        <v>1218</v>
      </c>
      <c r="E155" s="95" t="s">
        <v>1994</v>
      </c>
    </row>
    <row r="156" spans="1:13" s="35" customFormat="1" ht="73.5" customHeight="1" x14ac:dyDescent="0.3">
      <c r="C156" s="3"/>
      <c r="D156" s="10" t="s">
        <v>1219</v>
      </c>
      <c r="E156" s="10" t="s">
        <v>1914</v>
      </c>
      <c r="F156" s="10" t="s">
        <v>1429</v>
      </c>
      <c r="G156" s="10" t="s">
        <v>1430</v>
      </c>
      <c r="H156" s="10" t="s">
        <v>1431</v>
      </c>
      <c r="I156" s="10" t="s">
        <v>1432</v>
      </c>
      <c r="J156" s="10" t="s">
        <v>1433</v>
      </c>
      <c r="K156" s="10" t="s">
        <v>1434</v>
      </c>
      <c r="L156" s="10" t="s">
        <v>2006</v>
      </c>
      <c r="M156" s="10" t="s">
        <v>1211</v>
      </c>
    </row>
    <row r="157" spans="1:13" x14ac:dyDescent="0.3">
      <c r="C157" s="3" t="s">
        <v>1198</v>
      </c>
      <c r="D157" s="3">
        <f>COUNTIF('ZEMIO_Cleaned Data'!RK:RK,"1")</f>
        <v>0</v>
      </c>
      <c r="E157" s="3">
        <f>COUNTIF('ZEMIO_Cleaned Data'!RL:RL,"1")</f>
        <v>1</v>
      </c>
      <c r="F157" s="3">
        <f>COUNTIF('ZEMIO_Cleaned Data'!RM:RM,"1")</f>
        <v>0</v>
      </c>
      <c r="G157" s="3">
        <f>COUNTIF('ZEMIO_Cleaned Data'!RN:RN,"1")</f>
        <v>0</v>
      </c>
      <c r="H157" s="3">
        <f>COUNTIF('ZEMIO_Cleaned Data'!RO:RO,"1")</f>
        <v>0</v>
      </c>
      <c r="I157" s="3">
        <f>COUNTIF('ZEMIO_Cleaned Data'!RP:RP,"1")</f>
        <v>1</v>
      </c>
      <c r="J157" s="3">
        <f>COUNTIF('ZEMIO_Cleaned Data'!RQ:RQ,"1")</f>
        <v>0</v>
      </c>
      <c r="K157" s="3">
        <f>COUNTIF('ZEMIO_Cleaned Data'!RR:RR,"1")</f>
        <v>0</v>
      </c>
      <c r="L157" s="3">
        <f>COUNTIF('ZEMIO_Cleaned Data'!RS:RS,"1")</f>
        <v>0</v>
      </c>
      <c r="M157" s="3">
        <f>COUNTIF('ZEMIO_Cleaned Data'!RT:RT,"1")</f>
        <v>0</v>
      </c>
    </row>
    <row r="158" spans="1:13" ht="49" x14ac:dyDescent="0.3">
      <c r="C158" s="52" t="s">
        <v>2037</v>
      </c>
      <c r="D158" s="6">
        <f>D157/(E147+F147)</f>
        <v>0</v>
      </c>
      <c r="E158" s="6">
        <f>E157/(E147+F147)</f>
        <v>1</v>
      </c>
      <c r="F158" s="6">
        <f>F157/(E147+F147)</f>
        <v>0</v>
      </c>
      <c r="G158" s="6">
        <f>G157/(E147+F147)</f>
        <v>0</v>
      </c>
      <c r="H158" s="6">
        <f>H157/(E147+F147)</f>
        <v>0</v>
      </c>
      <c r="I158" s="6">
        <f>I157/(E147+F147)</f>
        <v>1</v>
      </c>
      <c r="J158" s="6">
        <f>J157/(E147+F147)</f>
        <v>0</v>
      </c>
      <c r="K158" s="6">
        <f>K157/(E147+F147)</f>
        <v>0</v>
      </c>
      <c r="L158" s="6">
        <f>L157/(E147+F147)</f>
        <v>0</v>
      </c>
      <c r="M158" s="6">
        <f>M157/(E147+F147)</f>
        <v>0</v>
      </c>
    </row>
    <row r="159" spans="1:13" x14ac:dyDescent="0.3">
      <c r="C159" s="49"/>
      <c r="M159" s="134"/>
    </row>
    <row r="160" spans="1:13" ht="15.5" x14ac:dyDescent="0.35">
      <c r="A160" s="28" t="s">
        <v>1435</v>
      </c>
    </row>
    <row r="161" spans="1:8" ht="28" x14ac:dyDescent="0.3">
      <c r="A161" s="3"/>
      <c r="B161" s="7" t="s">
        <v>1436</v>
      </c>
      <c r="C161" s="7" t="s">
        <v>1437</v>
      </c>
      <c r="D161" s="7" t="s">
        <v>1438</v>
      </c>
      <c r="E161" s="7" t="s">
        <v>1439</v>
      </c>
      <c r="F161" s="7" t="s">
        <v>1440</v>
      </c>
      <c r="G161" s="7" t="s">
        <v>1706</v>
      </c>
      <c r="H161" s="102" t="s">
        <v>1197</v>
      </c>
    </row>
    <row r="162" spans="1:8" x14ac:dyDescent="0.3">
      <c r="A162" s="3" t="s">
        <v>1198</v>
      </c>
      <c r="B162" s="3">
        <f>COUNTIF('ZEMIO_Cleaned Data'!SE:SE,"fortement_sur:utilise")</f>
        <v>1</v>
      </c>
      <c r="C162" s="3">
        <f>COUNTIF('ZEMIO_Cleaned Data'!SE:SE,"sur_utilise")</f>
        <v>0</v>
      </c>
      <c r="D162" s="3">
        <f>COUNTIF('ZEMIO_Cleaned Data'!SE:SE,"ok")</f>
        <v>0</v>
      </c>
      <c r="E162" s="3">
        <f>COUNTIF('ZEMIO_Cleaned Data'!SE:SE,"sous_utilise")</f>
        <v>0</v>
      </c>
      <c r="F162" s="3">
        <f>COUNTIF('ZEMIO_Cleaned Data'!SE:SE,"fortement_sous_utilise")</f>
        <v>1</v>
      </c>
      <c r="G162" s="3">
        <f>COUNTIF('ZEMIO_Cleaned Data'!SE:SE,"nsp")</f>
        <v>0</v>
      </c>
      <c r="H162" s="103">
        <f>SUM(B162:G162)</f>
        <v>2</v>
      </c>
    </row>
    <row r="163" spans="1:8" s="35" customFormat="1" ht="37" x14ac:dyDescent="0.3">
      <c r="A163" s="53" t="s">
        <v>2031</v>
      </c>
      <c r="B163" s="88">
        <f>B162/$E$9</f>
        <v>0.5</v>
      </c>
      <c r="C163" s="88">
        <f t="shared" ref="C163:G163" si="11">C162/$E$9</f>
        <v>0</v>
      </c>
      <c r="D163" s="88">
        <f t="shared" si="11"/>
        <v>0</v>
      </c>
      <c r="E163" s="88">
        <f t="shared" si="11"/>
        <v>0</v>
      </c>
      <c r="F163" s="88">
        <f t="shared" si="11"/>
        <v>0.5</v>
      </c>
      <c r="G163" s="88">
        <f t="shared" si="11"/>
        <v>0</v>
      </c>
      <c r="H163" s="92">
        <f>SUM(B163:G163)</f>
        <v>1</v>
      </c>
    </row>
    <row r="166" spans="1:8" ht="15.5" x14ac:dyDescent="0.3">
      <c r="A166" s="79" t="s">
        <v>1441</v>
      </c>
      <c r="E166" s="121">
        <f>AVERAGE('ZEMIO_Cleaned Data'!SF:SF)</f>
        <v>21</v>
      </c>
    </row>
    <row r="167" spans="1:8" ht="15.5" x14ac:dyDescent="0.35">
      <c r="A167" s="78" t="s">
        <v>1442</v>
      </c>
      <c r="E167" s="20">
        <f>AVERAGE('ZEMIO_Cleaned Data'!SG:SG)</f>
        <v>4</v>
      </c>
    </row>
    <row r="168" spans="1:8" ht="15.5" x14ac:dyDescent="0.35">
      <c r="A168" s="28" t="s">
        <v>1443</v>
      </c>
      <c r="E168" s="9">
        <f>AVERAGE('ZEMIO_Cleaned Data'!SH:SH)</f>
        <v>6</v>
      </c>
    </row>
    <row r="169" spans="1:8" ht="15.5" x14ac:dyDescent="0.35">
      <c r="A169" s="28" t="s">
        <v>1444</v>
      </c>
      <c r="E169" s="9">
        <f>AVERAGE('ZEMIO_Cleaned Data'!SI:SI)</f>
        <v>2</v>
      </c>
    </row>
    <row r="170" spans="1:8" ht="15.5" x14ac:dyDescent="0.35">
      <c r="A170" s="28" t="s">
        <v>1445</v>
      </c>
      <c r="E170" s="9">
        <f>AVERAGE('ZEMIO_Cleaned Data'!SJ:SJ)</f>
        <v>2</v>
      </c>
    </row>
    <row r="171" spans="1:8" ht="15.5" x14ac:dyDescent="0.35">
      <c r="A171" s="28" t="s">
        <v>1446</v>
      </c>
      <c r="E171" s="9">
        <f>AVERAGE('ZEMIO_Cleaned Data'!SK:SK)</f>
        <v>2</v>
      </c>
    </row>
    <row r="172" spans="1:8" ht="15.5" x14ac:dyDescent="0.35">
      <c r="A172" s="78" t="s">
        <v>1447</v>
      </c>
      <c r="B172" s="20"/>
      <c r="C172" s="20"/>
      <c r="D172" s="20"/>
      <c r="E172" s="20">
        <f>AVERAGE('ZEMIO_Cleaned Data'!SL:SL)</f>
        <v>11</v>
      </c>
    </row>
    <row r="173" spans="1:8" ht="15.5" x14ac:dyDescent="0.35">
      <c r="A173" s="28" t="s">
        <v>1448</v>
      </c>
      <c r="E173" s="9">
        <f>AVERAGE('ZEMIO_Cleaned Data'!SM:SM)</f>
        <v>10</v>
      </c>
    </row>
    <row r="174" spans="1:8" x14ac:dyDescent="0.3">
      <c r="A174" s="133" t="s">
        <v>2767</v>
      </c>
    </row>
    <row r="175" spans="1:8" x14ac:dyDescent="0.3">
      <c r="A175" s="133"/>
    </row>
    <row r="176" spans="1:8" ht="15.5" x14ac:dyDescent="0.35">
      <c r="A176" s="8" t="s">
        <v>1286</v>
      </c>
    </row>
    <row r="177" spans="1:8" ht="15.5" x14ac:dyDescent="0.35">
      <c r="A177" s="28" t="s">
        <v>1456</v>
      </c>
    </row>
    <row r="178" spans="1:8" x14ac:dyDescent="0.3">
      <c r="A178" s="3"/>
      <c r="B178" s="7" t="s">
        <v>1458</v>
      </c>
      <c r="C178" s="7" t="s">
        <v>1459</v>
      </c>
      <c r="D178" s="7" t="s">
        <v>1460</v>
      </c>
      <c r="E178" s="7" t="s">
        <v>1457</v>
      </c>
      <c r="F178" s="7" t="s">
        <v>1706</v>
      </c>
      <c r="G178" s="7" t="s">
        <v>1211</v>
      </c>
      <c r="H178" s="102" t="s">
        <v>1197</v>
      </c>
    </row>
    <row r="179" spans="1:8" x14ac:dyDescent="0.3">
      <c r="A179" s="3" t="s">
        <v>1198</v>
      </c>
      <c r="B179" s="3">
        <f>COUNTIF('ZEMIO_Cleaned Data'!UM:UM,"public")</f>
        <v>1</v>
      </c>
      <c r="C179" s="3">
        <f>COUNTIF('ZEMIO_Cleaned Data'!UM:UM,"prive")</f>
        <v>0</v>
      </c>
      <c r="D179" s="3">
        <f>COUNTIF('ZEMIO_Cleaned Data'!UM:UM,"religieux")</f>
        <v>0</v>
      </c>
      <c r="E179" s="3">
        <f>COUNTIF('ZEMIO_Cleaned Data'!UM:UM,"ong")</f>
        <v>1</v>
      </c>
      <c r="F179" s="3">
        <f>COUNTIF('ZEMIO_Cleaned Data'!UM:UM,"nsp")</f>
        <v>0</v>
      </c>
      <c r="G179" s="113">
        <f>COUNTIF('ZEMIO_Cleaned Data'!UM:UM,"autre")</f>
        <v>0</v>
      </c>
      <c r="H179" s="103">
        <f>SUM(B179:G179)</f>
        <v>2</v>
      </c>
    </row>
    <row r="180" spans="1:8" s="35" customFormat="1" ht="37" x14ac:dyDescent="0.3">
      <c r="A180" s="53" t="s">
        <v>2038</v>
      </c>
      <c r="B180" s="88">
        <f t="shared" ref="B180:G180" si="12">B179/$C$4</f>
        <v>0.5</v>
      </c>
      <c r="C180" s="88">
        <f t="shared" si="12"/>
        <v>0</v>
      </c>
      <c r="D180" s="88">
        <f t="shared" si="12"/>
        <v>0</v>
      </c>
      <c r="E180" s="88">
        <f t="shared" si="12"/>
        <v>0.5</v>
      </c>
      <c r="F180" s="88">
        <f t="shared" si="12"/>
        <v>0</v>
      </c>
      <c r="G180" s="88">
        <f t="shared" si="12"/>
        <v>0</v>
      </c>
      <c r="H180" s="92">
        <f>SUM(B180:G180)</f>
        <v>1</v>
      </c>
    </row>
    <row r="181" spans="1:8" x14ac:dyDescent="0.3">
      <c r="A181" s="13"/>
      <c r="B181" s="13"/>
      <c r="C181" s="13"/>
      <c r="D181" s="13"/>
      <c r="E181" s="13"/>
      <c r="F181" s="13"/>
    </row>
    <row r="182" spans="1:8" ht="15.5" x14ac:dyDescent="0.35">
      <c r="A182" s="44" t="s">
        <v>1461</v>
      </c>
      <c r="B182" s="13"/>
      <c r="C182" s="13"/>
      <c r="D182" s="13"/>
      <c r="E182" s="13"/>
      <c r="F182" s="13"/>
    </row>
    <row r="183" spans="1:8" x14ac:dyDescent="0.3">
      <c r="A183" s="3"/>
      <c r="B183" s="7" t="s">
        <v>1201</v>
      </c>
      <c r="C183" s="7" t="s">
        <v>1200</v>
      </c>
      <c r="D183" s="102" t="s">
        <v>1197</v>
      </c>
      <c r="E183" s="13"/>
      <c r="F183" s="13"/>
    </row>
    <row r="184" spans="1:8" x14ac:dyDescent="0.3">
      <c r="A184" s="3" t="s">
        <v>1198</v>
      </c>
      <c r="B184" s="3">
        <f>COUNTIF('ZEMIO_Cleaned Data'!UO:UO,"oui")</f>
        <v>2</v>
      </c>
      <c r="C184" s="3">
        <f>COUNTIF('ZEMIO_Cleaned Data'!UO:UO,"non")</f>
        <v>0</v>
      </c>
      <c r="D184" s="103">
        <f>SUM(B184:C184)</f>
        <v>2</v>
      </c>
      <c r="E184" s="13"/>
      <c r="F184" s="13"/>
    </row>
    <row r="185" spans="1:8" s="35" customFormat="1" ht="37" x14ac:dyDescent="0.3">
      <c r="A185" s="53" t="s">
        <v>2038</v>
      </c>
      <c r="B185" s="88">
        <f>(B184/$C$4)</f>
        <v>1</v>
      </c>
      <c r="C185" s="88">
        <f>(C184/$C$4)</f>
        <v>0</v>
      </c>
      <c r="D185" s="92">
        <f>SUM(B185:C185)</f>
        <v>1</v>
      </c>
      <c r="E185" s="46"/>
      <c r="F185" s="46"/>
    </row>
    <row r="186" spans="1:8" ht="15.5" x14ac:dyDescent="0.35">
      <c r="A186" s="8"/>
    </row>
    <row r="187" spans="1:8" ht="15.5" x14ac:dyDescent="0.35">
      <c r="A187" s="28" t="s">
        <v>1288</v>
      </c>
      <c r="D187" s="95" t="s">
        <v>1994</v>
      </c>
    </row>
    <row r="188" spans="1:8" x14ac:dyDescent="0.3">
      <c r="A188" s="3"/>
      <c r="B188" s="7" t="s">
        <v>1240</v>
      </c>
      <c r="C188" s="7" t="s">
        <v>1241</v>
      </c>
      <c r="D188" s="7" t="s">
        <v>1706</v>
      </c>
      <c r="E188" s="7" t="s">
        <v>1196</v>
      </c>
      <c r="F188" s="7" t="s">
        <v>1242</v>
      </c>
    </row>
    <row r="189" spans="1:8" x14ac:dyDescent="0.3">
      <c r="A189" s="3" t="s">
        <v>1198</v>
      </c>
      <c r="B189" s="3">
        <f>COUNTIF('ZEMIO_Cleaned Data'!UG:UG,"1")</f>
        <v>1</v>
      </c>
      <c r="C189" s="3">
        <f>COUNTIF('ZEMIO_Cleaned Data'!UH:UH,"1")</f>
        <v>0</v>
      </c>
      <c r="D189" s="3">
        <f>COUNTIF('ZEMIO_Cleaned Data'!UI:UI,"1")</f>
        <v>0</v>
      </c>
      <c r="E189" s="3">
        <f>COUNTIF('ZEMIO_Cleaned Data'!UJ:UJ,"1")</f>
        <v>1</v>
      </c>
      <c r="F189" s="3">
        <f>COUNTIF('ZEMIO_Cleaned Data'!UK:UK,"1")</f>
        <v>0</v>
      </c>
    </row>
    <row r="190" spans="1:8" s="35" customFormat="1" ht="37" x14ac:dyDescent="0.3">
      <c r="A190" s="53" t="s">
        <v>2038</v>
      </c>
      <c r="B190" s="88">
        <f>B189/$C$4</f>
        <v>0.5</v>
      </c>
      <c r="C190" s="88">
        <f>C189/$C$4</f>
        <v>0</v>
      </c>
      <c r="D190" s="88">
        <f>D189/$C$4</f>
        <v>0</v>
      </c>
      <c r="E190" s="88">
        <f>E189/$C$4</f>
        <v>0.5</v>
      </c>
      <c r="F190" s="88">
        <f t="shared" ref="F190" si="13">F189/$B$9</f>
        <v>0</v>
      </c>
    </row>
    <row r="192" spans="1:8" ht="15.5" x14ac:dyDescent="0.35">
      <c r="A192" s="28" t="s">
        <v>1289</v>
      </c>
      <c r="D192" s="95" t="s">
        <v>1994</v>
      </c>
    </row>
    <row r="193" spans="1:26" s="35" customFormat="1" ht="76.5" customHeight="1" x14ac:dyDescent="0.35">
      <c r="A193" s="7" t="s">
        <v>1462</v>
      </c>
      <c r="B193" s="7" t="s">
        <v>1858</v>
      </c>
      <c r="C193" s="7" t="s">
        <v>1463</v>
      </c>
      <c r="D193" s="7" t="s">
        <v>1464</v>
      </c>
      <c r="E193" s="7" t="s">
        <v>1465</v>
      </c>
      <c r="F193" s="7" t="s">
        <v>1466</v>
      </c>
      <c r="G193" s="7" t="s">
        <v>1467</v>
      </c>
      <c r="H193" s="7" t="s">
        <v>1859</v>
      </c>
      <c r="I193" s="7" t="s">
        <v>1468</v>
      </c>
      <c r="J193" s="7" t="s">
        <v>1368</v>
      </c>
      <c r="K193" s="7" t="s">
        <v>1469</v>
      </c>
      <c r="L193" s="7" t="s">
        <v>1860</v>
      </c>
      <c r="M193" s="7" t="s">
        <v>1861</v>
      </c>
      <c r="N193" s="7" t="s">
        <v>1371</v>
      </c>
      <c r="O193" s="7" t="s">
        <v>2006</v>
      </c>
      <c r="P193" s="7" t="s">
        <v>1196</v>
      </c>
    </row>
    <row r="194" spans="1:26" x14ac:dyDescent="0.3">
      <c r="A194" s="3">
        <f>COUNTIF('ZEMIO_Cleaned Data'!UQ:UQ,"1")</f>
        <v>2</v>
      </c>
      <c r="B194" s="3">
        <f>COUNTIF('ZEMIO_Cleaned Data'!UR:UR,"1")</f>
        <v>0</v>
      </c>
      <c r="C194" s="3">
        <f>COUNTIF('ZEMIO_Cleaned Data'!US:US,"1")</f>
        <v>1</v>
      </c>
      <c r="D194" s="3">
        <f>COUNTIF('ZEMIO_Cleaned Data'!UT:UT,"1")</f>
        <v>1</v>
      </c>
      <c r="E194" s="3">
        <f>COUNTIF('ZEMIO_Cleaned Data'!UU:UU,"1")</f>
        <v>0</v>
      </c>
      <c r="F194" s="3">
        <f>COUNTIF('ZEMIO_Cleaned Data'!UV:UV,"1")</f>
        <v>2</v>
      </c>
      <c r="G194" s="3">
        <f>COUNTIF('ZEMIO_Cleaned Data'!UW:UW,"1")</f>
        <v>1</v>
      </c>
      <c r="H194" s="3">
        <f>COUNTIF('ZEMIO_Cleaned Data'!UX:UX,"1")</f>
        <v>2</v>
      </c>
      <c r="I194" s="3">
        <f>COUNTIF('ZEMIO_Cleaned Data'!UY:UY,"1")</f>
        <v>0</v>
      </c>
      <c r="J194" s="3">
        <f>COUNTIF('ZEMIO_Cleaned Data'!UZ:UZ,"1")</f>
        <v>0</v>
      </c>
      <c r="K194" s="3">
        <f>COUNTIF('ZEMIO_Cleaned Data'!VA:VA,"1")</f>
        <v>0</v>
      </c>
      <c r="L194" s="3">
        <f>COUNTIF('ZEMIO_Cleaned Data'!VB:VB,"1")</f>
        <v>0</v>
      </c>
      <c r="M194" s="3">
        <f>COUNTIF('ZEMIO_Cleaned Data'!VC:VC,"1")</f>
        <v>0</v>
      </c>
      <c r="N194" s="3">
        <f>COUNTIF('ZEMIO_Cleaned Data'!VD:VD,"1")</f>
        <v>0</v>
      </c>
      <c r="O194" s="3">
        <f>COUNTIF('ZEMIO_Cleaned Data'!VE:VE,"1")</f>
        <v>0</v>
      </c>
      <c r="P194" s="3">
        <f>COUNTIF('ZEMIO_Cleaned Data'!VF:VF,"1")</f>
        <v>0</v>
      </c>
    </row>
    <row r="196" spans="1:26" ht="15.5" x14ac:dyDescent="0.35">
      <c r="A196" s="28" t="s">
        <v>1290</v>
      </c>
      <c r="D196" s="95" t="s">
        <v>1994</v>
      </c>
    </row>
    <row r="197" spans="1:26" ht="28" x14ac:dyDescent="0.3">
      <c r="A197" s="7" t="s">
        <v>1226</v>
      </c>
      <c r="B197" s="7" t="s">
        <v>1246</v>
      </c>
      <c r="C197" s="7" t="s">
        <v>1247</v>
      </c>
      <c r="D197" s="7" t="s">
        <v>1229</v>
      </c>
      <c r="E197" s="7" t="s">
        <v>1230</v>
      </c>
      <c r="F197" s="7" t="s">
        <v>1248</v>
      </c>
      <c r="G197" s="7" t="s">
        <v>1249</v>
      </c>
      <c r="H197" s="7" t="s">
        <v>1250</v>
      </c>
      <c r="I197" s="7" t="s">
        <v>1251</v>
      </c>
      <c r="J197" s="7" t="s">
        <v>1242</v>
      </c>
      <c r="K197" s="7" t="s">
        <v>1706</v>
      </c>
      <c r="L197" s="7" t="s">
        <v>1211</v>
      </c>
    </row>
    <row r="198" spans="1:26" x14ac:dyDescent="0.3">
      <c r="A198" s="23">
        <f>COUNTIF('ZEMIO_Cleaned Data'!VI:VI,"1")</f>
        <v>0</v>
      </c>
      <c r="B198" s="23">
        <f>COUNTIF('ZEMIO_Cleaned Data'!VJ:VJ,"1")</f>
        <v>0</v>
      </c>
      <c r="C198" s="23">
        <f>COUNTIF('ZEMIO_Cleaned Data'!VK:VK,"1")</f>
        <v>0</v>
      </c>
      <c r="D198" s="23">
        <f>COUNTIF('ZEMIO_Cleaned Data'!VL:VL,"1")</f>
        <v>0</v>
      </c>
      <c r="E198" s="23">
        <f>COUNTIF('ZEMIO_Cleaned Data'!VM:VM,"1")</f>
        <v>2</v>
      </c>
      <c r="F198" s="23">
        <f>COUNTIF('ZEMIO_Cleaned Data'!VN:VN,"1")</f>
        <v>1</v>
      </c>
      <c r="G198" s="23">
        <f>COUNTIF('ZEMIO_Cleaned Data'!VO:VO,"1")</f>
        <v>1</v>
      </c>
      <c r="H198" s="23">
        <f>COUNTIF('ZEMIO_Cleaned Data'!VP:VP,"1")</f>
        <v>1</v>
      </c>
      <c r="I198" s="23">
        <f>COUNTIF('ZEMIO_Cleaned Data'!VQ:VQ,"1")</f>
        <v>1</v>
      </c>
      <c r="J198" s="23">
        <f>COUNTIF('ZEMIO_Cleaned Data'!VR:VR,"1")</f>
        <v>0</v>
      </c>
      <c r="K198" s="23">
        <f>COUNTIF('ZEMIO_Cleaned Data'!VS:VS,"1")</f>
        <v>0</v>
      </c>
      <c r="L198" s="23">
        <f>COUNTIF('ZEMIO_Cleaned Data'!VT:VT,"1")</f>
        <v>0</v>
      </c>
    </row>
    <row r="200" spans="1:26" ht="15.5" x14ac:dyDescent="0.35">
      <c r="A200" s="28" t="s">
        <v>1324</v>
      </c>
    </row>
    <row r="201" spans="1:26" x14ac:dyDescent="0.3">
      <c r="A201" s="3"/>
      <c r="B201" s="7" t="s">
        <v>1201</v>
      </c>
      <c r="C201" s="7" t="s">
        <v>1200</v>
      </c>
      <c r="D201" s="102" t="s">
        <v>1197</v>
      </c>
    </row>
    <row r="202" spans="1:26" x14ac:dyDescent="0.3">
      <c r="A202" s="3" t="s">
        <v>1198</v>
      </c>
      <c r="B202" s="23">
        <f>COUNTIF('ZEMIO_Cleaned Data'!VW:VW,"OUI")</f>
        <v>2</v>
      </c>
      <c r="C202" s="23">
        <f>COUNTIF('ZEMIO_Cleaned Data'!VW:VW,"non")</f>
        <v>0</v>
      </c>
      <c r="D202" s="103">
        <f>SUM(B202:C202)</f>
        <v>2</v>
      </c>
    </row>
    <row r="203" spans="1:26" ht="37.5" x14ac:dyDescent="0.3">
      <c r="A203" s="52" t="s">
        <v>2021</v>
      </c>
      <c r="B203" s="38">
        <f>(B202/$C$4)</f>
        <v>1</v>
      </c>
      <c r="C203" s="38">
        <f>(C202/$C$4)</f>
        <v>0</v>
      </c>
      <c r="D203" s="92">
        <f>SUM(B203:C203)</f>
        <v>1</v>
      </c>
    </row>
    <row r="204" spans="1:26" x14ac:dyDescent="0.3">
      <c r="A204" s="86"/>
      <c r="B204" s="14"/>
      <c r="C204" s="14"/>
    </row>
    <row r="205" spans="1:26" s="1" customFormat="1" x14ac:dyDescent="0.3">
      <c r="A205" s="9"/>
      <c r="B205" s="17" t="s">
        <v>1252</v>
      </c>
      <c r="C205" s="9"/>
      <c r="D205" s="95" t="s">
        <v>1994</v>
      </c>
      <c r="E205" s="9"/>
      <c r="F205" s="9"/>
      <c r="G205" s="9"/>
      <c r="H205" s="9"/>
      <c r="I205" s="9"/>
      <c r="J205" s="9"/>
      <c r="K205" s="9"/>
      <c r="L205" s="9"/>
      <c r="M205" s="9"/>
      <c r="N205" s="9"/>
      <c r="O205" s="9"/>
      <c r="P205" s="9"/>
      <c r="Q205" s="9"/>
      <c r="R205" s="9"/>
      <c r="S205" s="9"/>
      <c r="T205" s="9"/>
      <c r="U205" s="9"/>
      <c r="V205" s="9"/>
      <c r="W205" s="9"/>
      <c r="X205" s="9"/>
      <c r="Y205" s="9"/>
      <c r="Z205" s="9"/>
    </row>
    <row r="206" spans="1:26" s="55" customFormat="1" ht="28" x14ac:dyDescent="0.3">
      <c r="A206" s="35"/>
      <c r="B206" s="3"/>
      <c r="C206" s="10" t="s">
        <v>1723</v>
      </c>
      <c r="D206" s="10" t="s">
        <v>1359</v>
      </c>
      <c r="E206" s="10" t="s">
        <v>1724</v>
      </c>
      <c r="F206" s="10" t="s">
        <v>1725</v>
      </c>
      <c r="G206" s="10" t="s">
        <v>1726</v>
      </c>
      <c r="H206" s="10" t="s">
        <v>1706</v>
      </c>
      <c r="I206" s="10" t="s">
        <v>1196</v>
      </c>
      <c r="J206" s="60"/>
      <c r="K206" s="60"/>
      <c r="L206" s="35"/>
      <c r="M206" s="35"/>
      <c r="N206" s="35"/>
      <c r="O206" s="35"/>
      <c r="P206" s="35"/>
      <c r="Q206" s="35"/>
      <c r="R206" s="35"/>
      <c r="S206" s="35"/>
      <c r="T206" s="35"/>
      <c r="U206" s="35"/>
      <c r="V206" s="35"/>
      <c r="W206" s="35"/>
      <c r="X206" s="35"/>
      <c r="Y206" s="35"/>
      <c r="Z206" s="35"/>
    </row>
    <row r="207" spans="1:26" s="1" customFormat="1" x14ac:dyDescent="0.3">
      <c r="A207" s="9"/>
      <c r="B207" s="3" t="s">
        <v>1198</v>
      </c>
      <c r="C207" s="23">
        <f>COUNTIF('ZEMIO_Cleaned Data'!VY:VY,"1")</f>
        <v>0</v>
      </c>
      <c r="D207" s="23">
        <f>COUNTIF('ZEMIO_Cleaned Data'!VZ:VZ,"1")</f>
        <v>0</v>
      </c>
      <c r="E207" s="23">
        <f>COUNTIF('ZEMIO_Cleaned Data'!WA:WA,"1")</f>
        <v>0</v>
      </c>
      <c r="F207" s="23">
        <f>COUNTIF('ZEMIO_Cleaned Data'!WB:WB,"1")</f>
        <v>0</v>
      </c>
      <c r="G207" s="23">
        <f>COUNTIF('ZEMIO_Cleaned Data'!WC:WC,"1")</f>
        <v>2</v>
      </c>
      <c r="H207" s="23">
        <f>COUNTIF('ZEMIO_Cleaned Data'!WD:WD,"1")</f>
        <v>0</v>
      </c>
      <c r="I207" s="23">
        <f>COUNTIF('ZEMIO_Cleaned Data'!WE:WE,"1")</f>
        <v>0</v>
      </c>
      <c r="J207" s="9"/>
      <c r="K207" s="9"/>
      <c r="L207" s="9"/>
      <c r="M207" s="9"/>
      <c r="N207" s="9"/>
      <c r="O207" s="9"/>
      <c r="P207" s="9"/>
      <c r="Q207" s="9"/>
      <c r="R207" s="9"/>
      <c r="S207" s="9"/>
      <c r="T207" s="9"/>
      <c r="U207" s="9"/>
      <c r="V207" s="9"/>
      <c r="W207" s="9"/>
      <c r="X207" s="9"/>
      <c r="Y207" s="9"/>
      <c r="Z207" s="9"/>
    </row>
    <row r="208" spans="1:26" s="1" customFormat="1" ht="37.5" x14ac:dyDescent="0.3">
      <c r="A208" s="9"/>
      <c r="B208" s="52" t="s">
        <v>2039</v>
      </c>
      <c r="C208" s="6">
        <f>C207/$B$202</f>
        <v>0</v>
      </c>
      <c r="D208" s="6">
        <f t="shared" ref="D208:I208" si="14">D207/$B$202</f>
        <v>0</v>
      </c>
      <c r="E208" s="6">
        <f t="shared" si="14"/>
        <v>0</v>
      </c>
      <c r="F208" s="6">
        <f t="shared" si="14"/>
        <v>0</v>
      </c>
      <c r="G208" s="6">
        <f t="shared" si="14"/>
        <v>1</v>
      </c>
      <c r="H208" s="6">
        <f t="shared" si="14"/>
        <v>0</v>
      </c>
      <c r="I208" s="6">
        <f t="shared" si="14"/>
        <v>0</v>
      </c>
      <c r="J208" s="9"/>
      <c r="K208" s="9"/>
      <c r="L208" s="9"/>
      <c r="M208" s="9"/>
      <c r="N208" s="9"/>
      <c r="O208" s="9"/>
      <c r="P208" s="9"/>
      <c r="Q208" s="9"/>
      <c r="R208" s="9"/>
      <c r="S208" s="9"/>
      <c r="T208" s="9"/>
      <c r="U208" s="9"/>
      <c r="V208" s="9"/>
      <c r="W208" s="9"/>
      <c r="X208" s="9"/>
      <c r="Y208" s="9"/>
      <c r="Z208" s="9"/>
    </row>
    <row r="209" spans="1:26" s="1" customFormat="1" x14ac:dyDescent="0.3">
      <c r="A209" s="9"/>
      <c r="B209" s="9"/>
      <c r="C209" s="9"/>
      <c r="D209" s="9"/>
      <c r="E209" s="9"/>
      <c r="F209" s="9"/>
      <c r="G209" s="9"/>
      <c r="H209" s="9"/>
      <c r="I209" s="73"/>
      <c r="J209" s="9"/>
      <c r="K209" s="9"/>
      <c r="L209" s="9"/>
      <c r="M209" s="9"/>
      <c r="N209" s="9"/>
      <c r="O209" s="9"/>
      <c r="P209" s="9"/>
      <c r="Q209" s="9"/>
      <c r="R209" s="9"/>
      <c r="S209" s="9"/>
      <c r="T209" s="9"/>
      <c r="U209" s="9"/>
      <c r="V209" s="9"/>
      <c r="W209" s="9"/>
      <c r="X209" s="9"/>
      <c r="Y209" s="9"/>
      <c r="Z209" s="9"/>
    </row>
    <row r="210" spans="1:26" s="1" customFormat="1" x14ac:dyDescent="0.3">
      <c r="A210" s="9"/>
      <c r="B210" s="9"/>
      <c r="C210" s="9"/>
      <c r="D210" s="9"/>
      <c r="E210" s="9"/>
      <c r="F210" s="9"/>
      <c r="G210" s="9"/>
      <c r="H210" s="9"/>
      <c r="I210" s="73"/>
      <c r="J210" s="9"/>
      <c r="K210" s="9"/>
      <c r="L210" s="9"/>
      <c r="M210" s="9"/>
      <c r="N210" s="9"/>
      <c r="O210" s="9"/>
      <c r="P210" s="9"/>
      <c r="Q210" s="9"/>
      <c r="R210" s="9"/>
      <c r="S210" s="9"/>
      <c r="T210" s="9"/>
      <c r="U210" s="9"/>
      <c r="V210" s="9"/>
      <c r="W210" s="9"/>
      <c r="X210" s="9"/>
      <c r="Y210" s="9"/>
      <c r="Z210" s="9"/>
    </row>
    <row r="211" spans="1:26" s="1" customFormat="1" x14ac:dyDescent="0.3">
      <c r="A211" s="9"/>
      <c r="B211" s="17" t="s">
        <v>1255</v>
      </c>
      <c r="C211" s="9"/>
      <c r="D211" s="95" t="s">
        <v>1994</v>
      </c>
      <c r="E211" s="9"/>
      <c r="F211" s="9"/>
      <c r="G211" s="9"/>
      <c r="H211" s="9"/>
      <c r="I211" s="9"/>
      <c r="J211" s="9"/>
      <c r="K211" s="9"/>
      <c r="L211" s="9"/>
      <c r="M211" s="9"/>
      <c r="N211" s="9"/>
      <c r="O211" s="9"/>
      <c r="P211" s="9"/>
      <c r="Q211" s="9"/>
      <c r="R211" s="9"/>
      <c r="S211" s="9"/>
      <c r="T211" s="9"/>
      <c r="U211" s="9"/>
      <c r="V211" s="9"/>
      <c r="W211" s="9"/>
      <c r="X211" s="9"/>
      <c r="Y211" s="9"/>
      <c r="Z211" s="9"/>
    </row>
    <row r="212" spans="1:26" s="55" customFormat="1" ht="56" x14ac:dyDescent="0.3">
      <c r="A212" s="35"/>
      <c r="B212" s="3"/>
      <c r="C212" s="10" t="s">
        <v>1729</v>
      </c>
      <c r="D212" s="10" t="s">
        <v>1727</v>
      </c>
      <c r="E212" s="10" t="s">
        <v>1258</v>
      </c>
      <c r="F212" s="10" t="s">
        <v>1259</v>
      </c>
      <c r="G212" s="10" t="s">
        <v>1728</v>
      </c>
      <c r="H212" s="10" t="s">
        <v>1256</v>
      </c>
      <c r="I212" s="10" t="s">
        <v>1257</v>
      </c>
      <c r="J212" s="10" t="s">
        <v>1730</v>
      </c>
      <c r="K212" s="10" t="s">
        <v>1731</v>
      </c>
      <c r="L212" s="10" t="s">
        <v>1732</v>
      </c>
      <c r="M212" s="10" t="s">
        <v>1733</v>
      </c>
      <c r="N212" s="10" t="s">
        <v>1706</v>
      </c>
      <c r="O212" s="10" t="s">
        <v>1211</v>
      </c>
      <c r="P212" s="60"/>
      <c r="Q212" s="60"/>
      <c r="S212" s="35"/>
      <c r="T212" s="35"/>
      <c r="U212" s="35"/>
      <c r="V212" s="35"/>
      <c r="W212" s="35"/>
      <c r="X212" s="35"/>
      <c r="Y212" s="35"/>
      <c r="Z212" s="35"/>
    </row>
    <row r="213" spans="1:26" s="1" customFormat="1" x14ac:dyDescent="0.3">
      <c r="A213" s="9"/>
      <c r="B213" s="3" t="s">
        <v>1198</v>
      </c>
      <c r="C213" s="23">
        <f>COUNTIF('ZEMIO_Cleaned Data'!WH:WH,"1")</f>
        <v>0</v>
      </c>
      <c r="D213" s="23">
        <f>COUNTIF('ZEMIO_Cleaned Data'!WI:WI,"1")</f>
        <v>0</v>
      </c>
      <c r="E213" s="23">
        <f>COUNTIF('ZEMIO_Cleaned Data'!WJ:WJ,"1")</f>
        <v>0</v>
      </c>
      <c r="F213" s="23">
        <f>COUNTIF('ZEMIO_Cleaned Data'!WK:WK,"1")</f>
        <v>0</v>
      </c>
      <c r="G213" s="23">
        <f>COUNTIF('ZEMIO_Cleaned Data'!WL:WL,"1")</f>
        <v>0</v>
      </c>
      <c r="H213" s="23">
        <f>COUNTIF('ZEMIO_Cleaned Data'!WM:WM,"1")</f>
        <v>0</v>
      </c>
      <c r="I213" s="23">
        <f>COUNTIF('ZEMIO_Cleaned Data'!WN:WN,"1")</f>
        <v>0</v>
      </c>
      <c r="J213" s="23">
        <f>COUNTIF('ZEMIO_Cleaned Data'!WO:WO,"1")</f>
        <v>0</v>
      </c>
      <c r="K213" s="23">
        <f>COUNTIF('ZEMIO_Cleaned Data'!WP:WP,"1")</f>
        <v>0</v>
      </c>
      <c r="L213" s="23">
        <f>COUNTIF('ZEMIO_Cleaned Data'!WQ:WQ,"1")</f>
        <v>0</v>
      </c>
      <c r="M213" s="23">
        <f>COUNTIF('ZEMIO_Cleaned Data'!WR:WR,"1")</f>
        <v>0</v>
      </c>
      <c r="N213" s="23">
        <f>COUNTIF('ZEMIO_Cleaned Data'!WS:WS,"1")</f>
        <v>0</v>
      </c>
      <c r="O213" s="23">
        <f>COUNTIF('ZEMIO_Cleaned Data'!WT:WT,"1")</f>
        <v>2</v>
      </c>
      <c r="P213" s="9"/>
      <c r="Q213" s="9"/>
      <c r="R213" s="9"/>
      <c r="S213" s="9"/>
      <c r="T213" s="9"/>
      <c r="U213" s="9"/>
      <c r="V213" s="9"/>
      <c r="W213" s="9"/>
      <c r="X213" s="9"/>
      <c r="Y213" s="9"/>
      <c r="Z213" s="9"/>
    </row>
    <row r="214" spans="1:26" s="1" customFormat="1" ht="37.5" x14ac:dyDescent="0.3">
      <c r="A214" s="9"/>
      <c r="B214" s="52" t="s">
        <v>2039</v>
      </c>
      <c r="C214" s="6">
        <f>C213/$B$202</f>
        <v>0</v>
      </c>
      <c r="D214" s="6">
        <f t="shared" ref="D214:O214" si="15">D213/$B$202</f>
        <v>0</v>
      </c>
      <c r="E214" s="6">
        <f t="shared" si="15"/>
        <v>0</v>
      </c>
      <c r="F214" s="6">
        <f t="shared" si="15"/>
        <v>0</v>
      </c>
      <c r="G214" s="6">
        <f t="shared" si="15"/>
        <v>0</v>
      </c>
      <c r="H214" s="6">
        <f t="shared" si="15"/>
        <v>0</v>
      </c>
      <c r="I214" s="6">
        <f t="shared" si="15"/>
        <v>0</v>
      </c>
      <c r="J214" s="6">
        <f t="shared" si="15"/>
        <v>0</v>
      </c>
      <c r="K214" s="6">
        <f t="shared" si="15"/>
        <v>0</v>
      </c>
      <c r="L214" s="6">
        <f t="shared" si="15"/>
        <v>0</v>
      </c>
      <c r="M214" s="6">
        <f t="shared" si="15"/>
        <v>0</v>
      </c>
      <c r="N214" s="6">
        <f t="shared" si="15"/>
        <v>0</v>
      </c>
      <c r="O214" s="6">
        <f t="shared" si="15"/>
        <v>1</v>
      </c>
      <c r="P214" s="9"/>
      <c r="Q214" s="9"/>
      <c r="R214" s="9"/>
      <c r="S214" s="9"/>
      <c r="T214" s="9"/>
      <c r="U214" s="9"/>
      <c r="V214" s="9"/>
      <c r="W214" s="9"/>
      <c r="X214" s="9"/>
      <c r="Y214" s="9"/>
      <c r="Z214" s="9"/>
    </row>
    <row r="215" spans="1:26" x14ac:dyDescent="0.3">
      <c r="B215" s="14"/>
      <c r="C215" s="14"/>
      <c r="D215" s="14"/>
      <c r="E215" s="14"/>
      <c r="F215" s="14"/>
      <c r="G215" s="14"/>
      <c r="H215" s="14"/>
      <c r="O215" s="73" t="s">
        <v>2316</v>
      </c>
    </row>
    <row r="216" spans="1:26" s="1" customFormat="1" x14ac:dyDescent="0.3">
      <c r="A216" s="9"/>
      <c r="B216" s="17" t="s">
        <v>1393</v>
      </c>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s="1" customFormat="1" x14ac:dyDescent="0.3">
      <c r="A217" s="9"/>
      <c r="B217" s="3"/>
      <c r="C217" s="10" t="s">
        <v>1201</v>
      </c>
      <c r="D217" s="10" t="s">
        <v>1200</v>
      </c>
      <c r="E217" s="102" t="s">
        <v>1197</v>
      </c>
      <c r="F217" s="9"/>
      <c r="G217" s="9"/>
      <c r="H217" s="9"/>
      <c r="I217" s="9"/>
      <c r="J217" s="9"/>
      <c r="K217" s="9"/>
      <c r="L217" s="9"/>
      <c r="M217" s="9"/>
      <c r="N217" s="9"/>
      <c r="O217" s="9"/>
      <c r="P217" s="9"/>
      <c r="Q217" s="9"/>
      <c r="R217" s="9"/>
      <c r="S217" s="9"/>
      <c r="T217" s="9"/>
      <c r="U217" s="9"/>
      <c r="V217" s="9"/>
      <c r="W217" s="9"/>
      <c r="X217" s="9"/>
      <c r="Y217" s="9"/>
      <c r="Z217" s="9"/>
    </row>
    <row r="218" spans="1:26" s="1" customFormat="1" x14ac:dyDescent="0.3">
      <c r="A218" s="9"/>
      <c r="B218" s="3" t="s">
        <v>1198</v>
      </c>
      <c r="C218" s="23">
        <f>COUNTIF('ZEMIO_Cleaned Data'!WV:WV,"OUI")</f>
        <v>1</v>
      </c>
      <c r="D218" s="23">
        <f>COUNTIF('ZEMIO_Cleaned Data'!WV:WV,"non")</f>
        <v>1</v>
      </c>
      <c r="E218" s="103">
        <f>SUM(C218:D218)</f>
        <v>2</v>
      </c>
      <c r="F218" s="9"/>
      <c r="G218" s="9"/>
      <c r="H218" s="9"/>
      <c r="I218" s="9"/>
      <c r="J218" s="9"/>
      <c r="K218" s="9"/>
      <c r="L218" s="9"/>
      <c r="M218" s="9"/>
      <c r="N218" s="9"/>
      <c r="O218" s="9"/>
      <c r="P218" s="9"/>
      <c r="Q218" s="9"/>
      <c r="R218" s="9"/>
      <c r="S218" s="9"/>
      <c r="T218" s="9"/>
      <c r="U218" s="9"/>
      <c r="V218" s="9"/>
      <c r="W218" s="9"/>
      <c r="X218" s="9"/>
      <c r="Y218" s="9"/>
      <c r="Z218" s="9"/>
    </row>
    <row r="219" spans="1:26" s="1" customFormat="1" ht="37.5" x14ac:dyDescent="0.3">
      <c r="A219" s="9"/>
      <c r="B219" s="52" t="s">
        <v>2039</v>
      </c>
      <c r="C219" s="6">
        <f>(C218/$B$202)</f>
        <v>0.5</v>
      </c>
      <c r="D219" s="6">
        <f>(D218/$B$202)</f>
        <v>0.5</v>
      </c>
      <c r="E219" s="92">
        <f>SUM(C219:D219)</f>
        <v>1</v>
      </c>
      <c r="F219" s="9"/>
      <c r="G219" s="9"/>
      <c r="H219" s="9"/>
      <c r="I219" s="9"/>
      <c r="J219" s="9"/>
      <c r="K219" s="9"/>
      <c r="L219" s="9"/>
      <c r="M219" s="9"/>
      <c r="N219" s="9"/>
      <c r="O219" s="9"/>
      <c r="P219" s="9"/>
      <c r="Q219" s="9"/>
      <c r="R219" s="9"/>
      <c r="S219" s="9"/>
      <c r="T219" s="9"/>
      <c r="U219" s="9"/>
      <c r="V219" s="9"/>
      <c r="W219" s="9"/>
      <c r="X219" s="9"/>
      <c r="Y219" s="9"/>
      <c r="Z219" s="9"/>
    </row>
    <row r="220" spans="1:26" s="1" customFormat="1" x14ac:dyDescent="0.3">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s="1" customFormat="1" x14ac:dyDescent="0.3">
      <c r="A221" s="9"/>
      <c r="B221" s="9"/>
      <c r="C221" s="17" t="s">
        <v>1260</v>
      </c>
      <c r="D221" s="9"/>
      <c r="E221" s="95" t="s">
        <v>1994</v>
      </c>
      <c r="F221" s="9"/>
      <c r="G221" s="9"/>
      <c r="H221" s="9"/>
      <c r="I221" s="9"/>
      <c r="J221" s="9"/>
      <c r="K221" s="9"/>
      <c r="L221" s="9"/>
      <c r="M221" s="9"/>
      <c r="N221" s="9"/>
      <c r="O221" s="9"/>
      <c r="P221" s="9"/>
      <c r="Q221" s="9"/>
      <c r="R221" s="9"/>
      <c r="S221" s="9"/>
      <c r="T221" s="9"/>
      <c r="U221" s="9"/>
      <c r="V221" s="9"/>
      <c r="W221" s="9"/>
      <c r="X221" s="9"/>
      <c r="Y221" s="9"/>
      <c r="Z221" s="9"/>
    </row>
    <row r="222" spans="1:26" s="1" customFormat="1" x14ac:dyDescent="0.3">
      <c r="A222" s="9"/>
      <c r="B222" s="9"/>
      <c r="C222" s="3"/>
      <c r="D222" s="10" t="s">
        <v>1261</v>
      </c>
      <c r="E222" s="10" t="s">
        <v>1262</v>
      </c>
      <c r="F222" s="10" t="s">
        <v>1263</v>
      </c>
      <c r="G222" s="10" t="s">
        <v>1264</v>
      </c>
      <c r="H222" s="10" t="s">
        <v>1196</v>
      </c>
      <c r="I222" s="9"/>
      <c r="J222" s="9"/>
      <c r="K222" s="9"/>
      <c r="L222" s="9"/>
      <c r="M222" s="9"/>
      <c r="N222" s="9"/>
      <c r="O222" s="9"/>
      <c r="P222" s="9"/>
      <c r="Q222" s="9"/>
      <c r="R222" s="9"/>
      <c r="S222" s="9"/>
      <c r="T222" s="9"/>
      <c r="U222" s="9"/>
      <c r="V222" s="9"/>
      <c r="W222" s="9"/>
      <c r="X222" s="9"/>
      <c r="Y222" s="9"/>
      <c r="Z222" s="9"/>
    </row>
    <row r="223" spans="1:26" s="1" customFormat="1" x14ac:dyDescent="0.3">
      <c r="A223" s="9"/>
      <c r="B223" s="9"/>
      <c r="C223" s="3" t="s">
        <v>1198</v>
      </c>
      <c r="D223" s="4">
        <f>COUNTIF('ZEMIO_Cleaned Data'!WX:WX,"1")</f>
        <v>1</v>
      </c>
      <c r="E223" s="4">
        <f>COUNTIF('ZEMIO_Cleaned Data'!WY:WY,"1")</f>
        <v>0</v>
      </c>
      <c r="F223" s="4">
        <f>COUNTIF('ZEMIO_Cleaned Data'!WZ:WZ,"1")</f>
        <v>1</v>
      </c>
      <c r="G223" s="4">
        <f>COUNTIF('ZEMIO_Cleaned Data'!XA:XA,"1")</f>
        <v>0</v>
      </c>
      <c r="H223" s="4">
        <f>COUNTIF('ZEMIO_Cleaned Data'!XB:XB,"1")</f>
        <v>0</v>
      </c>
      <c r="I223" s="9"/>
      <c r="J223" s="9"/>
      <c r="K223" s="9"/>
      <c r="L223" s="9"/>
      <c r="M223" s="9"/>
      <c r="N223" s="9"/>
      <c r="O223" s="9"/>
      <c r="P223" s="9"/>
      <c r="Q223" s="9"/>
      <c r="R223" s="9"/>
      <c r="S223" s="9"/>
      <c r="T223" s="9"/>
      <c r="U223" s="9"/>
      <c r="V223" s="9"/>
      <c r="W223" s="9"/>
      <c r="X223" s="9"/>
      <c r="Y223" s="9"/>
      <c r="Z223" s="9"/>
    </row>
    <row r="224" spans="1:26" s="1" customFormat="1" ht="49" x14ac:dyDescent="0.3">
      <c r="A224" s="9"/>
      <c r="B224" s="9"/>
      <c r="C224" s="52" t="s">
        <v>2040</v>
      </c>
      <c r="D224" s="6">
        <f>D223/$D$218</f>
        <v>1</v>
      </c>
      <c r="E224" s="6">
        <f t="shared" ref="E224:H224" si="16">E223/$D$218</f>
        <v>0</v>
      </c>
      <c r="F224" s="6">
        <f t="shared" si="16"/>
        <v>1</v>
      </c>
      <c r="G224" s="6">
        <f t="shared" si="16"/>
        <v>0</v>
      </c>
      <c r="H224" s="6">
        <f t="shared" si="16"/>
        <v>0</v>
      </c>
      <c r="I224" s="9"/>
      <c r="J224" s="9"/>
      <c r="K224" s="9"/>
      <c r="L224" s="9"/>
      <c r="M224" s="9"/>
      <c r="N224" s="9"/>
      <c r="O224" s="9"/>
      <c r="P224" s="9"/>
      <c r="Q224" s="9"/>
      <c r="R224" s="9"/>
      <c r="S224" s="9"/>
      <c r="T224" s="9"/>
      <c r="U224" s="9"/>
      <c r="V224" s="9"/>
      <c r="W224" s="9"/>
      <c r="X224" s="9"/>
      <c r="Y224" s="9"/>
      <c r="Z224" s="9"/>
    </row>
    <row r="226" spans="1:13" ht="15.5" x14ac:dyDescent="0.35">
      <c r="A226" s="8" t="s">
        <v>1291</v>
      </c>
      <c r="C226" s="95" t="s">
        <v>1994</v>
      </c>
    </row>
    <row r="227" spans="1:13" s="35" customFormat="1" ht="84" x14ac:dyDescent="0.35">
      <c r="A227" s="7" t="s">
        <v>1862</v>
      </c>
      <c r="B227" s="7" t="s">
        <v>1470</v>
      </c>
      <c r="C227" s="7" t="s">
        <v>1863</v>
      </c>
      <c r="D227" s="7" t="s">
        <v>1864</v>
      </c>
      <c r="E227" s="7" t="s">
        <v>1865</v>
      </c>
      <c r="F227" s="7" t="s">
        <v>1471</v>
      </c>
      <c r="G227" s="7" t="s">
        <v>1258</v>
      </c>
      <c r="H227" s="7" t="s">
        <v>1866</v>
      </c>
      <c r="I227" s="7" t="s">
        <v>1867</v>
      </c>
      <c r="J227" s="7" t="s">
        <v>1868</v>
      </c>
      <c r="K227" s="7" t="s">
        <v>1869</v>
      </c>
      <c r="L227" s="7" t="s">
        <v>1706</v>
      </c>
      <c r="M227" s="7" t="s">
        <v>1211</v>
      </c>
    </row>
    <row r="228" spans="1:13" x14ac:dyDescent="0.3">
      <c r="A228" s="23">
        <f>COUNTIF('ZEMIO_Cleaned Data'!XE:XE,"1")</f>
        <v>1</v>
      </c>
      <c r="B228" s="23">
        <f>COUNTIF('ZEMIO_Cleaned Data'!XF:XF,"1")</f>
        <v>0</v>
      </c>
      <c r="C228" s="23">
        <f>COUNTIF('ZEMIO_Cleaned Data'!XG:XG,"1")</f>
        <v>2</v>
      </c>
      <c r="D228" s="23">
        <f>COUNTIF('ZEMIO_Cleaned Data'!XH:XH,"1")</f>
        <v>2</v>
      </c>
      <c r="E228" s="23">
        <f>COUNTIF('ZEMIO_Cleaned Data'!XI:XI,"1")</f>
        <v>1</v>
      </c>
      <c r="F228" s="23">
        <f>COUNTIF('ZEMIO_Cleaned Data'!XJ:XJ,"1")</f>
        <v>2</v>
      </c>
      <c r="G228" s="23">
        <f>COUNTIF('ZEMIO_Cleaned Data'!XK:XK,"1")</f>
        <v>1</v>
      </c>
      <c r="H228" s="23">
        <f>COUNTIF('ZEMIO_Cleaned Data'!XL:XL,"1")</f>
        <v>2</v>
      </c>
      <c r="I228" s="23">
        <f>COUNTIF('ZEMIO_Cleaned Data'!XM:XM,"1")</f>
        <v>2</v>
      </c>
      <c r="J228" s="23">
        <f>COUNTIF('ZEMIO_Cleaned Data'!XN:XN,"1")</f>
        <v>0</v>
      </c>
      <c r="K228" s="23">
        <f>COUNTIF('ZEMIO_Cleaned Data'!XO:XO,"1")</f>
        <v>0</v>
      </c>
      <c r="L228" s="23">
        <f>COUNTIF('ZEMIO_Cleaned Data'!XP:XP,"1")</f>
        <v>0</v>
      </c>
      <c r="M228" s="23">
        <f>COUNTIF('ZEMIO_Cleaned Data'!XQ:XQ,"1")</f>
        <v>0</v>
      </c>
    </row>
    <row r="229" spans="1:13" x14ac:dyDescent="0.3">
      <c r="M229" s="73"/>
    </row>
    <row r="230" spans="1:13" ht="15.5" x14ac:dyDescent="0.35">
      <c r="A230" s="8" t="s">
        <v>1472</v>
      </c>
    </row>
    <row r="231" spans="1:13" ht="15.5" x14ac:dyDescent="0.35">
      <c r="A231" s="28" t="s">
        <v>1473</v>
      </c>
    </row>
    <row r="232" spans="1:13" x14ac:dyDescent="0.3">
      <c r="A232" s="3"/>
      <c r="B232" s="7" t="s">
        <v>1201</v>
      </c>
      <c r="C232" s="7" t="s">
        <v>1200</v>
      </c>
      <c r="D232" s="102" t="s">
        <v>1197</v>
      </c>
    </row>
    <row r="233" spans="1:13" x14ac:dyDescent="0.3">
      <c r="A233" s="3" t="s">
        <v>1198</v>
      </c>
      <c r="B233" s="4">
        <f>COUNTIF('ZEMIO_Cleaned Data'!XT:XT,"OUI")</f>
        <v>2</v>
      </c>
      <c r="C233" s="4">
        <f>COUNTIF('ZEMIO_Cleaned Data'!XT:XT,"non")</f>
        <v>0</v>
      </c>
      <c r="D233" s="103">
        <f>SUM(B233:C233)</f>
        <v>2</v>
      </c>
    </row>
    <row r="234" spans="1:13" s="35" customFormat="1" ht="37" x14ac:dyDescent="0.3">
      <c r="A234" s="53" t="s">
        <v>2031</v>
      </c>
      <c r="B234" s="110">
        <f>(B233/$E$9)</f>
        <v>1</v>
      </c>
      <c r="C234" s="110">
        <f>(C233/$E$9)</f>
        <v>0</v>
      </c>
      <c r="D234" s="92">
        <f>SUM(B234:C234)</f>
        <v>1</v>
      </c>
    </row>
    <row r="236" spans="1:13" x14ac:dyDescent="0.3">
      <c r="B236" s="17" t="s">
        <v>1474</v>
      </c>
      <c r="D236" s="95" t="s">
        <v>1994</v>
      </c>
    </row>
    <row r="237" spans="1:13" s="35" customFormat="1" ht="56" x14ac:dyDescent="0.3">
      <c r="B237" s="3"/>
      <c r="C237" s="10" t="s">
        <v>1475</v>
      </c>
      <c r="D237" s="10" t="s">
        <v>1476</v>
      </c>
      <c r="E237" s="10" t="s">
        <v>1477</v>
      </c>
      <c r="F237" s="10" t="s">
        <v>1478</v>
      </c>
      <c r="G237" s="10" t="s">
        <v>1479</v>
      </c>
      <c r="H237" s="10" t="s">
        <v>1480</v>
      </c>
      <c r="I237" s="10" t="s">
        <v>2006</v>
      </c>
      <c r="J237" s="10" t="s">
        <v>1196</v>
      </c>
    </row>
    <row r="238" spans="1:13" x14ac:dyDescent="0.3">
      <c r="B238" s="3" t="s">
        <v>1198</v>
      </c>
      <c r="C238" s="23">
        <f>COUNTIF('ZEMIO_Cleaned Data'!XV:XV,"1")</f>
        <v>2</v>
      </c>
      <c r="D238" s="23">
        <f>COUNTIF('ZEMIO_Cleaned Data'!XW:XW,"1")</f>
        <v>2</v>
      </c>
      <c r="E238" s="23">
        <f>COUNTIF('ZEMIO_Cleaned Data'!XX:XX,"1")</f>
        <v>2</v>
      </c>
      <c r="F238" s="23">
        <f>COUNTIF('ZEMIO_Cleaned Data'!XY:XY,"1")</f>
        <v>2</v>
      </c>
      <c r="G238" s="23">
        <f>COUNTIF('ZEMIO_Cleaned Data'!XZ:XZ,"1")</f>
        <v>2</v>
      </c>
      <c r="H238" s="23">
        <f>COUNTIF('ZEMIO_Cleaned Data'!YA:YA,"1")</f>
        <v>0</v>
      </c>
      <c r="I238" s="23">
        <f>COUNTIF('ZEMIO_Cleaned Data'!YB:YB,"1")</f>
        <v>0</v>
      </c>
      <c r="J238" s="23">
        <f>COUNTIF('ZEMIO_Cleaned Data'!YC:YC,"1")</f>
        <v>0</v>
      </c>
    </row>
    <row r="239" spans="1:13" ht="37" x14ac:dyDescent="0.3">
      <c r="B239" s="53" t="s">
        <v>2041</v>
      </c>
      <c r="C239" s="110">
        <f>(C238/$B$233)</f>
        <v>1</v>
      </c>
      <c r="D239" s="110">
        <f t="shared" ref="D239:J239" si="17">(D238/$B$233)</f>
        <v>1</v>
      </c>
      <c r="E239" s="110">
        <f t="shared" si="17"/>
        <v>1</v>
      </c>
      <c r="F239" s="110">
        <f t="shared" si="17"/>
        <v>1</v>
      </c>
      <c r="G239" s="110">
        <f t="shared" si="17"/>
        <v>1</v>
      </c>
      <c r="H239" s="110">
        <f t="shared" si="17"/>
        <v>0</v>
      </c>
      <c r="I239" s="110">
        <f t="shared" si="17"/>
        <v>0</v>
      </c>
      <c r="J239" s="110">
        <f t="shared" si="17"/>
        <v>0</v>
      </c>
    </row>
    <row r="241" spans="1:4" ht="15.5" x14ac:dyDescent="0.35">
      <c r="A241" s="28" t="s">
        <v>1481</v>
      </c>
    </row>
    <row r="242" spans="1:4" x14ac:dyDescent="0.3">
      <c r="A242" s="3"/>
      <c r="B242" s="7" t="s">
        <v>1201</v>
      </c>
      <c r="C242" s="7" t="s">
        <v>1200</v>
      </c>
      <c r="D242" s="102" t="s">
        <v>1197</v>
      </c>
    </row>
    <row r="243" spans="1:4" x14ac:dyDescent="0.3">
      <c r="A243" s="3" t="s">
        <v>1198</v>
      </c>
      <c r="B243" s="4">
        <f>COUNTIF('ZEMIO_Cleaned Data'!YE:YE,"OUI")</f>
        <v>2</v>
      </c>
      <c r="C243" s="4">
        <f>COUNTIF('ZEMIO_Cleaned Data'!YE:YE,"non")</f>
        <v>0</v>
      </c>
      <c r="D243" s="103">
        <f>SUM(B243:C243)</f>
        <v>2</v>
      </c>
    </row>
    <row r="244" spans="1:4" ht="37" x14ac:dyDescent="0.3">
      <c r="A244" s="53" t="s">
        <v>2031</v>
      </c>
      <c r="B244" s="110">
        <f>(B243/$E$9)</f>
        <v>1</v>
      </c>
      <c r="C244" s="110">
        <f>(C243/$E$9)</f>
        <v>0</v>
      </c>
      <c r="D244" s="92">
        <f>SUM(B244:C244)</f>
        <v>1</v>
      </c>
    </row>
    <row r="246" spans="1:4" ht="15.5" x14ac:dyDescent="0.35">
      <c r="A246" s="28" t="s">
        <v>1482</v>
      </c>
    </row>
    <row r="247" spans="1:4" x14ac:dyDescent="0.3">
      <c r="A247" s="3"/>
      <c r="B247" s="7" t="s">
        <v>1201</v>
      </c>
      <c r="C247" s="7" t="s">
        <v>1200</v>
      </c>
      <c r="D247" s="102" t="s">
        <v>1197</v>
      </c>
    </row>
    <row r="248" spans="1:4" x14ac:dyDescent="0.3">
      <c r="A248" s="3" t="s">
        <v>1198</v>
      </c>
      <c r="B248" s="4">
        <f>COUNTIF('ZEMIO_Cleaned Data'!YF:YF,"OUI")</f>
        <v>2</v>
      </c>
      <c r="C248" s="4">
        <f>COUNTIF('ZEMIO_Cleaned Data'!YF:YF,"non")</f>
        <v>0</v>
      </c>
      <c r="D248" s="103">
        <f>SUM(B248:C248)</f>
        <v>2</v>
      </c>
    </row>
    <row r="249" spans="1:4" ht="37" x14ac:dyDescent="0.3">
      <c r="A249" s="53" t="s">
        <v>2031</v>
      </c>
      <c r="B249" s="110">
        <f>(B248/$E$9)</f>
        <v>1</v>
      </c>
      <c r="C249" s="110">
        <f>(C248/$E$9)</f>
        <v>0</v>
      </c>
      <c r="D249" s="92">
        <f>SUM(B249:C249)</f>
        <v>1</v>
      </c>
    </row>
    <row r="251" spans="1:4" ht="15.5" x14ac:dyDescent="0.35">
      <c r="A251" s="28" t="s">
        <v>1483</v>
      </c>
    </row>
    <row r="252" spans="1:4" x14ac:dyDescent="0.3">
      <c r="A252" s="3"/>
      <c r="B252" s="7" t="s">
        <v>1201</v>
      </c>
      <c r="C252" s="7" t="s">
        <v>1200</v>
      </c>
      <c r="D252" s="102" t="s">
        <v>1197</v>
      </c>
    </row>
    <row r="253" spans="1:4" x14ac:dyDescent="0.3">
      <c r="A253" s="3" t="s">
        <v>1198</v>
      </c>
      <c r="B253" s="4">
        <f>COUNTIF('ZEMIO_Cleaned Data'!YH:YH,"OUI")</f>
        <v>2</v>
      </c>
      <c r="C253" s="4">
        <f>COUNTIF('ZEMIO_Cleaned Data'!YH:YH,"non")</f>
        <v>0</v>
      </c>
      <c r="D253" s="103">
        <f>SUM(B253:C253)</f>
        <v>2</v>
      </c>
    </row>
    <row r="254" spans="1:4" ht="37" x14ac:dyDescent="0.3">
      <c r="A254" s="53" t="s">
        <v>2031</v>
      </c>
      <c r="B254" s="110">
        <f>(B253/$E$9)</f>
        <v>1</v>
      </c>
      <c r="C254" s="110">
        <f>(C253/$E$9)</f>
        <v>0</v>
      </c>
      <c r="D254" s="92">
        <f>SUM(B254:C254)</f>
        <v>1</v>
      </c>
    </row>
    <row r="256" spans="1:4" x14ac:dyDescent="0.3">
      <c r="B256" s="17" t="s">
        <v>1484</v>
      </c>
      <c r="D256" s="95" t="s">
        <v>1994</v>
      </c>
    </row>
    <row r="257" spans="1:10" s="35" customFormat="1" ht="42" x14ac:dyDescent="0.3">
      <c r="B257" s="3"/>
      <c r="C257" s="10" t="s">
        <v>1475</v>
      </c>
      <c r="D257" s="10" t="s">
        <v>1485</v>
      </c>
      <c r="E257" s="10" t="s">
        <v>1490</v>
      </c>
      <c r="F257" s="10" t="s">
        <v>1486</v>
      </c>
      <c r="G257" s="10" t="s">
        <v>1487</v>
      </c>
      <c r="H257" s="10" t="s">
        <v>1488</v>
      </c>
      <c r="I257" s="10" t="s">
        <v>1489</v>
      </c>
      <c r="J257" s="10" t="s">
        <v>1211</v>
      </c>
    </row>
    <row r="258" spans="1:10" x14ac:dyDescent="0.3">
      <c r="B258" s="3" t="s">
        <v>1198</v>
      </c>
      <c r="C258" s="23">
        <f>COUNTIF('ZEMIO_Cleaned Data'!YJ:YJ,"1")</f>
        <v>2</v>
      </c>
      <c r="D258" s="23">
        <f>COUNTIF('ZEMIO_Cleaned Data'!YK:YK,"1")</f>
        <v>2</v>
      </c>
      <c r="E258" s="23">
        <f>COUNTIF('ZEMIO_Cleaned Data'!YL:YL,"1")</f>
        <v>2</v>
      </c>
      <c r="F258" s="23">
        <f>COUNTIF('ZEMIO_Cleaned Data'!YM:YM,"1")</f>
        <v>2</v>
      </c>
      <c r="G258" s="23">
        <f>COUNTIF('ZEMIO_Cleaned Data'!YN:YN,"1")</f>
        <v>2</v>
      </c>
      <c r="H258" s="23">
        <f>COUNTIF('ZEMIO_Cleaned Data'!YO:YO,"1")</f>
        <v>2</v>
      </c>
      <c r="I258" s="23">
        <f>COUNTIF('ZEMIO_Cleaned Data'!YP:YP,"1")</f>
        <v>1</v>
      </c>
      <c r="J258" s="23">
        <f>COUNTIF('ZEMIO_Cleaned Data'!YQ:YQ,"1")</f>
        <v>0</v>
      </c>
    </row>
    <row r="259" spans="1:10" ht="49" x14ac:dyDescent="0.3">
      <c r="B259" s="52" t="s">
        <v>2042</v>
      </c>
      <c r="C259" s="110">
        <f>C258/$B$253</f>
        <v>1</v>
      </c>
      <c r="D259" s="110">
        <f t="shared" ref="D259:J259" si="18">D258/$B$253</f>
        <v>1</v>
      </c>
      <c r="E259" s="110">
        <f t="shared" si="18"/>
        <v>1</v>
      </c>
      <c r="F259" s="110">
        <f t="shared" si="18"/>
        <v>1</v>
      </c>
      <c r="G259" s="110">
        <f t="shared" si="18"/>
        <v>1</v>
      </c>
      <c r="H259" s="110">
        <f t="shared" si="18"/>
        <v>1</v>
      </c>
      <c r="I259" s="110">
        <f t="shared" si="18"/>
        <v>0.5</v>
      </c>
      <c r="J259" s="110">
        <f t="shared" si="18"/>
        <v>0</v>
      </c>
    </row>
    <row r="261" spans="1:10" x14ac:dyDescent="0.3">
      <c r="B261" s="17" t="s">
        <v>1491</v>
      </c>
    </row>
    <row r="262" spans="1:10" x14ac:dyDescent="0.3">
      <c r="B262" s="3"/>
      <c r="C262" s="5" t="s">
        <v>1201</v>
      </c>
      <c r="D262" s="5" t="s">
        <v>1200</v>
      </c>
      <c r="E262" s="102" t="s">
        <v>1197</v>
      </c>
    </row>
    <row r="263" spans="1:10" x14ac:dyDescent="0.3">
      <c r="B263" s="3" t="s">
        <v>1198</v>
      </c>
      <c r="C263" s="4">
        <f>COUNTIF('ZEMIO_Cleaned Data'!YS:YS,"oui")</f>
        <v>0</v>
      </c>
      <c r="D263" s="4">
        <f>COUNTIF('ZEMIO_Cleaned Data'!YS:YS,"non")</f>
        <v>2</v>
      </c>
      <c r="E263" s="103">
        <f>SUM(C263:D263)</f>
        <v>2</v>
      </c>
    </row>
    <row r="264" spans="1:10" ht="49" x14ac:dyDescent="0.3">
      <c r="B264" s="52" t="s">
        <v>2042</v>
      </c>
      <c r="C264" s="6">
        <f>(C263/$B$253)</f>
        <v>0</v>
      </c>
      <c r="D264" s="6">
        <f>(D263/$B$253)</f>
        <v>1</v>
      </c>
      <c r="E264" s="92">
        <f>SUM(C264:D264)</f>
        <v>1</v>
      </c>
    </row>
    <row r="266" spans="1:10" x14ac:dyDescent="0.3">
      <c r="C266" s="17" t="s">
        <v>1252</v>
      </c>
      <c r="E266" s="95" t="s">
        <v>1994</v>
      </c>
    </row>
    <row r="267" spans="1:10" ht="28" x14ac:dyDescent="0.3">
      <c r="C267" s="3"/>
      <c r="D267" s="10" t="s">
        <v>1492</v>
      </c>
      <c r="E267" s="10" t="s">
        <v>1493</v>
      </c>
      <c r="F267" s="10" t="s">
        <v>1494</v>
      </c>
      <c r="G267" s="10" t="s">
        <v>1495</v>
      </c>
      <c r="H267" s="10" t="s">
        <v>1211</v>
      </c>
    </row>
    <row r="268" spans="1:10" x14ac:dyDescent="0.3">
      <c r="C268" s="3" t="s">
        <v>1198</v>
      </c>
      <c r="D268" s="23">
        <f>COUNTIF('ZEMIO_Cleaned Data'!YU:YU,"1")</f>
        <v>0</v>
      </c>
      <c r="E268" s="23">
        <f>COUNTIF('ZEMIO_Cleaned Data'!YV:YV,"1")</f>
        <v>0</v>
      </c>
      <c r="F268" s="23">
        <f>COUNTIF('ZEMIO_Cleaned Data'!YW:YW,"1")</f>
        <v>0</v>
      </c>
      <c r="G268" s="23">
        <f>COUNTIF('ZEMIO_Cleaned Data'!YX:YX,"1")</f>
        <v>0</v>
      </c>
      <c r="H268" s="23">
        <f>COUNTIF('ZEMIO_Cleaned Data'!YY:YY,"1")</f>
        <v>0</v>
      </c>
    </row>
    <row r="269" spans="1:10" ht="60.5" x14ac:dyDescent="0.3">
      <c r="C269" s="52" t="s">
        <v>2042</v>
      </c>
      <c r="D269" s="6">
        <f>(D268/$B$253)</f>
        <v>0</v>
      </c>
      <c r="E269" s="6">
        <f t="shared" ref="E269:H269" si="19">(E268/$B$253)</f>
        <v>0</v>
      </c>
      <c r="F269" s="6">
        <f t="shared" si="19"/>
        <v>0</v>
      </c>
      <c r="G269" s="6">
        <f t="shared" si="19"/>
        <v>0</v>
      </c>
      <c r="H269" s="6">
        <f t="shared" si="19"/>
        <v>0</v>
      </c>
    </row>
    <row r="271" spans="1:10" ht="15.5" x14ac:dyDescent="0.35">
      <c r="A271" s="28" t="s">
        <v>1496</v>
      </c>
    </row>
    <row r="272" spans="1:10" x14ac:dyDescent="0.3">
      <c r="A272" s="3"/>
      <c r="B272" s="7" t="s">
        <v>1201</v>
      </c>
      <c r="C272" s="7" t="s">
        <v>1200</v>
      </c>
      <c r="D272" s="102" t="s">
        <v>1197</v>
      </c>
    </row>
    <row r="273" spans="1:4" x14ac:dyDescent="0.3">
      <c r="A273" s="3" t="s">
        <v>1198</v>
      </c>
      <c r="B273" s="4">
        <f>COUNTIF('ZEMIO_Cleaned Data'!ZA:ZA,"OUI")</f>
        <v>2</v>
      </c>
      <c r="C273" s="4">
        <f>COUNTIF('ZEMIO_Cleaned Data'!ZA:ZA,"non")</f>
        <v>0</v>
      </c>
      <c r="D273" s="103">
        <f>SUM(B273:C273)</f>
        <v>2</v>
      </c>
    </row>
    <row r="274" spans="1:4" ht="37.5" x14ac:dyDescent="0.3">
      <c r="A274" s="52" t="s">
        <v>2023</v>
      </c>
      <c r="B274" s="38">
        <f>(B273/$E$9)</f>
        <v>1</v>
      </c>
      <c r="C274" s="38">
        <f>(C273/$E$9)</f>
        <v>0</v>
      </c>
      <c r="D274" s="92">
        <f>SUM(B274:C274)</f>
        <v>1</v>
      </c>
    </row>
    <row r="275" spans="1:4" x14ac:dyDescent="0.3">
      <c r="D275" s="114"/>
    </row>
    <row r="276" spans="1:4" ht="15.5" x14ac:dyDescent="0.35">
      <c r="A276" s="28" t="s">
        <v>1498</v>
      </c>
    </row>
    <row r="277" spans="1:4" x14ac:dyDescent="0.3">
      <c r="A277" s="3"/>
      <c r="B277" s="7" t="s">
        <v>1201</v>
      </c>
      <c r="C277" s="7" t="s">
        <v>1200</v>
      </c>
      <c r="D277" s="102" t="s">
        <v>1197</v>
      </c>
    </row>
    <row r="278" spans="1:4" x14ac:dyDescent="0.3">
      <c r="A278" s="3" t="s">
        <v>1198</v>
      </c>
      <c r="B278" s="4">
        <f>COUNTIF('ZEMIO_Cleaned Data'!ZF:ZF,"OUI")</f>
        <v>1</v>
      </c>
      <c r="C278" s="4">
        <f>COUNTIF('ZEMIO_Cleaned Data'!ZF:ZF,"non")</f>
        <v>1</v>
      </c>
      <c r="D278" s="103">
        <f>SUM(B278:C278)</f>
        <v>2</v>
      </c>
    </row>
    <row r="279" spans="1:4" ht="37.5" x14ac:dyDescent="0.3">
      <c r="A279" s="52" t="s">
        <v>2023</v>
      </c>
      <c r="B279" s="38">
        <f>(B278/$E$9)</f>
        <v>0.5</v>
      </c>
      <c r="C279" s="38">
        <f>(C278/$E$9)</f>
        <v>0.5</v>
      </c>
      <c r="D279" s="92">
        <f>SUM(B279:C279)</f>
        <v>1</v>
      </c>
    </row>
    <row r="280" spans="1:4" x14ac:dyDescent="0.3">
      <c r="D280" s="114"/>
    </row>
    <row r="281" spans="1:4" ht="15.5" x14ac:dyDescent="0.35">
      <c r="A281" s="28" t="s">
        <v>1497</v>
      </c>
    </row>
    <row r="282" spans="1:4" x14ac:dyDescent="0.3">
      <c r="A282" s="3"/>
      <c r="B282" s="7" t="s">
        <v>1201</v>
      </c>
      <c r="C282" s="7" t="s">
        <v>1200</v>
      </c>
      <c r="D282" s="102" t="s">
        <v>1197</v>
      </c>
    </row>
    <row r="283" spans="1:4" x14ac:dyDescent="0.3">
      <c r="A283" s="3" t="s">
        <v>1198</v>
      </c>
      <c r="B283" s="4">
        <f>COUNTIF('ZEMIO_Cleaned Data'!ZK:ZK,"OUI")</f>
        <v>1</v>
      </c>
      <c r="C283" s="4">
        <f>COUNTIF('ZEMIO_Cleaned Data'!ZK:ZK,"non")</f>
        <v>1</v>
      </c>
      <c r="D283" s="103">
        <f>SUM(B283:C283)</f>
        <v>2</v>
      </c>
    </row>
    <row r="284" spans="1:4" ht="37.5" x14ac:dyDescent="0.3">
      <c r="A284" s="52" t="s">
        <v>2023</v>
      </c>
      <c r="B284" s="38">
        <f>(B283/$E$9)</f>
        <v>0.5</v>
      </c>
      <c r="C284" s="38">
        <f>(C283/$E$9)</f>
        <v>0.5</v>
      </c>
      <c r="D284" s="92">
        <f>SUM(B284:C284)</f>
        <v>1</v>
      </c>
    </row>
    <row r="285" spans="1:4" x14ac:dyDescent="0.3">
      <c r="D285" s="114"/>
    </row>
    <row r="286" spans="1:4" ht="15.5" x14ac:dyDescent="0.35">
      <c r="A286" s="28" t="s">
        <v>1499</v>
      </c>
    </row>
    <row r="287" spans="1:4" x14ac:dyDescent="0.3">
      <c r="A287" s="3"/>
      <c r="B287" s="7" t="s">
        <v>1201</v>
      </c>
      <c r="C287" s="7" t="s">
        <v>1200</v>
      </c>
      <c r="D287" s="102" t="s">
        <v>1197</v>
      </c>
    </row>
    <row r="288" spans="1:4" x14ac:dyDescent="0.3">
      <c r="A288" s="3" t="s">
        <v>1198</v>
      </c>
      <c r="B288" s="4">
        <f>COUNTIF('ZEMIO_Cleaned Data'!ZL:ZL,"OUI")</f>
        <v>2</v>
      </c>
      <c r="C288" s="4">
        <f>COUNTIF('ZEMIO_Cleaned Data'!ZL:ZL,"non")</f>
        <v>0</v>
      </c>
      <c r="D288" s="103">
        <f>SUM(B288:C288)</f>
        <v>2</v>
      </c>
    </row>
    <row r="289" spans="1:4" ht="37.5" x14ac:dyDescent="0.3">
      <c r="A289" s="52" t="s">
        <v>2023</v>
      </c>
      <c r="B289" s="38">
        <f>(B288/$E$9)</f>
        <v>1</v>
      </c>
      <c r="C289" s="38">
        <f>(C288/$E$9)</f>
        <v>0</v>
      </c>
      <c r="D289" s="92">
        <f>SUM(B289:C289)</f>
        <v>1</v>
      </c>
    </row>
    <row r="290" spans="1:4" x14ac:dyDescent="0.3">
      <c r="D290" s="114"/>
    </row>
    <row r="291" spans="1:4" ht="15.5" x14ac:dyDescent="0.35">
      <c r="A291" s="28" t="s">
        <v>1500</v>
      </c>
    </row>
    <row r="292" spans="1:4" x14ac:dyDescent="0.3">
      <c r="A292" s="3"/>
      <c r="B292" s="7" t="s">
        <v>1201</v>
      </c>
      <c r="C292" s="7" t="s">
        <v>1200</v>
      </c>
      <c r="D292" s="102" t="s">
        <v>1197</v>
      </c>
    </row>
    <row r="293" spans="1:4" x14ac:dyDescent="0.3">
      <c r="A293" s="3" t="s">
        <v>1198</v>
      </c>
      <c r="B293" s="4">
        <f>COUNTIF('ZEMIO_Cleaned Data'!ZN:ZN,"OUI")</f>
        <v>1</v>
      </c>
      <c r="C293" s="4">
        <f>COUNTIF('ZEMIO_Cleaned Data'!ZN:ZN,"non")</f>
        <v>1</v>
      </c>
      <c r="D293" s="103">
        <f>SUM(B293:C293)</f>
        <v>2</v>
      </c>
    </row>
    <row r="294" spans="1:4" ht="37.5" x14ac:dyDescent="0.3">
      <c r="A294" s="52" t="s">
        <v>2023</v>
      </c>
      <c r="B294" s="38">
        <f>(B293/$E$9)</f>
        <v>0.5</v>
      </c>
      <c r="C294" s="38">
        <f>(C293/$E$9)</f>
        <v>0.5</v>
      </c>
      <c r="D294" s="92">
        <f>SUM(B294:C294)</f>
        <v>1</v>
      </c>
    </row>
    <row r="295" spans="1:4" x14ac:dyDescent="0.3">
      <c r="D295" s="114"/>
    </row>
    <row r="296" spans="1:4" ht="15.5" x14ac:dyDescent="0.35">
      <c r="A296" s="28" t="s">
        <v>1501</v>
      </c>
    </row>
    <row r="297" spans="1:4" x14ac:dyDescent="0.3">
      <c r="A297" s="3"/>
      <c r="B297" s="7" t="s">
        <v>1201</v>
      </c>
      <c r="C297" s="7" t="s">
        <v>1200</v>
      </c>
      <c r="D297" s="102" t="s">
        <v>1197</v>
      </c>
    </row>
    <row r="298" spans="1:4" x14ac:dyDescent="0.3">
      <c r="A298" s="3" t="s">
        <v>1198</v>
      </c>
      <c r="B298" s="4">
        <f>COUNTIF('ZEMIO_Cleaned Data'!ZO:ZO,"OUI")</f>
        <v>2</v>
      </c>
      <c r="C298" s="4">
        <f>COUNTIF('ZEMIO_Cleaned Data'!ZO:ZO,"non")</f>
        <v>0</v>
      </c>
      <c r="D298" s="103">
        <f>SUM(B298:C298)</f>
        <v>2</v>
      </c>
    </row>
    <row r="299" spans="1:4" ht="37.5" x14ac:dyDescent="0.3">
      <c r="A299" s="52" t="s">
        <v>2023</v>
      </c>
      <c r="B299" s="38">
        <f>(B298/$E$9)</f>
        <v>1</v>
      </c>
      <c r="C299" s="38">
        <f>(C298/$E$9)</f>
        <v>0</v>
      </c>
      <c r="D299" s="92">
        <f>SUM(B299:C299)</f>
        <v>1</v>
      </c>
    </row>
    <row r="300" spans="1:4" x14ac:dyDescent="0.3">
      <c r="A300" s="89"/>
      <c r="B300" s="14"/>
      <c r="C300" s="14"/>
      <c r="D300" s="114"/>
    </row>
    <row r="301" spans="1:4" ht="15.5" x14ac:dyDescent="0.35">
      <c r="A301" s="28" t="s">
        <v>1502</v>
      </c>
    </row>
    <row r="302" spans="1:4" x14ac:dyDescent="0.3">
      <c r="A302" s="3"/>
      <c r="B302" s="7" t="s">
        <v>1201</v>
      </c>
      <c r="C302" s="7" t="s">
        <v>1200</v>
      </c>
      <c r="D302" s="102" t="s">
        <v>1197</v>
      </c>
    </row>
    <row r="303" spans="1:4" x14ac:dyDescent="0.3">
      <c r="A303" s="3" t="s">
        <v>1198</v>
      </c>
      <c r="B303" s="4">
        <f>COUNTIF('ZEMIO_Cleaned Data'!ZQ:ZQ,"OUI")</f>
        <v>1</v>
      </c>
      <c r="C303" s="4">
        <f>COUNTIF('ZEMIO_Cleaned Data'!ZQ:ZQ,"non")</f>
        <v>1</v>
      </c>
      <c r="D303" s="103">
        <f>SUM(B303:C303)</f>
        <v>2</v>
      </c>
    </row>
    <row r="304" spans="1:4" ht="37.5" x14ac:dyDescent="0.3">
      <c r="A304" s="52" t="s">
        <v>2023</v>
      </c>
      <c r="B304" s="38">
        <f>(B303/$E$9)</f>
        <v>0.5</v>
      </c>
      <c r="C304" s="38">
        <f>(C303/$E$9)</f>
        <v>0.5</v>
      </c>
      <c r="D304" s="92">
        <f>SUM(B304:C304)</f>
        <v>1</v>
      </c>
    </row>
  </sheetData>
  <mergeCells count="2">
    <mergeCell ref="A138:D138"/>
    <mergeCell ref="A4:B4"/>
  </mergeCells>
  <conditionalFormatting sqref="A94:M95 D99:M101 D105:M106 F102:M104 D110:M110 J107:M109 B92:N92 D116 D120:M120 L117:M119 F96:M98 F116:M116">
    <cfRule type="colorScale" priority="52">
      <colorScale>
        <cfvo type="min"/>
        <cfvo type="max"/>
        <color theme="6" tint="0.79998168889431442"/>
        <color theme="5" tint="0.39997558519241921"/>
      </colorScale>
    </cfRule>
  </conditionalFormatting>
  <conditionalFormatting sqref="B134:F134">
    <cfRule type="colorScale" priority="51">
      <colorScale>
        <cfvo type="min"/>
        <cfvo type="max"/>
        <color theme="6" tint="0.79998168889431442"/>
        <color theme="5" tint="0.39997558519241921"/>
      </colorScale>
    </cfRule>
  </conditionalFormatting>
  <conditionalFormatting sqref="D157:M157">
    <cfRule type="colorScale" priority="50">
      <colorScale>
        <cfvo type="min"/>
        <cfvo type="max"/>
        <color theme="6" tint="0.79998168889431442"/>
        <color theme="5" tint="0.39997558519241921"/>
      </colorScale>
    </cfRule>
  </conditionalFormatting>
  <conditionalFormatting sqref="B162:G162">
    <cfRule type="colorScale" priority="49">
      <colorScale>
        <cfvo type="min"/>
        <cfvo type="max"/>
        <color theme="6" tint="0.79998168889431442"/>
        <color theme="5" tint="0.39997558519241921"/>
      </colorScale>
    </cfRule>
  </conditionalFormatting>
  <conditionalFormatting sqref="B44:J44">
    <cfRule type="colorScale" priority="48">
      <colorScale>
        <cfvo type="min"/>
        <cfvo type="max"/>
        <color theme="6" tint="0.79998168889431442"/>
        <color theme="5" tint="0.39997558519241921"/>
      </colorScale>
    </cfRule>
  </conditionalFormatting>
  <conditionalFormatting sqref="D118:K118">
    <cfRule type="colorScale" priority="47">
      <colorScale>
        <cfvo type="min"/>
        <cfvo type="max"/>
        <color theme="6" tint="0.79998168889431442"/>
        <color theme="5" tint="0.39997558519241921"/>
      </colorScale>
    </cfRule>
  </conditionalFormatting>
  <conditionalFormatting sqref="B189:F189">
    <cfRule type="colorScale" priority="46">
      <colorScale>
        <cfvo type="min"/>
        <cfvo type="max"/>
        <color theme="6" tint="0.79998168889431442"/>
        <color theme="5" tint="0.39997558519241921"/>
      </colorScale>
    </cfRule>
  </conditionalFormatting>
  <conditionalFormatting sqref="A181:F182 B179:G179 E183:F185">
    <cfRule type="colorScale" priority="45">
      <colorScale>
        <cfvo type="min"/>
        <cfvo type="max"/>
        <color theme="6" tint="0.79998168889431442"/>
        <color theme="5" tint="0.39997558519241921"/>
      </colorScale>
    </cfRule>
  </conditionalFormatting>
  <conditionalFormatting sqref="A194:P194">
    <cfRule type="colorScale" priority="44">
      <colorScale>
        <cfvo type="min"/>
        <cfvo type="max"/>
        <color theme="6" tint="0.79998168889431442"/>
        <color theme="5" tint="0.39997558519241921"/>
      </colorScale>
    </cfRule>
  </conditionalFormatting>
  <conditionalFormatting sqref="A198:L198">
    <cfRule type="colorScale" priority="43">
      <colorScale>
        <cfvo type="min"/>
        <cfvo type="max"/>
        <color theme="6" tint="0.79998168889431442"/>
        <color theme="5" tint="0.39997558519241921"/>
      </colorScale>
    </cfRule>
  </conditionalFormatting>
  <conditionalFormatting sqref="A228:M228">
    <cfRule type="colorScale" priority="42">
      <colorScale>
        <cfvo type="min"/>
        <cfvo type="max"/>
        <color theme="6" tint="0.79998168889431442"/>
        <color theme="5" tint="0.39997558519241921"/>
      </colorScale>
    </cfRule>
  </conditionalFormatting>
  <conditionalFormatting sqref="C238:J238">
    <cfRule type="colorScale" priority="41">
      <colorScale>
        <cfvo type="min"/>
        <cfvo type="max"/>
        <color theme="6" tint="0.79998168889431442"/>
        <color theme="5" tint="0.39997558519241921"/>
      </colorScale>
    </cfRule>
  </conditionalFormatting>
  <conditionalFormatting sqref="C258:J258">
    <cfRule type="colorScale" priority="40">
      <colorScale>
        <cfvo type="min"/>
        <cfvo type="max"/>
        <color theme="6" tint="0.79998168889431442"/>
        <color theme="5" tint="0.39997558519241921"/>
      </colorScale>
    </cfRule>
  </conditionalFormatting>
  <conditionalFormatting sqref="D268:H268">
    <cfRule type="colorScale" priority="39">
      <colorScale>
        <cfvo type="min"/>
        <cfvo type="max"/>
        <color theme="6" tint="0.79998168889431442"/>
        <color theme="5" tint="0.39997558519241921"/>
      </colorScale>
    </cfRule>
  </conditionalFormatting>
  <conditionalFormatting sqref="B9:D9">
    <cfRule type="colorScale" priority="38">
      <colorScale>
        <cfvo type="min"/>
        <cfvo type="max"/>
        <color theme="6" tint="0.79998168889431442"/>
        <color theme="5" tint="0.39997558519241921"/>
      </colorScale>
    </cfRule>
  </conditionalFormatting>
  <conditionalFormatting sqref="C14:M14">
    <cfRule type="colorScale" priority="37">
      <colorScale>
        <cfvo type="min"/>
        <cfvo type="max"/>
        <color theme="6" tint="0.79998168889431442"/>
        <color theme="5" tint="0.39997558519241921"/>
      </colorScale>
    </cfRule>
  </conditionalFormatting>
  <conditionalFormatting sqref="C19:G19">
    <cfRule type="colorScale" priority="35">
      <colorScale>
        <cfvo type="min"/>
        <cfvo type="max"/>
        <color theme="6" tint="0.79998168889431442"/>
        <color theme="5" tint="0.39997558519241921"/>
      </colorScale>
    </cfRule>
  </conditionalFormatting>
  <conditionalFormatting sqref="C29:G29">
    <cfRule type="colorScale" priority="34">
      <colorScale>
        <cfvo type="min"/>
        <cfvo type="max"/>
        <color theme="6" tint="0.79998168889431442"/>
        <color theme="5" tint="0.39997558519241921"/>
      </colorScale>
    </cfRule>
  </conditionalFormatting>
  <conditionalFormatting sqref="B49:D49">
    <cfRule type="colorScale" priority="33">
      <colorScale>
        <cfvo type="min"/>
        <cfvo type="max"/>
        <color theme="6" tint="0.79998168889431442"/>
        <color theme="5" tint="0.39997558519241921"/>
      </colorScale>
    </cfRule>
  </conditionalFormatting>
  <conditionalFormatting sqref="C57:D57">
    <cfRule type="colorScale" priority="32">
      <colorScale>
        <cfvo type="min"/>
        <cfvo type="max"/>
        <color theme="6" tint="0.79998168889431442"/>
        <color theme="5" tint="0.39997558519241921"/>
      </colorScale>
    </cfRule>
  </conditionalFormatting>
  <conditionalFormatting sqref="C66:D66">
    <cfRule type="colorScale" priority="31">
      <colorScale>
        <cfvo type="min"/>
        <cfvo type="max"/>
        <color theme="6" tint="0.79998168889431442"/>
        <color theme="5" tint="0.39997558519241921"/>
      </colorScale>
    </cfRule>
  </conditionalFormatting>
  <conditionalFormatting sqref="B71:C71">
    <cfRule type="colorScale" priority="30">
      <colorScale>
        <cfvo type="min"/>
        <cfvo type="max"/>
        <color theme="6" tint="0.79998168889431442"/>
        <color theme="5" tint="0.39997558519241921"/>
      </colorScale>
    </cfRule>
  </conditionalFormatting>
  <conditionalFormatting sqref="B81:C81">
    <cfRule type="colorScale" priority="29">
      <colorScale>
        <cfvo type="min"/>
        <cfvo type="max"/>
        <color theme="6" tint="0.79998168889431442"/>
        <color theme="5" tint="0.39997558519241921"/>
      </colorScale>
    </cfRule>
  </conditionalFormatting>
  <conditionalFormatting sqref="B34:C34">
    <cfRule type="colorScale" priority="28">
      <colorScale>
        <cfvo type="min"/>
        <cfvo type="max"/>
        <color theme="6" tint="0.79998168889431442"/>
        <color theme="5" tint="0.39997558519241921"/>
      </colorScale>
    </cfRule>
  </conditionalFormatting>
  <conditionalFormatting sqref="C39:E39">
    <cfRule type="colorScale" priority="27">
      <colorScale>
        <cfvo type="min"/>
        <cfvo type="max"/>
        <color theme="6" tint="0.79998168889431442"/>
        <color theme="5" tint="0.39997558519241921"/>
      </colorScale>
    </cfRule>
  </conditionalFormatting>
  <conditionalFormatting sqref="B129:C129">
    <cfRule type="colorScale" priority="26">
      <colorScale>
        <cfvo type="min"/>
        <cfvo type="max"/>
        <color theme="6" tint="0.79998168889431442"/>
        <color theme="5" tint="0.39997558519241921"/>
      </colorScale>
    </cfRule>
  </conditionalFormatting>
  <conditionalFormatting sqref="B142:C142">
    <cfRule type="colorScale" priority="25">
      <colorScale>
        <cfvo type="min"/>
        <cfvo type="max"/>
        <color theme="6" tint="0.79998168889431442"/>
        <color theme="5" tint="0.39997558519241921"/>
      </colorScale>
    </cfRule>
  </conditionalFormatting>
  <conditionalFormatting sqref="D154:J154">
    <cfRule type="colorScale" priority="24">
      <colorScale>
        <cfvo type="min"/>
        <cfvo type="max"/>
        <color theme="6" tint="0.79998168889431442"/>
        <color theme="5" tint="0.39997558519241921"/>
      </colorScale>
    </cfRule>
  </conditionalFormatting>
  <conditionalFormatting sqref="D152:J152">
    <cfRule type="colorScale" priority="23">
      <colorScale>
        <cfvo type="min"/>
        <cfvo type="max"/>
        <color theme="6" tint="0.79998168889431442"/>
        <color theme="5" tint="0.39997558519241921"/>
      </colorScale>
    </cfRule>
  </conditionalFormatting>
  <conditionalFormatting sqref="C103:D103">
    <cfRule type="colorScale" priority="22">
      <colorScale>
        <cfvo type="min"/>
        <cfvo type="max"/>
        <color theme="6" tint="0.79998168889431442"/>
        <color theme="5" tint="0.39997558519241921"/>
      </colorScale>
    </cfRule>
  </conditionalFormatting>
  <conditionalFormatting sqref="K115:M115 D111 L112:M114 F111:M111">
    <cfRule type="colorScale" priority="21">
      <colorScale>
        <cfvo type="min"/>
        <cfvo type="max"/>
        <color theme="6" tint="0.79998168889431442"/>
        <color theme="5" tint="0.39997558519241921"/>
      </colorScale>
    </cfRule>
  </conditionalFormatting>
  <conditionalFormatting sqref="D115:J115 D113:K113">
    <cfRule type="colorScale" priority="20">
      <colorScale>
        <cfvo type="min"/>
        <cfvo type="max"/>
        <color theme="6" tint="0.79998168889431442"/>
        <color theme="5" tint="0.39997558519241921"/>
      </colorScale>
    </cfRule>
  </conditionalFormatting>
  <conditionalFormatting sqref="B184:C184">
    <cfRule type="colorScale" priority="19">
      <colorScale>
        <cfvo type="min"/>
        <cfvo type="max"/>
        <color theme="6" tint="0.79998168889431442"/>
        <color theme="5" tint="0.39997558519241921"/>
      </colorScale>
    </cfRule>
  </conditionalFormatting>
  <conditionalFormatting sqref="B202:C202">
    <cfRule type="colorScale" priority="18">
      <colorScale>
        <cfvo type="min"/>
        <cfvo type="max"/>
        <color theme="6" tint="0.79998168889431442"/>
        <color theme="5" tint="0.39997558519241921"/>
      </colorScale>
    </cfRule>
  </conditionalFormatting>
  <conditionalFormatting sqref="C213:O213">
    <cfRule type="colorScale" priority="17">
      <colorScale>
        <cfvo type="min"/>
        <cfvo type="max"/>
        <color theme="6" tint="0.79998168889431442"/>
        <color theme="5" tint="0.39997558519241921"/>
      </colorScale>
    </cfRule>
  </conditionalFormatting>
  <conditionalFormatting sqref="D223:H223">
    <cfRule type="colorScale" priority="16">
      <colorScale>
        <cfvo type="min"/>
        <cfvo type="max"/>
        <color theme="6" tint="0.79998168889431442"/>
        <color theme="5" tint="0.39997558519241921"/>
      </colorScale>
    </cfRule>
  </conditionalFormatting>
  <conditionalFormatting sqref="C207:I207">
    <cfRule type="colorScale" priority="15">
      <colorScale>
        <cfvo type="min"/>
        <cfvo type="max"/>
        <color theme="6" tint="0.79998168889431442"/>
        <color theme="5" tint="0.39997558519241921"/>
      </colorScale>
    </cfRule>
  </conditionalFormatting>
  <conditionalFormatting sqref="C218:D218">
    <cfRule type="colorScale" priority="14">
      <colorScale>
        <cfvo type="min"/>
        <cfvo type="max"/>
        <color theme="6" tint="0.79998168889431442"/>
        <color theme="5" tint="0.39997558519241921"/>
      </colorScale>
    </cfRule>
  </conditionalFormatting>
  <conditionalFormatting sqref="B233:C233">
    <cfRule type="colorScale" priority="13">
      <colorScale>
        <cfvo type="min"/>
        <cfvo type="max"/>
        <color theme="6" tint="0.79998168889431442"/>
        <color theme="5" tint="0.39997558519241921"/>
      </colorScale>
    </cfRule>
  </conditionalFormatting>
  <conditionalFormatting sqref="B243:C243">
    <cfRule type="colorScale" priority="12">
      <colorScale>
        <cfvo type="min"/>
        <cfvo type="max"/>
        <color theme="6" tint="0.79998168889431442"/>
        <color theme="5" tint="0.39997558519241921"/>
      </colorScale>
    </cfRule>
  </conditionalFormatting>
  <conditionalFormatting sqref="B248:C248">
    <cfRule type="colorScale" priority="11">
      <colorScale>
        <cfvo type="min"/>
        <cfvo type="max"/>
        <color theme="6" tint="0.79998168889431442"/>
        <color theme="5" tint="0.39997558519241921"/>
      </colorScale>
    </cfRule>
  </conditionalFormatting>
  <conditionalFormatting sqref="B253:C253">
    <cfRule type="colorScale" priority="10">
      <colorScale>
        <cfvo type="min"/>
        <cfvo type="max"/>
        <color theme="6" tint="0.79998168889431442"/>
        <color theme="5" tint="0.39997558519241921"/>
      </colorScale>
    </cfRule>
  </conditionalFormatting>
  <conditionalFormatting sqref="C263:D263">
    <cfRule type="colorScale" priority="9">
      <colorScale>
        <cfvo type="min"/>
        <cfvo type="max"/>
        <color theme="6" tint="0.79998168889431442"/>
        <color theme="5" tint="0.39997558519241921"/>
      </colorScale>
    </cfRule>
  </conditionalFormatting>
  <conditionalFormatting sqref="B123:G123">
    <cfRule type="colorScale" priority="8">
      <colorScale>
        <cfvo type="min"/>
        <cfvo type="max"/>
        <color theme="6" tint="0.79998168889431442"/>
        <color theme="5" tint="0.39997558519241921"/>
      </colorScale>
    </cfRule>
  </conditionalFormatting>
  <conditionalFormatting sqref="C86:F86">
    <cfRule type="colorScale" priority="7">
      <colorScale>
        <cfvo type="min"/>
        <cfvo type="max"/>
        <color theme="6" tint="0.79998168889431442"/>
        <color theme="5" tint="0.39997558519241921"/>
      </colorScale>
    </cfRule>
  </conditionalFormatting>
  <conditionalFormatting sqref="B97:D97">
    <cfRule type="colorScale" priority="6">
      <colorScale>
        <cfvo type="min"/>
        <cfvo type="max"/>
        <color theme="6" tint="0.79998168889431442"/>
        <color theme="5" tint="0.39997558519241921"/>
      </colorScale>
    </cfRule>
  </conditionalFormatting>
  <conditionalFormatting sqref="C147:F147">
    <cfRule type="colorScale" priority="5">
      <colorScale>
        <cfvo type="min"/>
        <cfvo type="max"/>
        <color theme="6" tint="0.79998168889431442"/>
        <color theme="5" tint="0.39997558519241921"/>
      </colorScale>
    </cfRule>
  </conditionalFormatting>
  <conditionalFormatting sqref="C24:J24">
    <cfRule type="colorScale" priority="4">
      <colorScale>
        <cfvo type="min"/>
        <cfvo type="max"/>
        <color theme="6" tint="0.79998168889431442"/>
        <color theme="5" tint="0.39997558519241921"/>
      </colorScale>
    </cfRule>
  </conditionalFormatting>
  <conditionalFormatting sqref="K24">
    <cfRule type="colorScale" priority="3">
      <colorScale>
        <cfvo type="min"/>
        <cfvo type="max"/>
        <color theme="6" tint="0.79998168889431442"/>
        <color theme="5" tint="0.39997558519241921"/>
      </colorScale>
    </cfRule>
  </conditionalFormatting>
  <conditionalFormatting sqref="L24">
    <cfRule type="colorScale" priority="2">
      <colorScale>
        <cfvo type="min"/>
        <cfvo type="max"/>
        <color theme="6" tint="0.79998168889431442"/>
        <color theme="5" tint="0.39997558519241921"/>
      </colorScale>
    </cfRule>
  </conditionalFormatting>
  <conditionalFormatting sqref="C76:G76">
    <cfRule type="colorScale" priority="1">
      <colorScale>
        <cfvo type="min"/>
        <cfvo type="max"/>
        <color theme="6" tint="0.79998168889431442"/>
        <color theme="5" tint="0.39997558519241921"/>
      </colorScale>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2:P156"/>
  <sheetViews>
    <sheetView zoomScale="90" zoomScaleNormal="90" workbookViewId="0">
      <selection activeCell="H67" sqref="H67"/>
    </sheetView>
  </sheetViews>
  <sheetFormatPr defaultColWidth="8.81640625" defaultRowHeight="14" x14ac:dyDescent="0.3"/>
  <cols>
    <col min="1" max="1" width="21.1796875" style="9" customWidth="1"/>
    <col min="2" max="2" width="15.1796875" style="9" customWidth="1"/>
    <col min="3" max="3" width="13" style="9" customWidth="1"/>
    <col min="4" max="4" width="12.1796875" style="9" customWidth="1"/>
    <col min="5" max="5" width="13.36328125" style="9" customWidth="1"/>
    <col min="6" max="6" width="13.81640625" style="9" customWidth="1"/>
    <col min="7" max="7" width="11.453125" style="9" customWidth="1"/>
    <col min="8" max="8" width="12.6328125" style="9" customWidth="1"/>
    <col min="9" max="9" width="13.81640625" style="9" customWidth="1"/>
    <col min="10" max="10" width="13.90625" style="9" customWidth="1"/>
    <col min="11" max="11" width="9.7265625" style="9" customWidth="1"/>
    <col min="12" max="12" width="14.54296875" style="9" customWidth="1"/>
    <col min="13" max="13" width="14.1796875" style="9" customWidth="1"/>
    <col min="14" max="14" width="17.08984375" style="9" customWidth="1"/>
    <col min="15" max="16384" width="8.81640625" style="9"/>
  </cols>
  <sheetData>
    <row r="2" spans="1:10" ht="15.5" x14ac:dyDescent="0.35">
      <c r="A2" s="8" t="s">
        <v>1284</v>
      </c>
    </row>
    <row r="3" spans="1:10" ht="15.5" x14ac:dyDescent="0.3">
      <c r="A3" s="45" t="s">
        <v>2045</v>
      </c>
      <c r="B3" s="72">
        <f>COUNTIFS('ZEMIO_Cleaned Data'!N:N,"marche",'ZEMIO_Cleaned Data'!J:J,"zemio")</f>
        <v>1</v>
      </c>
    </row>
    <row r="4" spans="1:10" ht="16" customHeight="1" x14ac:dyDescent="0.35">
      <c r="A4" s="8"/>
    </row>
    <row r="5" spans="1:10" ht="15.5" x14ac:dyDescent="0.35">
      <c r="A5" s="28" t="s">
        <v>1333</v>
      </c>
    </row>
    <row r="6" spans="1:10" ht="42" x14ac:dyDescent="0.3">
      <c r="A6" s="23"/>
      <c r="B6" s="7" t="s">
        <v>1201</v>
      </c>
      <c r="C6" s="7" t="s">
        <v>1200</v>
      </c>
      <c r="D6" s="7" t="s">
        <v>1517</v>
      </c>
      <c r="E6" s="70" t="s">
        <v>2043</v>
      </c>
    </row>
    <row r="7" spans="1:10" x14ac:dyDescent="0.3">
      <c r="A7" s="23" t="s">
        <v>1198</v>
      </c>
      <c r="B7" s="23">
        <f>COUNTIF('ZEMIO_Cleaned Data'!AKU:AKU,"oui")</f>
        <v>1</v>
      </c>
      <c r="C7" s="23">
        <f>COUNTIF('ZEMIO_Cleaned Data'!AKU:AKU,"non")</f>
        <v>0</v>
      </c>
      <c r="D7" s="23">
        <f>COUNTIF('ZEMIO_Cleaned Data'!AKU:AKU,"partiel")</f>
        <v>0</v>
      </c>
      <c r="E7" s="61">
        <f>SUM(B7+D7)</f>
        <v>1</v>
      </c>
    </row>
    <row r="8" spans="1:10" ht="26" x14ac:dyDescent="0.3">
      <c r="A8" s="111" t="s">
        <v>2044</v>
      </c>
      <c r="B8" s="38">
        <f>(B7/$E$7)</f>
        <v>1</v>
      </c>
      <c r="C8" s="38">
        <f>(C7/$E$7)</f>
        <v>0</v>
      </c>
      <c r="D8" s="37">
        <f>COUNTIF('ZEMIO_Cleaned Data'!AIS2:AIS38,"partiel")</f>
        <v>0</v>
      </c>
      <c r="E8" s="116">
        <f>SUM(B8+D8)</f>
        <v>1</v>
      </c>
    </row>
    <row r="9" spans="1:10" x14ac:dyDescent="0.3">
      <c r="A9" s="13"/>
      <c r="B9" s="14"/>
      <c r="C9" s="14"/>
      <c r="D9" s="15"/>
      <c r="E9" s="13"/>
    </row>
    <row r="10" spans="1:10" ht="15.5" x14ac:dyDescent="0.35">
      <c r="A10" s="44" t="s">
        <v>1334</v>
      </c>
    </row>
    <row r="11" spans="1:10" x14ac:dyDescent="0.3">
      <c r="A11" s="23"/>
      <c r="B11" s="7" t="s">
        <v>1201</v>
      </c>
      <c r="C11" s="7" t="s">
        <v>1200</v>
      </c>
      <c r="D11" s="117" t="s">
        <v>1197</v>
      </c>
    </row>
    <row r="12" spans="1:10" x14ac:dyDescent="0.3">
      <c r="A12" s="23" t="s">
        <v>1198</v>
      </c>
      <c r="B12" s="23">
        <f>COUNTIF('ZEMIO_Cleaned Data'!ALF:ALF,"oui")</f>
        <v>0</v>
      </c>
      <c r="C12" s="23">
        <f>COUNTIF('ZEMIO_Cleaned Data'!ALF:ALF,"non")</f>
        <v>1</v>
      </c>
      <c r="D12" s="24">
        <f>SUM(B12:C12)</f>
        <v>1</v>
      </c>
    </row>
    <row r="13" spans="1:10" ht="26" x14ac:dyDescent="0.3">
      <c r="A13" s="111" t="s">
        <v>2044</v>
      </c>
      <c r="B13" s="38">
        <f>(B12/$B$3)</f>
        <v>0</v>
      </c>
      <c r="C13" s="38">
        <f>(C12/$B$3)</f>
        <v>1</v>
      </c>
      <c r="D13" s="118">
        <f>SUM(B13:C13)</f>
        <v>1</v>
      </c>
    </row>
    <row r="14" spans="1:10" x14ac:dyDescent="0.3">
      <c r="A14" s="13"/>
      <c r="B14" s="14"/>
      <c r="C14" s="14"/>
      <c r="D14" s="13"/>
    </row>
    <row r="15" spans="1:10" x14ac:dyDescent="0.3">
      <c r="A15" s="13"/>
      <c r="B15" s="17" t="s">
        <v>1335</v>
      </c>
      <c r="G15" s="13"/>
      <c r="H15" s="14"/>
      <c r="I15" s="14"/>
      <c r="J15" s="13"/>
    </row>
    <row r="16" spans="1:10" x14ac:dyDescent="0.3">
      <c r="A16" s="13"/>
      <c r="B16" s="23"/>
      <c r="C16" s="10" t="s">
        <v>1201</v>
      </c>
      <c r="D16" s="10" t="s">
        <v>1200</v>
      </c>
      <c r="E16" s="117" t="s">
        <v>1197</v>
      </c>
      <c r="G16" s="13"/>
      <c r="H16" s="14"/>
      <c r="I16" s="14"/>
      <c r="J16" s="13"/>
    </row>
    <row r="17" spans="1:10" x14ac:dyDescent="0.3">
      <c r="A17" s="13"/>
      <c r="B17" s="23" t="s">
        <v>1198</v>
      </c>
      <c r="C17" s="23">
        <f>COUNTIF('ZEMIO_Cleaned Data'!ALG:ALG,"oui")</f>
        <v>1</v>
      </c>
      <c r="D17" s="23">
        <f>COUNTIF('ZEMIO_Cleaned Data'!ALG:ALG,"non")</f>
        <v>0</v>
      </c>
      <c r="E17" s="24">
        <f>SUM(C17:D17)</f>
        <v>1</v>
      </c>
      <c r="G17" s="13"/>
      <c r="H17" s="14"/>
      <c r="I17" s="14"/>
      <c r="J17" s="13"/>
    </row>
    <row r="18" spans="1:10" ht="37.5" x14ac:dyDescent="0.3">
      <c r="B18" s="111" t="s">
        <v>2047</v>
      </c>
      <c r="C18" s="38">
        <f>(C17/$E$7)</f>
        <v>1</v>
      </c>
      <c r="D18" s="38">
        <f>(D17/$E$7)</f>
        <v>0</v>
      </c>
      <c r="E18" s="118">
        <f>SUM(C18:D18)</f>
        <v>1</v>
      </c>
    </row>
    <row r="20" spans="1:10" ht="15.5" x14ac:dyDescent="0.35">
      <c r="A20" s="28" t="s">
        <v>1327</v>
      </c>
      <c r="B20" s="95" t="s">
        <v>1994</v>
      </c>
    </row>
    <row r="21" spans="1:10" ht="28" x14ac:dyDescent="0.3">
      <c r="A21" s="36"/>
      <c r="B21" s="7" t="s">
        <v>1325</v>
      </c>
      <c r="C21" s="7" t="s">
        <v>1326</v>
      </c>
      <c r="D21" s="7" t="s">
        <v>1328</v>
      </c>
      <c r="E21" s="7" t="s">
        <v>1329</v>
      </c>
      <c r="F21" s="7" t="s">
        <v>1330</v>
      </c>
      <c r="G21" s="7" t="s">
        <v>1331</v>
      </c>
      <c r="H21" s="7" t="s">
        <v>1332</v>
      </c>
      <c r="I21" s="7" t="s">
        <v>1196</v>
      </c>
    </row>
    <row r="22" spans="1:10" x14ac:dyDescent="0.3">
      <c r="A22" s="23" t="s">
        <v>1198</v>
      </c>
      <c r="B22" s="23">
        <f>COUNTIF('ZEMIO_Cleaned Data'!ALO:ALO,"1")</f>
        <v>1</v>
      </c>
      <c r="C22" s="23">
        <f>COUNTIF('ZEMIO_Cleaned Data'!ALP:ALP,"1")</f>
        <v>1</v>
      </c>
      <c r="D22" s="23">
        <f>COUNTIF('ZEMIO_Cleaned Data'!ALQ:ALQ,"1")</f>
        <v>1</v>
      </c>
      <c r="E22" s="23">
        <f>COUNTIF('ZEMIO_Cleaned Data'!ALR:ALR,"1")</f>
        <v>1</v>
      </c>
      <c r="F22" s="23">
        <f>COUNTIF('ZEMIO_Cleaned Data'!ALS:ALS,"1")</f>
        <v>1</v>
      </c>
      <c r="G22" s="23">
        <f>COUNTIF('ZEMIO_Cleaned Data'!ALT:ALT,"1")</f>
        <v>1</v>
      </c>
      <c r="H22" s="23">
        <f>COUNTIF('ZEMIO_Cleaned Data'!ALU:ALU,"1")</f>
        <v>1</v>
      </c>
      <c r="I22" s="23">
        <f>COUNTIF('ZEMIO_Cleaned Data'!ALV:ALV,"1")</f>
        <v>0</v>
      </c>
    </row>
    <row r="23" spans="1:10" ht="26" x14ac:dyDescent="0.3">
      <c r="A23" s="111" t="s">
        <v>2047</v>
      </c>
      <c r="B23" s="38">
        <f>B22/$E$7</f>
        <v>1</v>
      </c>
      <c r="C23" s="38">
        <f t="shared" ref="C23:I23" si="0">C22/$E$7</f>
        <v>1</v>
      </c>
      <c r="D23" s="38">
        <f t="shared" si="0"/>
        <v>1</v>
      </c>
      <c r="E23" s="38">
        <f t="shared" si="0"/>
        <v>1</v>
      </c>
      <c r="F23" s="38">
        <f t="shared" si="0"/>
        <v>1</v>
      </c>
      <c r="G23" s="38">
        <f t="shared" si="0"/>
        <v>1</v>
      </c>
      <c r="H23" s="38">
        <f t="shared" si="0"/>
        <v>1</v>
      </c>
      <c r="I23" s="38">
        <f t="shared" si="0"/>
        <v>0</v>
      </c>
    </row>
    <row r="24" spans="1:10" x14ac:dyDescent="0.3">
      <c r="A24" s="13"/>
      <c r="B24" s="14"/>
      <c r="C24" s="14"/>
      <c r="D24" s="13"/>
      <c r="G24" s="13"/>
      <c r="H24" s="14"/>
      <c r="I24" s="14"/>
      <c r="J24" s="13"/>
    </row>
    <row r="25" spans="1:10" ht="15.5" x14ac:dyDescent="0.35">
      <c r="A25" s="28" t="s">
        <v>1336</v>
      </c>
    </row>
    <row r="26" spans="1:10" x14ac:dyDescent="0.3">
      <c r="A26" s="20">
        <f>IF('ZEMIO_Cleaned Data'!AMW:AMW&lt;999,AVERAGE('ZEMIO_Cleaned Data'!AMW:AMW))</f>
        <v>180</v>
      </c>
    </row>
    <row r="28" spans="1:10" ht="15.5" x14ac:dyDescent="0.35">
      <c r="A28" s="28" t="s">
        <v>1796</v>
      </c>
    </row>
    <row r="29" spans="1:10" x14ac:dyDescent="0.3">
      <c r="A29" s="23"/>
      <c r="B29" s="7" t="s">
        <v>1201</v>
      </c>
      <c r="C29" s="7" t="s">
        <v>1200</v>
      </c>
      <c r="D29" s="117" t="s">
        <v>1197</v>
      </c>
    </row>
    <row r="30" spans="1:10" x14ac:dyDescent="0.3">
      <c r="A30" s="23" t="s">
        <v>1198</v>
      </c>
      <c r="B30" s="23">
        <f>COUNTIF('ZEMIO_Cleaned Data'!AMX:AMX,"oui")</f>
        <v>1</v>
      </c>
      <c r="C30" s="23">
        <f>COUNTIF('ZEMIO_Cleaned Data'!AMX:AMX,"non")</f>
        <v>0</v>
      </c>
      <c r="D30" s="24">
        <f>SUM(B30:C30)</f>
        <v>1</v>
      </c>
    </row>
    <row r="31" spans="1:10" ht="26" x14ac:dyDescent="0.3">
      <c r="A31" s="111" t="s">
        <v>2047</v>
      </c>
      <c r="B31" s="38">
        <f>(B30/$E$7)</f>
        <v>1</v>
      </c>
      <c r="C31" s="38">
        <f>(C30/$E$7)</f>
        <v>0</v>
      </c>
      <c r="D31" s="118">
        <f>SUM(B31:C31)</f>
        <v>1</v>
      </c>
    </row>
    <row r="33" spans="1:13" x14ac:dyDescent="0.3">
      <c r="B33" s="17" t="s">
        <v>1789</v>
      </c>
    </row>
    <row r="34" spans="1:13" ht="28" x14ac:dyDescent="0.3">
      <c r="B34" s="23"/>
      <c r="C34" s="10" t="s">
        <v>1297</v>
      </c>
      <c r="D34" s="10" t="s">
        <v>1298</v>
      </c>
      <c r="E34" s="10" t="s">
        <v>1299</v>
      </c>
      <c r="F34" s="10" t="s">
        <v>1216</v>
      </c>
      <c r="G34" s="117" t="s">
        <v>1197</v>
      </c>
    </row>
    <row r="35" spans="1:13" x14ac:dyDescent="0.3">
      <c r="B35" s="23" t="s">
        <v>1198</v>
      </c>
      <c r="C35" s="23">
        <f>COUNTIF('ZEMIO_Cleaned Data'!AMY:AMY,"peu_diminue")</f>
        <v>0</v>
      </c>
      <c r="D35" s="23">
        <f>COUNTIF('ZEMIO_Cleaned Data'!AMY:AMY,"bcp_diminue")</f>
        <v>1</v>
      </c>
      <c r="E35" s="23">
        <f>COUNTIF('ZEMIO_Cleaned Data'!AMY:AMY,"peu_augmente")</f>
        <v>0</v>
      </c>
      <c r="F35" s="23">
        <f>COUNTIF('ZEMIO_Cleaned Data'!AMY:AMY,"bcp_augmente")</f>
        <v>0</v>
      </c>
      <c r="G35" s="24">
        <f>SUM(C35:F35)</f>
        <v>1</v>
      </c>
    </row>
    <row r="36" spans="1:13" ht="49" x14ac:dyDescent="0.3">
      <c r="B36" s="111" t="s">
        <v>2048</v>
      </c>
      <c r="C36" s="38">
        <f>C35/$B$30</f>
        <v>0</v>
      </c>
      <c r="D36" s="38">
        <f t="shared" ref="D36:F36" si="1">D35/$B$30</f>
        <v>1</v>
      </c>
      <c r="E36" s="38">
        <f t="shared" si="1"/>
        <v>0</v>
      </c>
      <c r="F36" s="38">
        <f t="shared" si="1"/>
        <v>0</v>
      </c>
      <c r="G36" s="118">
        <f>SUM(C36:F36)</f>
        <v>1</v>
      </c>
    </row>
    <row r="38" spans="1:13" x14ac:dyDescent="0.3">
      <c r="B38" s="17" t="s">
        <v>1300</v>
      </c>
      <c r="D38" s="95" t="s">
        <v>1994</v>
      </c>
    </row>
    <row r="39" spans="1:13" s="40" customFormat="1" ht="70" x14ac:dyDescent="0.3">
      <c r="B39" s="23"/>
      <c r="C39" s="11" t="s">
        <v>1790</v>
      </c>
      <c r="D39" s="11" t="s">
        <v>1791</v>
      </c>
      <c r="E39" s="11" t="s">
        <v>1792</v>
      </c>
      <c r="F39" s="11" t="s">
        <v>1337</v>
      </c>
      <c r="G39" s="11" t="s">
        <v>1338</v>
      </c>
      <c r="H39" s="11" t="s">
        <v>1793</v>
      </c>
      <c r="I39" s="11" t="s">
        <v>1794</v>
      </c>
      <c r="J39" s="11" t="s">
        <v>1795</v>
      </c>
      <c r="K39" s="11" t="s">
        <v>1339</v>
      </c>
      <c r="L39" s="11" t="s">
        <v>1706</v>
      </c>
      <c r="M39" s="11" t="s">
        <v>1196</v>
      </c>
    </row>
    <row r="40" spans="1:13" x14ac:dyDescent="0.3">
      <c r="B40" s="23" t="s">
        <v>1198</v>
      </c>
      <c r="C40" s="23">
        <f>COUNTIF('ZEMIO_Cleaned Data'!ANL:ANL,"1")</f>
        <v>1</v>
      </c>
      <c r="D40" s="23">
        <f>COUNTIF('ZEMIO_Cleaned Data'!ANM:ANM,"1")</f>
        <v>0</v>
      </c>
      <c r="E40" s="23">
        <f>COUNTIF('ZEMIO_Cleaned Data'!ANN:ANN,"1")</f>
        <v>0</v>
      </c>
      <c r="F40" s="23">
        <f>COUNTIF('ZEMIO_Cleaned Data'!ANO:ANO,"1")</f>
        <v>1</v>
      </c>
      <c r="G40" s="23">
        <f>COUNTIF('ZEMIO_Cleaned Data'!ANP:ANP,"1")</f>
        <v>0</v>
      </c>
      <c r="H40" s="23">
        <f>COUNTIF('ZEMIO_Cleaned Data'!ANV:ANV,"1")</f>
        <v>0</v>
      </c>
      <c r="I40" s="23">
        <f>COUNTIF('ZEMIO_Cleaned Data'!ANQ:ANQ,"1")</f>
        <v>0</v>
      </c>
      <c r="J40" s="23">
        <f>COUNTIF('ZEMIO_Cleaned Data'!ANR:ANR,"1")</f>
        <v>0</v>
      </c>
      <c r="K40" s="23">
        <f>COUNTIF('ZEMIO_Cleaned Data'!ANS:ANS,"1")</f>
        <v>0</v>
      </c>
      <c r="L40" s="23">
        <f>COUNTIF('ZEMIO_Cleaned Data'!ANT:ANT,"1")</f>
        <v>0</v>
      </c>
      <c r="M40" s="23">
        <f>COUNTIF('ZEMIO_Cleaned Data'!ANU:ANU,"1")</f>
        <v>1</v>
      </c>
    </row>
    <row r="41" spans="1:13" ht="49" x14ac:dyDescent="0.3">
      <c r="B41" s="111" t="s">
        <v>2049</v>
      </c>
      <c r="C41" s="38">
        <f>C40/(C35+D35)</f>
        <v>1</v>
      </c>
      <c r="D41" s="38">
        <f>D40/(C35+D35)</f>
        <v>0</v>
      </c>
      <c r="E41" s="38">
        <f>E40/(C35+D35)</f>
        <v>0</v>
      </c>
      <c r="F41" s="38">
        <f>F40/(C35+D35)</f>
        <v>1</v>
      </c>
      <c r="G41" s="38">
        <f>G40/(C35+D35)</f>
        <v>0</v>
      </c>
      <c r="H41" s="38">
        <f>H40/(C35+D35)</f>
        <v>0</v>
      </c>
      <c r="I41" s="38">
        <f>I40/(C35+D35)</f>
        <v>0</v>
      </c>
      <c r="J41" s="38">
        <f>J40/(C35+D35)</f>
        <v>0</v>
      </c>
      <c r="K41" s="38">
        <f>K40/(C35+D35)</f>
        <v>0</v>
      </c>
      <c r="L41" s="38">
        <f>L40/(C35+D35)</f>
        <v>0</v>
      </c>
      <c r="M41" s="38">
        <f>M40/(C35+D35)</f>
        <v>1</v>
      </c>
    </row>
    <row r="42" spans="1:13" x14ac:dyDescent="0.3">
      <c r="M42" s="73" t="s">
        <v>2317</v>
      </c>
    </row>
    <row r="43" spans="1:13" x14ac:dyDescent="0.3">
      <c r="B43" s="17" t="s">
        <v>1218</v>
      </c>
      <c r="D43" s="95" t="s">
        <v>1994</v>
      </c>
    </row>
    <row r="44" spans="1:13" s="40" customFormat="1" ht="84" x14ac:dyDescent="0.3">
      <c r="B44" s="23"/>
      <c r="C44" s="11" t="s">
        <v>1898</v>
      </c>
      <c r="D44" s="11" t="s">
        <v>1899</v>
      </c>
      <c r="E44" s="11" t="s">
        <v>1900</v>
      </c>
      <c r="F44" s="11" t="s">
        <v>1901</v>
      </c>
      <c r="G44" s="11" t="s">
        <v>1902</v>
      </c>
      <c r="H44" s="11" t="s">
        <v>1903</v>
      </c>
      <c r="I44" s="11" t="s">
        <v>1904</v>
      </c>
      <c r="J44" s="11" t="s">
        <v>1706</v>
      </c>
      <c r="K44" s="11" t="s">
        <v>1196</v>
      </c>
    </row>
    <row r="45" spans="1:13" x14ac:dyDescent="0.3">
      <c r="B45" s="23" t="s">
        <v>1198</v>
      </c>
      <c r="C45" s="23">
        <f>COUNTIF('ZEMIO_Cleaned Data'!ANA:ANA,"1")</f>
        <v>0</v>
      </c>
      <c r="D45" s="23">
        <f>COUNTIF('ZEMIO_Cleaned Data'!ANB:ANB,"1")</f>
        <v>0</v>
      </c>
      <c r="E45" s="23">
        <f>COUNTIF('ZEMIO_Cleaned Data'!ANC:ANC,"1")</f>
        <v>0</v>
      </c>
      <c r="F45" s="23">
        <f>COUNTIF('ZEMIO_Cleaned Data'!AND:AND,"1")</f>
        <v>0</v>
      </c>
      <c r="G45" s="23">
        <f>COUNTIF('ZEMIO_Cleaned Data'!ANE:ANE,"1")</f>
        <v>0</v>
      </c>
      <c r="H45" s="23">
        <f>COUNTIF('ZEMIO_Cleaned Data'!ANF:ANF,"1")</f>
        <v>0</v>
      </c>
      <c r="I45" s="23">
        <f>COUNTIF('ZEMIO_Cleaned Data'!ANG:ANG,"1")</f>
        <v>0</v>
      </c>
      <c r="J45" s="23">
        <f>COUNTIF('ZEMIO_Cleaned Data'!ANH:ANH,"1")</f>
        <v>0</v>
      </c>
      <c r="K45" s="23">
        <f>COUNTIF('ZEMIO_Cleaned Data'!ANI:ANI,"1")</f>
        <v>0</v>
      </c>
      <c r="L45" s="40"/>
      <c r="M45" s="40"/>
    </row>
    <row r="46" spans="1:13" ht="49" x14ac:dyDescent="0.3">
      <c r="B46" s="111" t="s">
        <v>2050</v>
      </c>
      <c r="C46" s="38" t="e">
        <f>C45/(E35+F35)</f>
        <v>#DIV/0!</v>
      </c>
      <c r="D46" s="38" t="e">
        <f>D45/(E35+F35)</f>
        <v>#DIV/0!</v>
      </c>
      <c r="E46" s="38" t="e">
        <f>E45/(E35+F35)</f>
        <v>#DIV/0!</v>
      </c>
      <c r="F46" s="38" t="e">
        <f>F45/(E35+F35)</f>
        <v>#DIV/0!</v>
      </c>
      <c r="G46" s="38" t="e">
        <f>G45/(E35+F35)</f>
        <v>#DIV/0!</v>
      </c>
      <c r="H46" s="38" t="e">
        <f>H45/(E35+F35)</f>
        <v>#DIV/0!</v>
      </c>
      <c r="I46" s="38" t="e">
        <f>I45/(E35+F35)</f>
        <v>#DIV/0!</v>
      </c>
      <c r="J46" s="38" t="e">
        <f>J45/(E35+F35)</f>
        <v>#DIV/0!</v>
      </c>
      <c r="K46" s="38" t="e">
        <f>K45/(E35+F35)</f>
        <v>#DIV/0!</v>
      </c>
      <c r="L46" s="40"/>
      <c r="M46" s="40"/>
    </row>
    <row r="48" spans="1:13" ht="15.5" x14ac:dyDescent="0.35">
      <c r="A48" s="28" t="s">
        <v>1340</v>
      </c>
    </row>
    <row r="49" spans="1:12" x14ac:dyDescent="0.3">
      <c r="A49" s="23"/>
      <c r="B49" s="7" t="s">
        <v>1201</v>
      </c>
      <c r="C49" s="7" t="s">
        <v>1200</v>
      </c>
      <c r="D49" s="117" t="s">
        <v>1197</v>
      </c>
    </row>
    <row r="50" spans="1:12" x14ac:dyDescent="0.3">
      <c r="A50" s="23" t="s">
        <v>1198</v>
      </c>
      <c r="B50" s="23">
        <f>COUNTIF('ZEMIO_Cleaned Data'!ANX:ANX,"oui")</f>
        <v>0</v>
      </c>
      <c r="C50" s="23">
        <f>COUNTIF('ZEMIO_Cleaned Data'!ANX:ANX,"non")</f>
        <v>1</v>
      </c>
      <c r="D50" s="24">
        <f>SUM(B50:C50)</f>
        <v>1</v>
      </c>
    </row>
    <row r="51" spans="1:12" ht="26" x14ac:dyDescent="0.3">
      <c r="A51" s="111" t="s">
        <v>2047</v>
      </c>
      <c r="B51" s="38">
        <f>(B50/$E$7)</f>
        <v>0</v>
      </c>
      <c r="C51" s="38">
        <f>(C50/$E$7)</f>
        <v>1</v>
      </c>
      <c r="D51" s="118">
        <f>SUM(B51:C51)</f>
        <v>1</v>
      </c>
    </row>
    <row r="52" spans="1:12" x14ac:dyDescent="0.3">
      <c r="A52" s="13"/>
      <c r="B52" s="14"/>
      <c r="C52" s="14"/>
    </row>
    <row r="53" spans="1:12" ht="15.5" x14ac:dyDescent="0.35">
      <c r="A53" s="28" t="s">
        <v>1293</v>
      </c>
      <c r="B53" s="95" t="s">
        <v>1994</v>
      </c>
    </row>
    <row r="54" spans="1:12" ht="56" x14ac:dyDescent="0.3">
      <c r="A54" s="23"/>
      <c r="B54" s="7" t="s">
        <v>1782</v>
      </c>
      <c r="C54" s="7" t="s">
        <v>1691</v>
      </c>
      <c r="D54" s="7" t="s">
        <v>1692</v>
      </c>
      <c r="E54" s="7" t="s">
        <v>1693</v>
      </c>
      <c r="F54" s="7" t="s">
        <v>1694</v>
      </c>
      <c r="G54" s="7" t="s">
        <v>1695</v>
      </c>
      <c r="H54" s="7" t="s">
        <v>1229</v>
      </c>
      <c r="I54" s="7" t="s">
        <v>1696</v>
      </c>
      <c r="J54" s="7" t="s">
        <v>1697</v>
      </c>
      <c r="K54" s="7" t="s">
        <v>1706</v>
      </c>
      <c r="L54" s="7" t="s">
        <v>1196</v>
      </c>
    </row>
    <row r="55" spans="1:12" x14ac:dyDescent="0.3">
      <c r="A55" s="23" t="s">
        <v>1198</v>
      </c>
      <c r="B55" s="37">
        <f>COUNTIF('ZEMIO_Cleaned Data'!ARH:ARH,"1")</f>
        <v>0</v>
      </c>
      <c r="C55" s="37">
        <f>COUNTIF('ZEMIO_Cleaned Data'!ARI:ARI,"1")</f>
        <v>1</v>
      </c>
      <c r="D55" s="37">
        <f>COUNTIF('ZEMIO_Cleaned Data'!ARJ:ARJ,"1")</f>
        <v>0</v>
      </c>
      <c r="E55" s="37">
        <f>COUNTIF('ZEMIO_Cleaned Data'!ARQ:ARQ,"1")</f>
        <v>0</v>
      </c>
      <c r="F55" s="37">
        <f>COUNTIF('ZEMIO_Cleaned Data'!ARR:ARR,"1")</f>
        <v>0</v>
      </c>
      <c r="G55" s="37">
        <f>COUNTIF('ZEMIO_Cleaned Data'!ARK:ARK,"1")</f>
        <v>0</v>
      </c>
      <c r="H55" s="37">
        <f>COUNTIF('ZEMIO_Cleaned Data'!ARL:ARL,"1")</f>
        <v>0</v>
      </c>
      <c r="I55" s="37">
        <f>COUNTIF('ZEMIO_Cleaned Data'!ARM:ARM,"1")</f>
        <v>0</v>
      </c>
      <c r="J55" s="37">
        <f>COUNTIF('ZEMIO_Cleaned Data'!ARS:ARS,"1")</f>
        <v>0</v>
      </c>
      <c r="K55" s="37">
        <f>COUNTIF('ZEMIO_Cleaned Data'!ARO:ARO,"1")</f>
        <v>0</v>
      </c>
      <c r="L55" s="37">
        <f>COUNTIF('ZEMIO_Cleaned Data'!ARP:ARP,"1")</f>
        <v>0</v>
      </c>
    </row>
    <row r="56" spans="1:12" ht="26" x14ac:dyDescent="0.3">
      <c r="A56" s="111" t="s">
        <v>2044</v>
      </c>
      <c r="B56" s="38">
        <f t="shared" ref="B56:L56" si="2">B55/$B$3</f>
        <v>0</v>
      </c>
      <c r="C56" s="38">
        <f t="shared" si="2"/>
        <v>1</v>
      </c>
      <c r="D56" s="38">
        <f t="shared" si="2"/>
        <v>0</v>
      </c>
      <c r="E56" s="38">
        <f t="shared" si="2"/>
        <v>0</v>
      </c>
      <c r="F56" s="38">
        <f t="shared" si="2"/>
        <v>0</v>
      </c>
      <c r="G56" s="38">
        <f t="shared" si="2"/>
        <v>0</v>
      </c>
      <c r="H56" s="38">
        <f t="shared" si="2"/>
        <v>0</v>
      </c>
      <c r="I56" s="38">
        <f t="shared" si="2"/>
        <v>0</v>
      </c>
      <c r="J56" s="38">
        <f t="shared" si="2"/>
        <v>0</v>
      </c>
      <c r="K56" s="38">
        <f t="shared" si="2"/>
        <v>0</v>
      </c>
      <c r="L56" s="38">
        <f t="shared" si="2"/>
        <v>0</v>
      </c>
    </row>
    <row r="58" spans="1:12" ht="15.5" x14ac:dyDescent="0.35">
      <c r="A58" s="8" t="s">
        <v>1341</v>
      </c>
    </row>
    <row r="59" spans="1:12" ht="15.5" x14ac:dyDescent="0.35">
      <c r="A59" s="28" t="s">
        <v>2051</v>
      </c>
      <c r="C59" s="95" t="s">
        <v>1994</v>
      </c>
    </row>
    <row r="60" spans="1:12" s="35" customFormat="1" ht="70" x14ac:dyDescent="0.3">
      <c r="A60" s="23"/>
      <c r="B60" s="34" t="s">
        <v>1345</v>
      </c>
      <c r="C60" s="34" t="s">
        <v>1346</v>
      </c>
      <c r="D60" s="34" t="s">
        <v>1342</v>
      </c>
      <c r="E60" s="34" t="s">
        <v>1343</v>
      </c>
      <c r="F60" s="34" t="s">
        <v>1344</v>
      </c>
      <c r="G60" s="34" t="s">
        <v>1347</v>
      </c>
      <c r="H60" s="34" t="s">
        <v>1706</v>
      </c>
      <c r="I60" s="34" t="s">
        <v>1211</v>
      </c>
    </row>
    <row r="61" spans="1:12" x14ac:dyDescent="0.3">
      <c r="A61" s="23" t="s">
        <v>1198</v>
      </c>
      <c r="B61" s="23">
        <f>COUNTIF('ZEMIO_Cleaned Data'!AOA:AOA,"1")</f>
        <v>1</v>
      </c>
      <c r="C61" s="23">
        <f>COUNTIF('ZEMIO_Cleaned Data'!AOB:AOB,"1")</f>
        <v>1</v>
      </c>
      <c r="D61" s="23">
        <f>COUNTIF('ZEMIO_Cleaned Data'!AOC:AOC,"1")</f>
        <v>0</v>
      </c>
      <c r="E61" s="23">
        <f>COUNTIF('ZEMIO_Cleaned Data'!AOD:AOD,"1")</f>
        <v>0</v>
      </c>
      <c r="F61" s="23">
        <f>COUNTIF('ZEMIO_Cleaned Data'!AOE:AOE,"1")</f>
        <v>0</v>
      </c>
      <c r="G61" s="23">
        <f>COUNTIF('ZEMIO_Cleaned Data'!AOF:AOF,"1")</f>
        <v>0</v>
      </c>
      <c r="H61" s="23">
        <f>COUNTIF('ZEMIO_Cleaned Data'!AOG:AOG,"1")</f>
        <v>0</v>
      </c>
      <c r="I61" s="23">
        <f>COUNTIF('ZEMIO_Cleaned Data'!AOH:AOH,"1")</f>
        <v>0</v>
      </c>
      <c r="J61" s="13"/>
    </row>
    <row r="62" spans="1:12" ht="26" x14ac:dyDescent="0.3">
      <c r="A62" s="111" t="s">
        <v>2047</v>
      </c>
      <c r="B62" s="38">
        <f>B61/$E$7</f>
        <v>1</v>
      </c>
      <c r="C62" s="38">
        <f t="shared" ref="C62:I62" si="3">C61/$E$7</f>
        <v>1</v>
      </c>
      <c r="D62" s="38">
        <f t="shared" si="3"/>
        <v>0</v>
      </c>
      <c r="E62" s="38">
        <f t="shared" si="3"/>
        <v>0</v>
      </c>
      <c r="F62" s="38">
        <f t="shared" si="3"/>
        <v>0</v>
      </c>
      <c r="G62" s="38">
        <f t="shared" si="3"/>
        <v>0</v>
      </c>
      <c r="H62" s="38">
        <f t="shared" si="3"/>
        <v>0</v>
      </c>
      <c r="I62" s="38">
        <f t="shared" si="3"/>
        <v>0</v>
      </c>
    </row>
    <row r="63" spans="1:12" x14ac:dyDescent="0.3">
      <c r="A63" s="120"/>
    </row>
    <row r="64" spans="1:12" x14ac:dyDescent="0.3">
      <c r="B64" s="17" t="s">
        <v>1348</v>
      </c>
    </row>
    <row r="65" spans="1:9" ht="42" x14ac:dyDescent="0.3">
      <c r="B65" s="23"/>
      <c r="C65" s="11" t="s">
        <v>1349</v>
      </c>
      <c r="D65" s="11" t="s">
        <v>1350</v>
      </c>
      <c r="E65" s="11" t="s">
        <v>1351</v>
      </c>
      <c r="F65" s="11" t="s">
        <v>1352</v>
      </c>
      <c r="G65" s="11" t="s">
        <v>1706</v>
      </c>
      <c r="H65" s="11" t="s">
        <v>1211</v>
      </c>
      <c r="I65" s="117" t="s">
        <v>1197</v>
      </c>
    </row>
    <row r="66" spans="1:9" x14ac:dyDescent="0.3">
      <c r="B66" s="23" t="s">
        <v>1198</v>
      </c>
      <c r="C66" s="23">
        <f>COUNTIF('ZEMIO_Cleaned Data'!AOL:AOL,"local")</f>
        <v>0</v>
      </c>
      <c r="D66" s="23">
        <f>COUNTIF('ZEMIO_Cleaned Data'!AOL:AOL,"proche")</f>
        <v>0</v>
      </c>
      <c r="E66" s="23">
        <f>COUNTIF('ZEMIO_Cleaned Data'!AOL:AOL,"bangui")</f>
        <v>1</v>
      </c>
      <c r="F66" s="23">
        <f>COUNTIF('ZEMIO_Cleaned Data'!AOL:AOL,"exterieur")</f>
        <v>0</v>
      </c>
      <c r="G66" s="23">
        <f>COUNTIF('ZEMIO_Cleaned Data'!AOL:AOL,"nsp")</f>
        <v>0</v>
      </c>
      <c r="H66" s="23">
        <f>COUNTIF('ZEMIO_Cleaned Data'!AOL:AOL,"autre")</f>
        <v>0</v>
      </c>
      <c r="I66" s="24">
        <f>SUM(C66:H66)</f>
        <v>1</v>
      </c>
    </row>
    <row r="67" spans="1:9" ht="37.5" x14ac:dyDescent="0.3">
      <c r="B67" s="111" t="s">
        <v>2047</v>
      </c>
      <c r="C67" s="38">
        <f>C66/$E$7</f>
        <v>0</v>
      </c>
      <c r="D67" s="38">
        <f t="shared" ref="D67" si="4">D66/$E$7</f>
        <v>0</v>
      </c>
      <c r="E67" s="38">
        <f t="shared" ref="E67" si="5">E66/$E$7</f>
        <v>1</v>
      </c>
      <c r="F67" s="38">
        <f t="shared" ref="F67" si="6">F66/$E$7</f>
        <v>0</v>
      </c>
      <c r="G67" s="38">
        <f t="shared" ref="G67" si="7">G66/$E$7</f>
        <v>0</v>
      </c>
      <c r="H67" s="38">
        <f t="shared" ref="H67" si="8">H66/$E$7</f>
        <v>0</v>
      </c>
      <c r="I67" s="118">
        <f>SUM(C67:H67)</f>
        <v>1</v>
      </c>
    </row>
    <row r="68" spans="1:9" x14ac:dyDescent="0.3">
      <c r="B68" s="13"/>
      <c r="C68" s="13"/>
      <c r="D68" s="13"/>
      <c r="E68" s="13"/>
      <c r="F68" s="13"/>
      <c r="G68" s="13"/>
    </row>
    <row r="69" spans="1:9" x14ac:dyDescent="0.3">
      <c r="B69" s="17" t="s">
        <v>1797</v>
      </c>
    </row>
    <row r="70" spans="1:9" ht="28" x14ac:dyDescent="0.3">
      <c r="B70" s="23"/>
      <c r="C70" s="11" t="s">
        <v>1798</v>
      </c>
      <c r="D70" s="11" t="s">
        <v>1799</v>
      </c>
      <c r="E70" s="11" t="s">
        <v>1800</v>
      </c>
      <c r="F70" s="11" t="s">
        <v>1706</v>
      </c>
      <c r="G70" s="11" t="s">
        <v>1196</v>
      </c>
      <c r="H70" s="117" t="s">
        <v>1197</v>
      </c>
    </row>
    <row r="71" spans="1:9" x14ac:dyDescent="0.3">
      <c r="B71" s="23" t="s">
        <v>1198</v>
      </c>
      <c r="C71" s="23">
        <f>COUNTIF('ZEMIO_Cleaned Data'!AOJ:AOJ,"hebdo")</f>
        <v>0</v>
      </c>
      <c r="D71" s="23">
        <f>COUNTIF('ZEMIO_Cleaned Data'!AOJ:AOJ,"mensuel")</f>
        <v>0</v>
      </c>
      <c r="E71" s="23">
        <f>COUNTIF('ZEMIO_Cleaned Data'!AOJ:AOJ,"trimestriel")</f>
        <v>1</v>
      </c>
      <c r="F71" s="23">
        <f>COUNTIF('ZEMIO_Cleaned Data'!AOJ:AOJ,"nsp")</f>
        <v>0</v>
      </c>
      <c r="G71" s="23">
        <f>COUNTIF('ZEMIO_Cleaned Data'!AOJ:AOJ,"autre")</f>
        <v>0</v>
      </c>
      <c r="H71" s="24">
        <f>SUM(C71:G71)</f>
        <v>1</v>
      </c>
    </row>
    <row r="72" spans="1:9" ht="37.5" x14ac:dyDescent="0.3">
      <c r="B72" s="111" t="s">
        <v>2047</v>
      </c>
      <c r="C72" s="38">
        <f>C71/$E$7</f>
        <v>0</v>
      </c>
      <c r="D72" s="38">
        <f t="shared" ref="D72:G72" si="9">D71/$E$7</f>
        <v>0</v>
      </c>
      <c r="E72" s="38">
        <f t="shared" si="9"/>
        <v>1</v>
      </c>
      <c r="F72" s="38">
        <f t="shared" si="9"/>
        <v>0</v>
      </c>
      <c r="G72" s="38">
        <f t="shared" si="9"/>
        <v>0</v>
      </c>
      <c r="H72" s="118">
        <f>SUM(C72:G72)</f>
        <v>1</v>
      </c>
    </row>
    <row r="73" spans="1:9" x14ac:dyDescent="0.3">
      <c r="F73" s="73"/>
    </row>
    <row r="74" spans="1:9" ht="15.5" x14ac:dyDescent="0.35">
      <c r="A74" s="28" t="s">
        <v>2052</v>
      </c>
      <c r="C74" s="95" t="s">
        <v>1994</v>
      </c>
    </row>
    <row r="75" spans="1:9" ht="70" x14ac:dyDescent="0.3">
      <c r="A75" s="23"/>
      <c r="B75" s="34" t="s">
        <v>1345</v>
      </c>
      <c r="C75" s="34" t="s">
        <v>1346</v>
      </c>
      <c r="D75" s="34" t="s">
        <v>1342</v>
      </c>
      <c r="E75" s="34" t="s">
        <v>1343</v>
      </c>
      <c r="F75" s="34" t="s">
        <v>1344</v>
      </c>
      <c r="G75" s="34" t="s">
        <v>1347</v>
      </c>
      <c r="H75" s="34" t="s">
        <v>1706</v>
      </c>
      <c r="I75" s="34" t="s">
        <v>1211</v>
      </c>
    </row>
    <row r="76" spans="1:9" x14ac:dyDescent="0.3">
      <c r="A76" s="23" t="s">
        <v>1198</v>
      </c>
      <c r="B76" s="23">
        <f>COUNTIF('ZEMIO_Cleaned Data'!AOP:AOP,"1")</f>
        <v>0</v>
      </c>
      <c r="C76" s="23">
        <f>COUNTIF('ZEMIO_Cleaned Data'!AOQ:AOQ,"1")</f>
        <v>1</v>
      </c>
      <c r="D76" s="23">
        <f>COUNTIF('ZEMIO_Cleaned Data'!AOR:AOR,"1")</f>
        <v>1</v>
      </c>
      <c r="E76" s="23">
        <f>COUNTIF('ZEMIO_Cleaned Data'!AOS:AOS,"1")</f>
        <v>1</v>
      </c>
      <c r="F76" s="23">
        <f>COUNTIF('ZEMIO_Cleaned Data'!AOT:AOT,"1")</f>
        <v>1</v>
      </c>
      <c r="G76" s="23">
        <f>COUNTIF('ZEMIO_Cleaned Data'!AOU:AOU,"1")</f>
        <v>0</v>
      </c>
      <c r="H76" s="23">
        <f>COUNTIF('ZEMIO_Cleaned Data'!AOV:AOV,"1")</f>
        <v>0</v>
      </c>
      <c r="I76" s="23">
        <f>COUNTIF('ZEMIO_Cleaned Data'!AOW:AOW,"1")</f>
        <v>0</v>
      </c>
    </row>
    <row r="77" spans="1:9" ht="26" x14ac:dyDescent="0.3">
      <c r="A77" s="111" t="s">
        <v>2047</v>
      </c>
      <c r="B77" s="38">
        <f>B76/$E$7</f>
        <v>0</v>
      </c>
      <c r="C77" s="38">
        <f t="shared" ref="C77:I77" si="10">C76/$E$7</f>
        <v>1</v>
      </c>
      <c r="D77" s="38">
        <f t="shared" si="10"/>
        <v>1</v>
      </c>
      <c r="E77" s="38">
        <f t="shared" si="10"/>
        <v>1</v>
      </c>
      <c r="F77" s="38">
        <f t="shared" si="10"/>
        <v>1</v>
      </c>
      <c r="G77" s="38">
        <f t="shared" si="10"/>
        <v>0</v>
      </c>
      <c r="H77" s="38">
        <f t="shared" si="10"/>
        <v>0</v>
      </c>
      <c r="I77" s="38">
        <f t="shared" si="10"/>
        <v>0</v>
      </c>
    </row>
    <row r="78" spans="1:9" x14ac:dyDescent="0.3">
      <c r="A78" s="120"/>
    </row>
    <row r="79" spans="1:9" x14ac:dyDescent="0.3">
      <c r="B79" s="17" t="s">
        <v>1348</v>
      </c>
    </row>
    <row r="80" spans="1:9" ht="42" x14ac:dyDescent="0.3">
      <c r="B80" s="23"/>
      <c r="C80" s="39" t="s">
        <v>1349</v>
      </c>
      <c r="D80" s="39" t="s">
        <v>1350</v>
      </c>
      <c r="E80" s="39" t="s">
        <v>1351</v>
      </c>
      <c r="F80" s="39" t="s">
        <v>1352</v>
      </c>
      <c r="G80" s="39" t="s">
        <v>1706</v>
      </c>
      <c r="H80" s="39" t="s">
        <v>1211</v>
      </c>
      <c r="I80" s="117" t="s">
        <v>1197</v>
      </c>
    </row>
    <row r="81" spans="1:9" x14ac:dyDescent="0.3">
      <c r="B81" s="23" t="s">
        <v>1198</v>
      </c>
      <c r="C81" s="23">
        <f>COUNTIF('ZEMIO_Cleaned Data'!APA:APA,"local")</f>
        <v>0</v>
      </c>
      <c r="D81" s="23">
        <f>COUNTIF('ZEMIO_Cleaned Data'!APA:APA,"proche")</f>
        <v>0</v>
      </c>
      <c r="E81" s="23">
        <f>COUNTIF('ZEMIO_Cleaned Data'!APA:APA,"bangui")</f>
        <v>1</v>
      </c>
      <c r="F81" s="23">
        <f>COUNTIF('ZEMIO_Cleaned Data'!APA:APA,"exterieur")</f>
        <v>0</v>
      </c>
      <c r="G81" s="23">
        <f>COUNTIF('ZEMIO_Cleaned Data'!APA:APA,"nsp")</f>
        <v>0</v>
      </c>
      <c r="H81" s="23">
        <f>COUNTIF('ZEMIO_Cleaned Data'!APA:APA,"autre")</f>
        <v>0</v>
      </c>
      <c r="I81" s="24">
        <f>SUM(C81:H81)</f>
        <v>1</v>
      </c>
    </row>
    <row r="82" spans="1:9" ht="37.5" x14ac:dyDescent="0.3">
      <c r="B82" s="111" t="s">
        <v>2047</v>
      </c>
      <c r="C82" s="38">
        <f>C81/$E$7</f>
        <v>0</v>
      </c>
      <c r="D82" s="38">
        <f t="shared" ref="D82:H82" si="11">D81/$E$7</f>
        <v>0</v>
      </c>
      <c r="E82" s="38">
        <f t="shared" si="11"/>
        <v>1</v>
      </c>
      <c r="F82" s="38">
        <f t="shared" si="11"/>
        <v>0</v>
      </c>
      <c r="G82" s="38">
        <f t="shared" si="11"/>
        <v>0</v>
      </c>
      <c r="H82" s="38">
        <f t="shared" si="11"/>
        <v>0</v>
      </c>
      <c r="I82" s="118">
        <f>SUM(C82:H82)</f>
        <v>1</v>
      </c>
    </row>
    <row r="83" spans="1:9" x14ac:dyDescent="0.3">
      <c r="H83" s="119"/>
    </row>
    <row r="84" spans="1:9" x14ac:dyDescent="0.3">
      <c r="B84" s="17" t="s">
        <v>1797</v>
      </c>
    </row>
    <row r="85" spans="1:9" ht="28" x14ac:dyDescent="0.3">
      <c r="B85" s="23"/>
      <c r="C85" s="39" t="s">
        <v>1798</v>
      </c>
      <c r="D85" s="39" t="s">
        <v>1799</v>
      </c>
      <c r="E85" s="39" t="s">
        <v>1800</v>
      </c>
      <c r="F85" s="39" t="s">
        <v>1706</v>
      </c>
      <c r="G85" s="39" t="s">
        <v>1211</v>
      </c>
      <c r="H85" s="117" t="s">
        <v>1197</v>
      </c>
    </row>
    <row r="86" spans="1:9" x14ac:dyDescent="0.3">
      <c r="B86" s="23" t="s">
        <v>1198</v>
      </c>
      <c r="C86" s="23">
        <f>COUNTIF('ZEMIO_Cleaned Data'!AOY:AOY,"hebdo")</f>
        <v>0</v>
      </c>
      <c r="D86" s="23">
        <f>COUNTIF('ZEMIO_Cleaned Data'!AOY:AOY,"mensuel")</f>
        <v>0</v>
      </c>
      <c r="E86" s="23">
        <f>COUNTIF('ZEMIO_Cleaned Data'!AOY:AOY,"trimestriel")</f>
        <v>1</v>
      </c>
      <c r="F86" s="23">
        <f>COUNTIF('ZEMIO_Cleaned Data'!AOY:AOY,"nsp")</f>
        <v>0</v>
      </c>
      <c r="G86" s="23">
        <f>COUNTIF('ZEMIO_Cleaned Data'!AOY:AOY,"autre")</f>
        <v>0</v>
      </c>
      <c r="H86" s="24">
        <f>SUM(C86:G86)</f>
        <v>1</v>
      </c>
    </row>
    <row r="87" spans="1:9" ht="37.5" x14ac:dyDescent="0.3">
      <c r="B87" s="111" t="s">
        <v>2047</v>
      </c>
      <c r="C87" s="38">
        <f>C86/$E$7</f>
        <v>0</v>
      </c>
      <c r="D87" s="38">
        <f t="shared" ref="D87:G87" si="12">D86/$E$7</f>
        <v>0</v>
      </c>
      <c r="E87" s="38">
        <f t="shared" si="12"/>
        <v>1</v>
      </c>
      <c r="F87" s="38">
        <f t="shared" si="12"/>
        <v>0</v>
      </c>
      <c r="G87" s="38">
        <f t="shared" si="12"/>
        <v>0</v>
      </c>
      <c r="H87" s="118">
        <f>SUM(C87:G87)</f>
        <v>1</v>
      </c>
    </row>
    <row r="88" spans="1:9" x14ac:dyDescent="0.3">
      <c r="F88" s="73"/>
    </row>
    <row r="89" spans="1:9" ht="15.5" x14ac:dyDescent="0.35">
      <c r="A89" s="8" t="s">
        <v>1353</v>
      </c>
    </row>
    <row r="90" spans="1:9" x14ac:dyDescent="0.3">
      <c r="A90" s="17" t="s">
        <v>1801</v>
      </c>
    </row>
    <row r="91" spans="1:9" x14ac:dyDescent="0.3">
      <c r="A91" s="23"/>
      <c r="B91" s="7" t="s">
        <v>1201</v>
      </c>
      <c r="C91" s="7" t="s">
        <v>1200</v>
      </c>
      <c r="D91" s="117" t="s">
        <v>1197</v>
      </c>
    </row>
    <row r="92" spans="1:9" x14ac:dyDescent="0.3">
      <c r="A92" s="23" t="s">
        <v>1198</v>
      </c>
      <c r="B92" s="23">
        <f>COUNTIF('ZEMIO_Cleaned Data'!APF:APF,"oui")</f>
        <v>1</v>
      </c>
      <c r="C92" s="23">
        <f>COUNTIF('ZEMIO_Cleaned Data'!APF:APF,"non")</f>
        <v>0</v>
      </c>
      <c r="D92" s="24">
        <f>SUM(B92:C92)</f>
        <v>1</v>
      </c>
    </row>
    <row r="93" spans="1:9" ht="26" x14ac:dyDescent="0.3">
      <c r="A93" s="111" t="s">
        <v>2047</v>
      </c>
      <c r="B93" s="38">
        <f>(B92/$E$7)</f>
        <v>1</v>
      </c>
      <c r="C93" s="38">
        <f>(C92/$E$7)</f>
        <v>0</v>
      </c>
      <c r="D93" s="118">
        <f>SUM(B93:C93)</f>
        <v>1</v>
      </c>
    </row>
    <row r="95" spans="1:9" x14ac:dyDescent="0.3">
      <c r="B95" s="17" t="s">
        <v>1802</v>
      </c>
    </row>
    <row r="96" spans="1:9" ht="28" x14ac:dyDescent="0.3">
      <c r="B96" s="23"/>
      <c r="C96" s="10" t="s">
        <v>1297</v>
      </c>
      <c r="D96" s="10" t="s">
        <v>1298</v>
      </c>
      <c r="E96" s="10" t="s">
        <v>1299</v>
      </c>
      <c r="F96" s="10" t="s">
        <v>1216</v>
      </c>
      <c r="G96" s="117" t="s">
        <v>1197</v>
      </c>
    </row>
    <row r="97" spans="1:9" x14ac:dyDescent="0.3">
      <c r="B97" s="23" t="s">
        <v>1198</v>
      </c>
      <c r="C97" s="23">
        <f>COUNTIF('ZEMIO_Cleaned Data'!APG:APG,"peu_diminue")</f>
        <v>1</v>
      </c>
      <c r="D97" s="23">
        <f>COUNTIF('ZEMIO_Cleaned Data'!APG:APG,"bcp_diminue")</f>
        <v>0</v>
      </c>
      <c r="E97" s="23">
        <f>COUNTIF('ZEMIO_Cleaned Data'!APG:APG,"peu_augmente")</f>
        <v>0</v>
      </c>
      <c r="F97" s="23">
        <f>COUNTIF('ZEMIO_Cleaned Data'!APG:APG,"bcp_augmente")</f>
        <v>0</v>
      </c>
      <c r="G97" s="24">
        <f>SUM(C97:F97)</f>
        <v>1</v>
      </c>
    </row>
    <row r="98" spans="1:9" ht="37.5" x14ac:dyDescent="0.3">
      <c r="B98" s="111" t="s">
        <v>2053</v>
      </c>
      <c r="C98" s="38">
        <f>C97/$B$92</f>
        <v>1</v>
      </c>
      <c r="D98" s="38">
        <f t="shared" ref="D98:F98" si="13">D97/$B$92</f>
        <v>0</v>
      </c>
      <c r="E98" s="38">
        <f t="shared" si="13"/>
        <v>0</v>
      </c>
      <c r="F98" s="38">
        <f t="shared" si="13"/>
        <v>0</v>
      </c>
      <c r="G98" s="118">
        <f>SUM(C98:F98)</f>
        <v>1</v>
      </c>
    </row>
    <row r="99" spans="1:9" x14ac:dyDescent="0.3">
      <c r="B99" s="13"/>
    </row>
    <row r="100" spans="1:9" x14ac:dyDescent="0.3">
      <c r="B100" s="17" t="s">
        <v>1300</v>
      </c>
      <c r="D100" s="95" t="s">
        <v>1994</v>
      </c>
    </row>
    <row r="101" spans="1:9" ht="70" x14ac:dyDescent="0.3">
      <c r="B101" s="23"/>
      <c r="C101" s="10" t="s">
        <v>1305</v>
      </c>
      <c r="D101" s="10" t="s">
        <v>1354</v>
      </c>
      <c r="E101" s="10" t="s">
        <v>1355</v>
      </c>
      <c r="F101" s="10" t="s">
        <v>1356</v>
      </c>
      <c r="G101" s="10" t="s">
        <v>1357</v>
      </c>
      <c r="H101" s="10" t="s">
        <v>1706</v>
      </c>
      <c r="I101" s="10" t="s">
        <v>1211</v>
      </c>
    </row>
    <row r="102" spans="1:9" x14ac:dyDescent="0.3">
      <c r="B102" s="23" t="s">
        <v>1198</v>
      </c>
      <c r="C102" s="23">
        <f>COUNTIF('ZEMIO_Cleaned Data'!APR:APR,"1")</f>
        <v>0</v>
      </c>
      <c r="D102" s="23">
        <f>COUNTIF('ZEMIO_Cleaned Data'!APS:APS,"1")</f>
        <v>1</v>
      </c>
      <c r="E102" s="23">
        <f>COUNTIF('ZEMIO_Cleaned Data'!APT:APT,"1")</f>
        <v>0</v>
      </c>
      <c r="F102" s="23">
        <f>COUNTIF('ZEMIO_Cleaned Data'!APU:APU,"1")</f>
        <v>1</v>
      </c>
      <c r="G102" s="23">
        <f>COUNTIF('ZEMIO_Cleaned Data'!APV:APV,"1")</f>
        <v>0</v>
      </c>
      <c r="H102" s="23">
        <f>COUNTIF('ZEMIO_Cleaned Data'!APW:APW,"1")</f>
        <v>0</v>
      </c>
      <c r="I102" s="23">
        <f>COUNTIF('ZEMIO_Cleaned Data'!APX:APX,"1")</f>
        <v>0</v>
      </c>
    </row>
    <row r="103" spans="1:9" ht="42" customHeight="1" x14ac:dyDescent="0.3">
      <c r="B103" s="111" t="s">
        <v>2054</v>
      </c>
      <c r="C103" s="38">
        <f>D102/($C$97+$D$97)</f>
        <v>1</v>
      </c>
      <c r="D103" s="38">
        <f t="shared" ref="D103:I103" si="14">E102/($C$97+$D$97)</f>
        <v>0</v>
      </c>
      <c r="E103" s="38">
        <f t="shared" si="14"/>
        <v>1</v>
      </c>
      <c r="F103" s="38">
        <f t="shared" si="14"/>
        <v>0</v>
      </c>
      <c r="G103" s="38">
        <f t="shared" si="14"/>
        <v>0</v>
      </c>
      <c r="H103" s="38">
        <f t="shared" si="14"/>
        <v>0</v>
      </c>
      <c r="I103" s="38">
        <f t="shared" si="14"/>
        <v>0</v>
      </c>
    </row>
    <row r="104" spans="1:9" x14ac:dyDescent="0.3">
      <c r="I104" s="73"/>
    </row>
    <row r="105" spans="1:9" x14ac:dyDescent="0.3">
      <c r="B105" s="17" t="s">
        <v>1218</v>
      </c>
      <c r="D105" s="95" t="s">
        <v>1994</v>
      </c>
    </row>
    <row r="106" spans="1:9" ht="56" x14ac:dyDescent="0.3">
      <c r="B106" s="23"/>
      <c r="C106" s="10" t="s">
        <v>1301</v>
      </c>
      <c r="D106" s="10" t="s">
        <v>1302</v>
      </c>
      <c r="E106" s="10" t="s">
        <v>1905</v>
      </c>
      <c r="F106" s="10" t="s">
        <v>1906</v>
      </c>
      <c r="G106" s="10" t="s">
        <v>1907</v>
      </c>
      <c r="H106" s="10" t="s">
        <v>1706</v>
      </c>
      <c r="I106" s="10" t="s">
        <v>1196</v>
      </c>
    </row>
    <row r="107" spans="1:9" x14ac:dyDescent="0.3">
      <c r="B107" s="23" t="s">
        <v>1198</v>
      </c>
      <c r="C107" s="23">
        <f>COUNTIF('ZEMIO_Cleaned Data'!API:API,"1")</f>
        <v>0</v>
      </c>
      <c r="D107" s="23">
        <f>COUNTIF('ZEMIO_Cleaned Data'!APJ:APJ,"1")</f>
        <v>0</v>
      </c>
      <c r="E107" s="23">
        <f>COUNTIF('ZEMIO_Cleaned Data'!APK:APK,"1")</f>
        <v>0</v>
      </c>
      <c r="F107" s="23">
        <f>COUNTIF('ZEMIO_Cleaned Data'!APL:APL,"1")</f>
        <v>0</v>
      </c>
      <c r="G107" s="23">
        <f>COUNTIF('ZEMIO_Cleaned Data'!APM:APM,"1")</f>
        <v>0</v>
      </c>
      <c r="H107" s="23">
        <f>COUNTIF('ZEMIO_Cleaned Data'!APN:APN,"1")</f>
        <v>0</v>
      </c>
      <c r="I107" s="23">
        <f>COUNTIF('ZEMIO_Cleaned Data'!APO:APO,"1")</f>
        <v>0</v>
      </c>
    </row>
    <row r="108" spans="1:9" ht="49" x14ac:dyDescent="0.3">
      <c r="B108" s="111" t="s">
        <v>2055</v>
      </c>
      <c r="C108" s="38" t="e">
        <f>C107/($E$97+$F$97)</f>
        <v>#DIV/0!</v>
      </c>
      <c r="D108" s="38" t="e">
        <f t="shared" ref="D108:I108" si="15">D107/($E$97+$F$97)</f>
        <v>#DIV/0!</v>
      </c>
      <c r="E108" s="38" t="e">
        <f t="shared" si="15"/>
        <v>#DIV/0!</v>
      </c>
      <c r="F108" s="38" t="e">
        <f t="shared" si="15"/>
        <v>#DIV/0!</v>
      </c>
      <c r="G108" s="38" t="e">
        <f t="shared" si="15"/>
        <v>#DIV/0!</v>
      </c>
      <c r="H108" s="38" t="e">
        <f t="shared" si="15"/>
        <v>#DIV/0!</v>
      </c>
      <c r="I108" s="38" t="e">
        <f t="shared" si="15"/>
        <v>#DIV/0!</v>
      </c>
    </row>
    <row r="109" spans="1:9" x14ac:dyDescent="0.3">
      <c r="B109" s="13"/>
      <c r="C109" s="14"/>
      <c r="D109" s="14"/>
      <c r="E109" s="14"/>
      <c r="F109" s="14"/>
      <c r="G109" s="14"/>
      <c r="H109" s="14"/>
      <c r="I109" s="14"/>
    </row>
    <row r="110" spans="1:9" ht="15.5" x14ac:dyDescent="0.35">
      <c r="A110" s="8" t="s">
        <v>1358</v>
      </c>
    </row>
    <row r="111" spans="1:9" x14ac:dyDescent="0.3">
      <c r="A111" s="17" t="s">
        <v>1803</v>
      </c>
      <c r="B111" s="95" t="s">
        <v>1994</v>
      </c>
    </row>
    <row r="112" spans="1:9" s="35" customFormat="1" ht="42" x14ac:dyDescent="0.35">
      <c r="A112" s="74"/>
      <c r="B112" s="34" t="s">
        <v>1804</v>
      </c>
      <c r="C112" s="34" t="s">
        <v>1805</v>
      </c>
      <c r="D112" s="34" t="s">
        <v>1806</v>
      </c>
      <c r="E112" s="34" t="s">
        <v>1807</v>
      </c>
      <c r="F112" s="34" t="s">
        <v>2006</v>
      </c>
      <c r="G112" s="34" t="s">
        <v>1196</v>
      </c>
    </row>
    <row r="113" spans="1:8" x14ac:dyDescent="0.3">
      <c r="A113" s="23" t="s">
        <v>1198</v>
      </c>
      <c r="B113" s="23">
        <f>COUNTIF('ZEMIO_Cleaned Data'!AQA:AQA,"1")</f>
        <v>0</v>
      </c>
      <c r="C113" s="23">
        <f>COUNTIF('ZEMIO_Cleaned Data'!AQB:AQB,"1")</f>
        <v>1</v>
      </c>
      <c r="D113" s="23">
        <f>COUNTIF('ZEMIO_Cleaned Data'!AQC:AQC,"1")</f>
        <v>0</v>
      </c>
      <c r="E113" s="23">
        <f>COUNTIF('ZEMIO_Cleaned Data'!AQD:AQD,"1")</f>
        <v>1</v>
      </c>
      <c r="F113" s="23">
        <f>COUNTIF('ZEMIO_Cleaned Data'!AQE:AQE,"1")</f>
        <v>0</v>
      </c>
      <c r="G113" s="23">
        <f>COUNTIF('ZEMIO_Cleaned Data'!AQF:AQF,"1")</f>
        <v>0</v>
      </c>
    </row>
    <row r="114" spans="1:8" ht="26" x14ac:dyDescent="0.3">
      <c r="A114" s="111" t="s">
        <v>2047</v>
      </c>
      <c r="B114" s="38">
        <f>(B113/$E$7)</f>
        <v>0</v>
      </c>
      <c r="C114" s="38">
        <f t="shared" ref="C114:G114" si="16">(C113/$E$7)</f>
        <v>1</v>
      </c>
      <c r="D114" s="38">
        <f t="shared" si="16"/>
        <v>0</v>
      </c>
      <c r="E114" s="38">
        <f t="shared" si="16"/>
        <v>1</v>
      </c>
      <c r="F114" s="38">
        <f t="shared" si="16"/>
        <v>0</v>
      </c>
      <c r="G114" s="38">
        <f t="shared" si="16"/>
        <v>0</v>
      </c>
    </row>
    <row r="115" spans="1:8" x14ac:dyDescent="0.3">
      <c r="C115" s="73" t="s">
        <v>1977</v>
      </c>
      <c r="E115" s="73" t="s">
        <v>2319</v>
      </c>
    </row>
    <row r="116" spans="1:8" x14ac:dyDescent="0.3">
      <c r="B116" s="73"/>
    </row>
    <row r="117" spans="1:8" x14ac:dyDescent="0.3">
      <c r="B117" s="17" t="s">
        <v>1808</v>
      </c>
    </row>
    <row r="118" spans="1:8" x14ac:dyDescent="0.3">
      <c r="B118" s="20">
        <f>AVERAGE('ZEMIO_Cleaned Data'!AQN:AQN)</f>
        <v>200</v>
      </c>
      <c r="C118" s="20" t="s">
        <v>1809</v>
      </c>
      <c r="D118" s="73"/>
    </row>
    <row r="120" spans="1:8" x14ac:dyDescent="0.3">
      <c r="B120" s="17" t="s">
        <v>1810</v>
      </c>
      <c r="D120" s="137" t="s">
        <v>2320</v>
      </c>
    </row>
    <row r="121" spans="1:8" x14ac:dyDescent="0.3">
      <c r="B121" s="18">
        <f>AVERAGE('ZEMIO_Cleaned Data'!AQX:AQX)</f>
        <v>100</v>
      </c>
      <c r="C121" s="20" t="s">
        <v>2318</v>
      </c>
      <c r="D121" s="73"/>
    </row>
    <row r="123" spans="1:8" x14ac:dyDescent="0.3">
      <c r="A123" s="13"/>
      <c r="B123" s="14"/>
      <c r="C123" s="14"/>
    </row>
    <row r="124" spans="1:8" ht="15.5" x14ac:dyDescent="0.35">
      <c r="A124" s="8" t="s">
        <v>1283</v>
      </c>
    </row>
    <row r="125" spans="1:8" x14ac:dyDescent="0.3">
      <c r="A125" s="17" t="s">
        <v>1360</v>
      </c>
      <c r="C125" s="95" t="s">
        <v>1994</v>
      </c>
    </row>
    <row r="126" spans="1:8" s="35" customFormat="1" ht="58.5" customHeight="1" x14ac:dyDescent="0.3">
      <c r="A126" s="23"/>
      <c r="B126" s="34" t="s">
        <v>1359</v>
      </c>
      <c r="C126" s="34" t="s">
        <v>1364</v>
      </c>
      <c r="D126" s="34" t="s">
        <v>1361</v>
      </c>
      <c r="E126" s="34" t="s">
        <v>1362</v>
      </c>
      <c r="F126" s="34" t="s">
        <v>1363</v>
      </c>
      <c r="G126" s="34" t="s">
        <v>2006</v>
      </c>
      <c r="H126" s="34" t="s">
        <v>1211</v>
      </c>
    </row>
    <row r="127" spans="1:8" x14ac:dyDescent="0.3">
      <c r="A127" s="23" t="s">
        <v>1198</v>
      </c>
      <c r="B127" s="23">
        <f>COUNTIF('ZEMIO_Cleaned Data'!ARV:ARV,"1")</f>
        <v>1</v>
      </c>
      <c r="C127" s="23">
        <f>COUNTIF('ZEMIO_Cleaned Data'!ARW:ARW,"1")</f>
        <v>0</v>
      </c>
      <c r="D127" s="23">
        <f>COUNTIF('ZEMIO_Cleaned Data'!ARX:ARX,"1")</f>
        <v>0</v>
      </c>
      <c r="E127" s="23">
        <f>COUNTIF('ZEMIO_Cleaned Data'!ARY:ARY,"1")</f>
        <v>0</v>
      </c>
      <c r="F127" s="23">
        <f>COUNTIF('ZEMIO_Cleaned Data'!ARZ:ARZ,"1")</f>
        <v>0</v>
      </c>
      <c r="G127" s="23">
        <f>COUNTIF('ZEMIO_Cleaned Data'!ASA:ASA,"1")</f>
        <v>0</v>
      </c>
      <c r="H127" s="23">
        <f>COUNTIF('ZEMIO_Cleaned Data'!ASB:ASB,"1")</f>
        <v>0</v>
      </c>
    </row>
    <row r="128" spans="1:8" ht="26" x14ac:dyDescent="0.3">
      <c r="A128" s="111" t="s">
        <v>2044</v>
      </c>
      <c r="B128" s="38">
        <f>B127/$B$3</f>
        <v>1</v>
      </c>
      <c r="C128" s="38">
        <f t="shared" ref="C128:H128" si="17">C127/$B$3</f>
        <v>0</v>
      </c>
      <c r="D128" s="38">
        <f t="shared" si="17"/>
        <v>0</v>
      </c>
      <c r="E128" s="38">
        <f t="shared" si="17"/>
        <v>0</v>
      </c>
      <c r="F128" s="38">
        <f t="shared" si="17"/>
        <v>0</v>
      </c>
      <c r="G128" s="38">
        <f t="shared" si="17"/>
        <v>0</v>
      </c>
      <c r="H128" s="38">
        <f t="shared" si="17"/>
        <v>0</v>
      </c>
    </row>
    <row r="129" spans="1:16" x14ac:dyDescent="0.3">
      <c r="A129" s="13"/>
      <c r="H129" s="73"/>
    </row>
    <row r="130" spans="1:16" x14ac:dyDescent="0.3">
      <c r="A130" s="17" t="s">
        <v>1365</v>
      </c>
    </row>
    <row r="131" spans="1:16" x14ac:dyDescent="0.3">
      <c r="A131" s="23"/>
      <c r="B131" s="7" t="s">
        <v>1201</v>
      </c>
      <c r="C131" s="7" t="s">
        <v>1200</v>
      </c>
      <c r="D131" s="117" t="s">
        <v>1197</v>
      </c>
    </row>
    <row r="132" spans="1:16" x14ac:dyDescent="0.3">
      <c r="A132" s="23" t="s">
        <v>1198</v>
      </c>
      <c r="B132" s="23">
        <f>COUNTIF('ZEMIO_Cleaned Data'!ASD:ASD,"oui")</f>
        <v>1</v>
      </c>
      <c r="C132" s="23">
        <f>COUNTIF('ZEMIO_Cleaned Data'!ASD:ASD,"non")</f>
        <v>0</v>
      </c>
      <c r="D132" s="24">
        <f>SUM(B132:C132)</f>
        <v>1</v>
      </c>
    </row>
    <row r="133" spans="1:16" ht="26" x14ac:dyDescent="0.3">
      <c r="A133" s="111" t="s">
        <v>2047</v>
      </c>
      <c r="B133" s="38">
        <f>(B132/$E$7)</f>
        <v>1</v>
      </c>
      <c r="C133" s="38">
        <f>(C132/$E$7)</f>
        <v>0</v>
      </c>
      <c r="D133" s="118">
        <f>SUM(B133:C133)</f>
        <v>1</v>
      </c>
    </row>
    <row r="135" spans="1:16" x14ac:dyDescent="0.3">
      <c r="A135" s="17" t="s">
        <v>1321</v>
      </c>
      <c r="C135" s="95" t="s">
        <v>1994</v>
      </c>
    </row>
    <row r="136" spans="1:16" x14ac:dyDescent="0.3">
      <c r="A136" s="23"/>
      <c r="B136" s="7" t="s">
        <v>1240</v>
      </c>
      <c r="C136" s="7" t="s">
        <v>1241</v>
      </c>
      <c r="D136" s="7" t="s">
        <v>1706</v>
      </c>
      <c r="E136" s="7" t="s">
        <v>1196</v>
      </c>
      <c r="F136" s="7" t="s">
        <v>1242</v>
      </c>
    </row>
    <row r="137" spans="1:16" x14ac:dyDescent="0.3">
      <c r="A137" s="23" t="s">
        <v>1198</v>
      </c>
      <c r="B137" s="3">
        <f>COUNTIF('ZEMIO_Cleaned Data'!ASO:ASO,"1")</f>
        <v>0</v>
      </c>
      <c r="C137" s="3">
        <f>COUNTIF('ZEMIO_Cleaned Data'!ASP:ASP,"1")</f>
        <v>0</v>
      </c>
      <c r="D137" s="3">
        <f>COUNTIF('ZEMIO_Cleaned Data'!ASQ:ASQ,"1")</f>
        <v>0</v>
      </c>
      <c r="E137" s="3">
        <f>COUNTIF('ZEMIO_Cleaned Data'!ASR:ASR,"1")</f>
        <v>0</v>
      </c>
      <c r="F137" s="3">
        <f>COUNTIF('ZEMIO_Cleaned Data'!ASS:ASS,"1")</f>
        <v>1</v>
      </c>
    </row>
    <row r="138" spans="1:16" ht="26" x14ac:dyDescent="0.3">
      <c r="A138" s="111" t="s">
        <v>2044</v>
      </c>
      <c r="B138" s="38">
        <f>B137/$B$3</f>
        <v>0</v>
      </c>
      <c r="C138" s="38">
        <f t="shared" ref="C138:F138" si="18">C137/$B$3</f>
        <v>0</v>
      </c>
      <c r="D138" s="38">
        <f t="shared" si="18"/>
        <v>0</v>
      </c>
      <c r="E138" s="38">
        <f t="shared" si="18"/>
        <v>0</v>
      </c>
      <c r="F138" s="38">
        <f t="shared" si="18"/>
        <v>1</v>
      </c>
    </row>
    <row r="139" spans="1:16" x14ac:dyDescent="0.3">
      <c r="A139" s="13"/>
    </row>
    <row r="140" spans="1:16" ht="15.5" x14ac:dyDescent="0.35">
      <c r="A140" s="28" t="s">
        <v>1289</v>
      </c>
      <c r="C140" s="95" t="s">
        <v>1994</v>
      </c>
    </row>
    <row r="141" spans="1:16" s="35" customFormat="1" ht="70" x14ac:dyDescent="0.35">
      <c r="A141" s="34" t="s">
        <v>1462</v>
      </c>
      <c r="B141" s="34" t="s">
        <v>1811</v>
      </c>
      <c r="C141" s="34" t="s">
        <v>1366</v>
      </c>
      <c r="D141" s="34" t="s">
        <v>1815</v>
      </c>
      <c r="E141" s="34" t="s">
        <v>1816</v>
      </c>
      <c r="F141" s="34" t="s">
        <v>1812</v>
      </c>
      <c r="G141" s="34" t="s">
        <v>1367</v>
      </c>
      <c r="H141" s="34" t="s">
        <v>1368</v>
      </c>
      <c r="I141" s="34" t="s">
        <v>1369</v>
      </c>
      <c r="J141" s="34" t="s">
        <v>1813</v>
      </c>
      <c r="K141" s="34" t="s">
        <v>1814</v>
      </c>
      <c r="L141" s="34" t="s">
        <v>1370</v>
      </c>
      <c r="M141" s="34" t="s">
        <v>1817</v>
      </c>
      <c r="N141" s="34" t="s">
        <v>1371</v>
      </c>
      <c r="O141" s="34" t="s">
        <v>1706</v>
      </c>
      <c r="P141" s="34" t="s">
        <v>1196</v>
      </c>
    </row>
    <row r="142" spans="1:16" x14ac:dyDescent="0.3">
      <c r="A142" s="3">
        <f>COUNTIF('ZEMIO_Cleaned Data'!ATK:ATK,"1")</f>
        <v>1</v>
      </c>
      <c r="B142" s="3">
        <f>COUNTIF('ZEMIO_Cleaned Data'!ATL:ATL,"1")</f>
        <v>1</v>
      </c>
      <c r="C142" s="3">
        <f>COUNTIF('ZEMIO_Cleaned Data'!ATM:ATM,"1")</f>
        <v>0</v>
      </c>
      <c r="D142" s="3">
        <f>COUNTIF('ZEMIO_Cleaned Data'!ATN:ATN,"1")</f>
        <v>1</v>
      </c>
      <c r="E142" s="3">
        <f>COUNTIF('ZEMIO_Cleaned Data'!ATO:ATO,"1")</f>
        <v>1</v>
      </c>
      <c r="F142" s="3">
        <f>COUNTIF('ZEMIO_Cleaned Data'!ATX:ATX,"1")</f>
        <v>1</v>
      </c>
      <c r="G142" s="3">
        <f>COUNTIF('ZEMIO_Cleaned Data'!ATP:ATP,"1")</f>
        <v>0</v>
      </c>
      <c r="H142" s="3">
        <f>COUNTIF('ZEMIO_Cleaned Data'!ATQ:ATQ,"1")</f>
        <v>0</v>
      </c>
      <c r="I142" s="3">
        <f>COUNTIF('ZEMIO_Cleaned Data'!ATR:ATR,"1")</f>
        <v>0</v>
      </c>
      <c r="J142" s="3">
        <f>COUNTIF('ZEMIO_Cleaned Data'!ATS:ATS,"1")</f>
        <v>1</v>
      </c>
      <c r="K142" s="3">
        <f>COUNTIF('ZEMIO_Cleaned Data'!ATU:ATU,"1")</f>
        <v>1</v>
      </c>
      <c r="L142" s="3">
        <f>COUNTIF('ZEMIO_Cleaned Data'!ATV:ATV,"1")</f>
        <v>1</v>
      </c>
      <c r="M142" s="3">
        <f>COUNTIF('ZEMIO_Cleaned Data'!ATW:ATW,"1")</f>
        <v>0</v>
      </c>
      <c r="N142" s="3">
        <f>COUNTIF('ZEMIO_Cleaned Data'!ATY:ATY,"1")</f>
        <v>0</v>
      </c>
      <c r="O142" s="3">
        <f>COUNTIF('ZEMIO_Cleaned Data'!ATZ:ATZ,"1")</f>
        <v>0</v>
      </c>
      <c r="P142" s="3">
        <f>COUNTIF('ZEMIO_Cleaned Data'!AUA:AUA,"1")</f>
        <v>0</v>
      </c>
    </row>
    <row r="143" spans="1:16" x14ac:dyDescent="0.3">
      <c r="A143" s="13"/>
      <c r="B143" s="13"/>
      <c r="C143" s="13"/>
      <c r="D143" s="13"/>
      <c r="E143" s="13"/>
      <c r="F143" s="13"/>
      <c r="G143" s="13"/>
      <c r="H143" s="13"/>
      <c r="I143" s="13"/>
      <c r="J143" s="13"/>
      <c r="K143" s="13"/>
      <c r="L143" s="13"/>
      <c r="M143" s="13"/>
      <c r="N143" s="13"/>
      <c r="O143" s="13"/>
      <c r="P143" s="75"/>
    </row>
    <row r="144" spans="1:16" ht="15.5" x14ac:dyDescent="0.35">
      <c r="A144" s="28" t="s">
        <v>1290</v>
      </c>
      <c r="C144" s="95" t="s">
        <v>1994</v>
      </c>
    </row>
    <row r="145" spans="1:13" ht="28" x14ac:dyDescent="0.3">
      <c r="A145" s="7" t="s">
        <v>1226</v>
      </c>
      <c r="B145" s="7" t="s">
        <v>1246</v>
      </c>
      <c r="C145" s="7" t="s">
        <v>1247</v>
      </c>
      <c r="D145" s="7" t="s">
        <v>1229</v>
      </c>
      <c r="E145" s="7" t="s">
        <v>1230</v>
      </c>
      <c r="F145" s="7" t="s">
        <v>1248</v>
      </c>
      <c r="G145" s="7" t="s">
        <v>1249</v>
      </c>
      <c r="H145" s="7" t="s">
        <v>1250</v>
      </c>
      <c r="I145" s="7" t="s">
        <v>1251</v>
      </c>
      <c r="J145" s="7" t="s">
        <v>1242</v>
      </c>
      <c r="K145" s="7" t="s">
        <v>2006</v>
      </c>
      <c r="L145" s="7" t="s">
        <v>1211</v>
      </c>
    </row>
    <row r="146" spans="1:13" x14ac:dyDescent="0.3">
      <c r="A146" s="23">
        <f>COUNTIF('ZEMIO_Cleaned Data'!ASV:ASV,"1")</f>
        <v>1</v>
      </c>
      <c r="B146" s="23">
        <f>COUNTIF('ZEMIO_Cleaned Data'!ASW:ASW,"1")</f>
        <v>0</v>
      </c>
      <c r="C146" s="23">
        <f>COUNTIF('ZEMIO_Cleaned Data'!ASX:ASX,"1")</f>
        <v>0</v>
      </c>
      <c r="D146" s="23">
        <f>COUNTIF('ZEMIO_Cleaned Data'!ASY:ASY,"1")</f>
        <v>0</v>
      </c>
      <c r="E146" s="23">
        <f>COUNTIF('ZEMIO_Cleaned Data'!ASZ:ASZ,"1")</f>
        <v>0</v>
      </c>
      <c r="F146" s="23">
        <f>COUNTIF('ZEMIO_Cleaned Data'!ATA:ATA,"1")</f>
        <v>0</v>
      </c>
      <c r="G146" s="23">
        <f>COUNTIF('ZEMIO_Cleaned Data'!ATB:ATB,"1")</f>
        <v>0</v>
      </c>
      <c r="H146" s="23">
        <f>COUNTIF('ZEMIO_Cleaned Data'!ATC:ATC,"1")</f>
        <v>0</v>
      </c>
      <c r="I146" s="23">
        <f>COUNTIF('ZEMIO_Cleaned Data'!ATD:ATD,"1")</f>
        <v>0</v>
      </c>
      <c r="J146" s="23">
        <f>COUNTIF('ZEMIO_Cleaned Data'!ATE:ATE,"1")</f>
        <v>0</v>
      </c>
      <c r="K146" s="23">
        <f>COUNTIF('ZEMIO_Cleaned Data'!ATF:ATF,"1")</f>
        <v>0</v>
      </c>
      <c r="L146" s="23">
        <f>COUNTIF('ZEMIO_Cleaned Data'!ATG:ATG,"1")</f>
        <v>0</v>
      </c>
    </row>
    <row r="148" spans="1:13" ht="15.5" x14ac:dyDescent="0.35">
      <c r="A148" s="28" t="s">
        <v>1324</v>
      </c>
    </row>
    <row r="149" spans="1:13" x14ac:dyDescent="0.3">
      <c r="A149" s="3"/>
      <c r="B149" s="7" t="s">
        <v>1201</v>
      </c>
      <c r="C149" s="7" t="s">
        <v>1200</v>
      </c>
      <c r="D149" s="117" t="s">
        <v>1197</v>
      </c>
    </row>
    <row r="150" spans="1:13" x14ac:dyDescent="0.3">
      <c r="A150" s="3" t="s">
        <v>1198</v>
      </c>
      <c r="B150" s="23">
        <f>COUNTIF('ZEMIO_Cleaned Data'!AUC:AUC,"OUI")</f>
        <v>0</v>
      </c>
      <c r="C150" s="23">
        <f>COUNTIF('ZEMIO_Cleaned Data'!AUC:AUC,"non")</f>
        <v>1</v>
      </c>
      <c r="D150" s="24">
        <f>SUM(B150:C150)</f>
        <v>1</v>
      </c>
    </row>
    <row r="151" spans="1:13" ht="26" x14ac:dyDescent="0.3">
      <c r="A151" s="111" t="s">
        <v>2044</v>
      </c>
      <c r="B151" s="6">
        <f>(B150/$B$3)</f>
        <v>0</v>
      </c>
      <c r="C151" s="6">
        <f>(C150/$B$3)</f>
        <v>1</v>
      </c>
      <c r="D151" s="118">
        <f>SUM(B151:C151)</f>
        <v>1</v>
      </c>
    </row>
    <row r="152" spans="1:13" x14ac:dyDescent="0.3">
      <c r="A152" s="120"/>
      <c r="B152" s="14"/>
      <c r="C152" s="14"/>
      <c r="D152" s="119"/>
    </row>
    <row r="153" spans="1:13" ht="15.5" x14ac:dyDescent="0.35">
      <c r="A153" s="8" t="s">
        <v>1291</v>
      </c>
      <c r="C153" s="95" t="s">
        <v>1994</v>
      </c>
    </row>
    <row r="154" spans="1:13" ht="56" x14ac:dyDescent="0.35">
      <c r="A154" s="7" t="s">
        <v>1819</v>
      </c>
      <c r="B154" s="7" t="s">
        <v>1818</v>
      </c>
      <c r="C154" s="7" t="s">
        <v>1820</v>
      </c>
      <c r="D154" s="7" t="s">
        <v>1372</v>
      </c>
      <c r="E154" s="7" t="s">
        <v>1373</v>
      </c>
      <c r="F154" s="7" t="s">
        <v>1374</v>
      </c>
      <c r="G154" s="7" t="s">
        <v>1375</v>
      </c>
      <c r="H154" s="7" t="s">
        <v>1706</v>
      </c>
      <c r="I154" s="7" t="s">
        <v>1196</v>
      </c>
      <c r="K154" s="22"/>
      <c r="L154" s="22"/>
      <c r="M154" s="22"/>
    </row>
    <row r="155" spans="1:13" ht="14.5" x14ac:dyDescent="0.35">
      <c r="A155" s="23">
        <f>COUNTIF('ZEMIO_Cleaned Data'!AVH:AVH,"1")</f>
        <v>1</v>
      </c>
      <c r="B155" s="23">
        <f>COUNTIF('ZEMIO_Cleaned Data'!AVI:AVI,"1")</f>
        <v>1</v>
      </c>
      <c r="C155" s="23">
        <f>COUNTIF('ZEMIO_Cleaned Data'!AVJ:AVJ,"1")</f>
        <v>1</v>
      </c>
      <c r="D155" s="23">
        <f>COUNTIF('ZEMIO_Cleaned Data'!AVK:AVK,"1")</f>
        <v>1</v>
      </c>
      <c r="E155" s="23">
        <f>COUNTIF('ZEMIO_Cleaned Data'!AVL:AVL,"1")</f>
        <v>0</v>
      </c>
      <c r="F155" s="23">
        <f>COUNTIF('ZEMIO_Cleaned Data'!AVM:AVM,"1")</f>
        <v>0</v>
      </c>
      <c r="G155" s="23">
        <f>COUNTIF('ZEMIO_Cleaned Data'!AVN:AVN,"1")</f>
        <v>1</v>
      </c>
      <c r="H155" s="23">
        <f>COUNTIF('ZEMIO_Cleaned Data'!AVO:AVO,"1")</f>
        <v>0</v>
      </c>
      <c r="I155" s="23">
        <f>COUNTIF('ZEMIO_Cleaned Data'!AVP:AVP,"1")</f>
        <v>0</v>
      </c>
      <c r="J155"/>
      <c r="K155" s="22"/>
      <c r="L155" s="22"/>
      <c r="M155" s="22"/>
    </row>
    <row r="156" spans="1:13" x14ac:dyDescent="0.3">
      <c r="I156" s="73"/>
    </row>
  </sheetData>
  <conditionalFormatting sqref="C35:F35">
    <cfRule type="colorScale" priority="33">
      <colorScale>
        <cfvo type="min"/>
        <cfvo type="max"/>
        <color theme="6" tint="0.79998168889431442"/>
        <color theme="5" tint="0.39997558519241921"/>
      </colorScale>
    </cfRule>
  </conditionalFormatting>
  <conditionalFormatting sqref="C40:M40">
    <cfRule type="colorScale" priority="32">
      <colorScale>
        <cfvo type="min"/>
        <cfvo type="max"/>
        <color theme="6" tint="0.79998168889431442"/>
        <color theme="5" tint="0.39997558519241921"/>
      </colorScale>
    </cfRule>
  </conditionalFormatting>
  <conditionalFormatting sqref="B61:J61">
    <cfRule type="colorScale" priority="31">
      <colorScale>
        <cfvo type="min"/>
        <cfvo type="max"/>
        <color theme="6" tint="0.79998168889431442"/>
        <color theme="5" tint="0.39997558519241921"/>
      </colorScale>
    </cfRule>
  </conditionalFormatting>
  <conditionalFormatting sqref="B68:E68 C66:H66">
    <cfRule type="colorScale" priority="30">
      <colorScale>
        <cfvo type="min"/>
        <cfvo type="max"/>
        <color theme="6" tint="0.79998168889431442"/>
        <color theme="5" tint="0.39997558519241921"/>
      </colorScale>
    </cfRule>
  </conditionalFormatting>
  <conditionalFormatting sqref="B68:G68 C66:H66">
    <cfRule type="colorScale" priority="29">
      <colorScale>
        <cfvo type="min"/>
        <cfvo type="max"/>
        <color theme="6" tint="0.79998168889431442"/>
        <color theme="5" tint="0.39997558519241921"/>
      </colorScale>
    </cfRule>
  </conditionalFormatting>
  <conditionalFormatting sqref="B76:I76">
    <cfRule type="colorScale" priority="28">
      <colorScale>
        <cfvo type="min"/>
        <cfvo type="max"/>
        <color theme="6" tint="0.79998168889431442"/>
        <color theme="5" tint="0.39997558519241921"/>
      </colorScale>
    </cfRule>
  </conditionalFormatting>
  <conditionalFormatting sqref="C81:F81">
    <cfRule type="colorScale" priority="27">
      <colorScale>
        <cfvo type="min"/>
        <cfvo type="max"/>
        <color theme="6" tint="0.79998168889431442"/>
        <color theme="5" tint="0.39997558519241921"/>
      </colorScale>
    </cfRule>
  </conditionalFormatting>
  <conditionalFormatting sqref="C81:H81">
    <cfRule type="colorScale" priority="26">
      <colorScale>
        <cfvo type="min"/>
        <cfvo type="max"/>
        <color theme="6" tint="0.79998168889431442"/>
        <color theme="5" tint="0.39997558519241921"/>
      </colorScale>
    </cfRule>
  </conditionalFormatting>
  <conditionalFormatting sqref="C97:F97">
    <cfRule type="colorScale" priority="25">
      <colorScale>
        <cfvo type="min"/>
        <cfvo type="max"/>
        <color theme="6" tint="0.79998168889431442"/>
        <color theme="5" tint="0.39997558519241921"/>
      </colorScale>
    </cfRule>
  </conditionalFormatting>
  <conditionalFormatting sqref="C102:I102">
    <cfRule type="colorScale" priority="24">
      <colorScale>
        <cfvo type="min"/>
        <cfvo type="max"/>
        <color theme="6" tint="0.79998168889431442"/>
        <color theme="5" tint="0.39997558519241921"/>
      </colorScale>
    </cfRule>
  </conditionalFormatting>
  <conditionalFormatting sqref="B55:L55">
    <cfRule type="colorScale" priority="23">
      <colorScale>
        <cfvo type="min"/>
        <cfvo type="max"/>
        <color theme="6" tint="0.79998168889431442"/>
        <color theme="5" tint="0.39997558519241921"/>
      </colorScale>
    </cfRule>
  </conditionalFormatting>
  <conditionalFormatting sqref="B127:H127">
    <cfRule type="colorScale" priority="22">
      <colorScale>
        <cfvo type="min"/>
        <cfvo type="max"/>
        <color theme="6" tint="0.79998168889431442"/>
        <color theme="5" tint="0.39997558519241921"/>
      </colorScale>
    </cfRule>
  </conditionalFormatting>
  <conditionalFormatting sqref="B137:F137">
    <cfRule type="colorScale" priority="21">
      <colorScale>
        <cfvo type="min"/>
        <cfvo type="max"/>
        <color theme="6" tint="0.79998168889431442"/>
        <color theme="5" tint="0.39997558519241921"/>
      </colorScale>
    </cfRule>
  </conditionalFormatting>
  <conditionalFormatting sqref="A146:L146">
    <cfRule type="colorScale" priority="20">
      <colorScale>
        <cfvo type="min"/>
        <cfvo type="max"/>
        <color theme="6" tint="0.79998168889431442"/>
        <color theme="5" tint="0.39997558519241921"/>
      </colorScale>
    </cfRule>
  </conditionalFormatting>
  <conditionalFormatting sqref="A142:P143">
    <cfRule type="colorScale" priority="19">
      <colorScale>
        <cfvo type="min"/>
        <cfvo type="max"/>
        <color theme="6" tint="0.79998168889431442"/>
        <color theme="5" tint="0.39997558519241921"/>
      </colorScale>
    </cfRule>
  </conditionalFormatting>
  <conditionalFormatting sqref="A155:I155">
    <cfRule type="colorScale" priority="18">
      <colorScale>
        <cfvo type="min"/>
        <cfvo type="max"/>
        <color theme="6" tint="0.79998168889431442"/>
        <color theme="5" tint="0.39997558519241921"/>
      </colorScale>
    </cfRule>
  </conditionalFormatting>
  <conditionalFormatting sqref="B7:D7">
    <cfRule type="colorScale" priority="17">
      <colorScale>
        <cfvo type="min"/>
        <cfvo type="max"/>
        <color theme="6" tint="0.79998168889431442"/>
        <color theme="5" tint="0.39997558519241921"/>
      </colorScale>
    </cfRule>
  </conditionalFormatting>
  <conditionalFormatting sqref="B12:C12">
    <cfRule type="colorScale" priority="16">
      <colorScale>
        <cfvo type="min"/>
        <cfvo type="max"/>
        <color theme="6" tint="0.79998168889431442"/>
        <color theme="5" tint="0.39997558519241921"/>
      </colorScale>
    </cfRule>
  </conditionalFormatting>
  <conditionalFormatting sqref="C17:D17">
    <cfRule type="colorScale" priority="15">
      <colorScale>
        <cfvo type="min"/>
        <cfvo type="max"/>
        <color theme="6" tint="0.79998168889431442"/>
        <color theme="5" tint="0.39997558519241921"/>
      </colorScale>
    </cfRule>
  </conditionalFormatting>
  <conditionalFormatting sqref="B22:I22">
    <cfRule type="colorScale" priority="14">
      <colorScale>
        <cfvo type="min"/>
        <cfvo type="max"/>
        <color theme="6" tint="0.79998168889431442"/>
        <color theme="5" tint="0.39997558519241921"/>
      </colorScale>
    </cfRule>
  </conditionalFormatting>
  <conditionalFormatting sqref="B30:C30">
    <cfRule type="colorScale" priority="13">
      <colorScale>
        <cfvo type="min"/>
        <cfvo type="max"/>
        <color theme="6" tint="0.79998168889431442"/>
        <color theme="5" tint="0.39997558519241921"/>
      </colorScale>
    </cfRule>
  </conditionalFormatting>
  <conditionalFormatting sqref="B50:C50">
    <cfRule type="colorScale" priority="12">
      <colorScale>
        <cfvo type="min"/>
        <cfvo type="max"/>
        <color theme="6" tint="0.79998168889431442"/>
        <color theme="5" tint="0.39997558519241921"/>
      </colorScale>
    </cfRule>
  </conditionalFormatting>
  <conditionalFormatting sqref="C71:F71">
    <cfRule type="colorScale" priority="11">
      <colorScale>
        <cfvo type="min"/>
        <cfvo type="max"/>
        <color theme="6" tint="0.79998168889431442"/>
        <color theme="5" tint="0.39997558519241921"/>
      </colorScale>
    </cfRule>
  </conditionalFormatting>
  <conditionalFormatting sqref="C71:G71">
    <cfRule type="colorScale" priority="10">
      <colorScale>
        <cfvo type="min"/>
        <cfvo type="max"/>
        <color theme="6" tint="0.79998168889431442"/>
        <color theme="5" tint="0.39997558519241921"/>
      </colorScale>
    </cfRule>
  </conditionalFormatting>
  <conditionalFormatting sqref="C86:F86">
    <cfRule type="colorScale" priority="9">
      <colorScale>
        <cfvo type="min"/>
        <cfvo type="max"/>
        <color theme="6" tint="0.79998168889431442"/>
        <color theme="5" tint="0.39997558519241921"/>
      </colorScale>
    </cfRule>
  </conditionalFormatting>
  <conditionalFormatting sqref="C86:G86">
    <cfRule type="colorScale" priority="8">
      <colorScale>
        <cfvo type="min"/>
        <cfvo type="max"/>
        <color theme="6" tint="0.79998168889431442"/>
        <color theme="5" tint="0.39997558519241921"/>
      </colorScale>
    </cfRule>
  </conditionalFormatting>
  <conditionalFormatting sqref="B92:C92">
    <cfRule type="colorScale" priority="7">
      <colorScale>
        <cfvo type="min"/>
        <cfvo type="max"/>
        <color theme="6" tint="0.79998168889431442"/>
        <color theme="5" tint="0.39997558519241921"/>
      </colorScale>
    </cfRule>
  </conditionalFormatting>
  <conditionalFormatting sqref="B92:C92">
    <cfRule type="colorScale" priority="6">
      <colorScale>
        <cfvo type="min"/>
        <cfvo type="max"/>
        <color theme="6" tint="0.79998168889431442"/>
        <color theme="5" tint="0.39997558519241921"/>
      </colorScale>
    </cfRule>
  </conditionalFormatting>
  <conditionalFormatting sqref="B113:G113">
    <cfRule type="colorScale" priority="5">
      <colorScale>
        <cfvo type="min"/>
        <cfvo type="max"/>
        <color theme="6" tint="0.79998168889431442"/>
        <color theme="5" tint="0.39997558519241921"/>
      </colorScale>
    </cfRule>
  </conditionalFormatting>
  <conditionalFormatting sqref="B132:C132">
    <cfRule type="colorScale" priority="4">
      <colorScale>
        <cfvo type="min"/>
        <cfvo type="max"/>
        <color theme="6" tint="0.79998168889431442"/>
        <color theme="5" tint="0.39997558519241921"/>
      </colorScale>
    </cfRule>
  </conditionalFormatting>
  <conditionalFormatting sqref="B150:C150">
    <cfRule type="colorScale" priority="3">
      <colorScale>
        <cfvo type="min"/>
        <cfvo type="max"/>
        <color theme="6" tint="0.79998168889431442"/>
        <color theme="5" tint="0.39997558519241921"/>
      </colorScale>
    </cfRule>
  </conditionalFormatting>
  <conditionalFormatting sqref="C45:K45">
    <cfRule type="colorScale" priority="2">
      <colorScale>
        <cfvo type="min"/>
        <cfvo type="max"/>
        <color theme="6" tint="0.79998168889431442"/>
        <color theme="5" tint="0.39997558519241921"/>
      </colorScale>
    </cfRule>
  </conditionalFormatting>
  <conditionalFormatting sqref="C107:I107">
    <cfRule type="colorScale" priority="1">
      <colorScale>
        <cfvo type="min"/>
        <cfvo type="max"/>
        <color theme="6" tint="0.79998168889431442"/>
        <color theme="5" tint="0.39997558519241921"/>
      </colorScale>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AXJ65"/>
  <sheetViews>
    <sheetView zoomScaleNormal="100" workbookViewId="0">
      <pane xSplit="1" ySplit="1" topLeftCell="B56" activePane="bottomRight" state="frozen"/>
      <selection pane="topRight" activeCell="B1" sqref="B1"/>
      <selection pane="bottomLeft" activeCell="A2" sqref="A2"/>
      <selection pane="bottomRight" activeCell="A7" sqref="A7"/>
    </sheetView>
  </sheetViews>
  <sheetFormatPr defaultColWidth="8.81640625" defaultRowHeight="14" x14ac:dyDescent="0.3"/>
  <cols>
    <col min="1" max="1" width="17.08984375" style="1" customWidth="1"/>
    <col min="2" max="4" width="8.81640625" style="1"/>
    <col min="5" max="5" width="11.08984375" style="1" bestFit="1" customWidth="1"/>
    <col min="6" max="7" width="8.81640625" style="1"/>
    <col min="8" max="8" width="8.81640625" style="1" bestFit="1" customWidth="1"/>
    <col min="9" max="12" width="8.81640625" style="1"/>
    <col min="13" max="13" width="16.08984375" style="1" customWidth="1"/>
    <col min="14" max="14" width="8.81640625" style="1"/>
    <col min="15" max="19" width="8.81640625" style="1" bestFit="1" customWidth="1"/>
    <col min="20" max="21" width="8.81640625" style="1"/>
    <col min="22" max="22" width="8.81640625" style="1" bestFit="1" customWidth="1"/>
    <col min="23" max="23" width="8.81640625" style="1"/>
    <col min="24" max="24" width="11.26953125" style="1" customWidth="1"/>
    <col min="25" max="25" width="14.36328125" style="1" customWidth="1"/>
    <col min="26" max="26" width="8.81640625" style="1"/>
    <col min="27" max="27" width="13.36328125" style="1" customWidth="1"/>
    <col min="28" max="38" width="8.81640625" style="1"/>
    <col min="39" max="39" width="12.81640625" style="1" customWidth="1"/>
    <col min="40" max="40" width="15.36328125" style="1" customWidth="1"/>
    <col min="41" max="41" width="11.54296875" style="1" customWidth="1"/>
    <col min="42" max="42" width="15.453125" style="1" customWidth="1"/>
    <col min="43" max="43" width="8.81640625" style="1" bestFit="1" customWidth="1"/>
    <col min="44" max="46" width="8.81640625" style="1"/>
    <col min="47" max="47" width="12.36328125" style="1" customWidth="1"/>
    <col min="48" max="50" width="8.81640625" style="1"/>
    <col min="51" max="58" width="8.81640625" style="1" bestFit="1" customWidth="1"/>
    <col min="59" max="60" width="8.81640625" style="1"/>
    <col min="61" max="67" width="8.81640625" style="1" bestFit="1" customWidth="1"/>
    <col min="68" max="69" width="8.81640625" style="1"/>
    <col min="70" max="81" width="8.81640625" style="1" bestFit="1" customWidth="1"/>
    <col min="82" max="446" width="8.81640625" style="1"/>
    <col min="447" max="460" width="8.81640625" style="1" bestFit="1" customWidth="1"/>
    <col min="461" max="463" width="8.81640625" style="1"/>
    <col min="464" max="469" width="8.81640625" style="1" bestFit="1" customWidth="1"/>
    <col min="470" max="478" width="8.81640625" style="1"/>
    <col min="479" max="479" width="8.81640625" style="1" bestFit="1" customWidth="1"/>
    <col min="480" max="482" width="8.81640625" style="1"/>
    <col min="483" max="492" width="8.81640625" style="1" bestFit="1" customWidth="1"/>
    <col min="493" max="503" width="8.81640625" style="1"/>
    <col min="504" max="511" width="8.81640625" style="1" bestFit="1" customWidth="1"/>
    <col min="512" max="512" width="8.81640625" style="1"/>
    <col min="513" max="524" width="8.81640625" style="1" bestFit="1" customWidth="1"/>
    <col min="525" max="556" width="8.81640625" style="1"/>
    <col min="557" max="561" width="8.81640625" style="1" bestFit="1" customWidth="1"/>
    <col min="562" max="566" width="8.81640625" style="1"/>
    <col min="567" max="582" width="8.81640625" style="1" bestFit="1" customWidth="1"/>
    <col min="583" max="584" width="8.81640625" style="1"/>
    <col min="585" max="597" width="8.81640625" style="1" bestFit="1" customWidth="1"/>
    <col min="598" max="632" width="8.81640625" style="1"/>
    <col min="633" max="645" width="8.81640625" style="1" bestFit="1" customWidth="1"/>
    <col min="646" max="649" width="8.81640625" style="1"/>
    <col min="650" max="657" width="8.81640625" style="1" bestFit="1" customWidth="1"/>
    <col min="658" max="663" width="8.81640625" style="1"/>
    <col min="664" max="671" width="8.81640625" style="1" bestFit="1" customWidth="1"/>
    <col min="672" max="674" width="8.81640625" style="1"/>
    <col min="675" max="679" width="8.81640625" style="1" bestFit="1" customWidth="1"/>
    <col min="680" max="681" width="8.81640625" style="1"/>
    <col min="682" max="682" width="8.81640625" style="1" bestFit="1" customWidth="1"/>
    <col min="683" max="687" width="8.81640625" style="1"/>
    <col min="688" max="688" width="8.81640625" style="1" bestFit="1" customWidth="1"/>
    <col min="689" max="694" width="8.81640625" style="1"/>
    <col min="695" max="695" width="21.7265625" style="1" customWidth="1"/>
    <col min="696" max="696" width="8.81640625" style="1" bestFit="1" customWidth="1"/>
    <col min="697" max="699" width="8.81640625" style="1"/>
    <col min="700" max="700" width="8.81640625" style="1" bestFit="1" customWidth="1"/>
    <col min="701" max="707" width="8.81640625" style="1"/>
    <col min="708" max="715" width="8.81640625" style="1" bestFit="1" customWidth="1"/>
    <col min="716" max="739" width="8.81640625" style="1"/>
    <col min="740" max="744" width="8.81640625" style="1" bestFit="1" customWidth="1"/>
    <col min="745" max="746" width="8.81640625" style="1"/>
    <col min="747" max="758" width="8.81640625" style="1" bestFit="1" customWidth="1"/>
    <col min="759" max="759" width="8.81640625" style="1"/>
    <col min="760" max="760" width="8.81640625" style="1" bestFit="1" customWidth="1"/>
    <col min="761" max="773" width="8.81640625" style="1"/>
    <col min="774" max="778" width="8.81640625" style="1" bestFit="1" customWidth="1"/>
    <col min="779" max="779" width="8.81640625" style="1"/>
    <col min="780" max="781" width="8.81640625" style="1" bestFit="1" customWidth="1"/>
    <col min="782" max="784" width="8.81640625" style="1"/>
    <col min="785" max="791" width="8.81640625" style="1" bestFit="1" customWidth="1"/>
    <col min="792" max="802" width="8.81640625" style="1"/>
    <col min="803" max="807" width="8.81640625" style="1" bestFit="1" customWidth="1"/>
    <col min="808" max="826" width="8.81640625" style="1"/>
    <col min="827" max="831" width="8.81640625" style="1" bestFit="1" customWidth="1"/>
    <col min="832" max="849" width="8.81640625" style="1"/>
    <col min="850" max="854" width="8.81640625" style="1" bestFit="1" customWidth="1"/>
    <col min="855" max="858" width="8.81640625" style="1"/>
    <col min="859" max="863" width="8.81640625" style="1" bestFit="1" customWidth="1"/>
    <col min="864" max="865" width="8.81640625" style="1"/>
    <col min="866" max="868" width="8.81640625" style="1" bestFit="1" customWidth="1"/>
    <col min="869" max="869" width="13.08984375" style="1" bestFit="1" customWidth="1"/>
    <col min="870" max="870" width="8.81640625" style="1" bestFit="1" customWidth="1"/>
    <col min="871" max="907" width="8.81640625" style="1"/>
    <col min="908" max="912" width="8.81640625" style="1" bestFit="1" customWidth="1"/>
    <col min="913" max="914" width="8.81640625" style="1"/>
    <col min="915" max="925" width="8.81640625" style="1" bestFit="1" customWidth="1"/>
    <col min="926" max="927" width="8.81640625" style="1"/>
    <col min="928" max="940" width="8.81640625" style="1" bestFit="1" customWidth="1"/>
    <col min="941" max="943" width="8.81640625" style="1"/>
    <col min="944" max="950" width="8.81640625" style="1" bestFit="1" customWidth="1"/>
    <col min="951" max="952" width="8.81640625" style="1"/>
    <col min="953" max="964" width="8.81640625" style="1" bestFit="1" customWidth="1"/>
    <col min="965" max="974" width="8.81640625" style="1"/>
    <col min="975" max="986" width="8.81640625" style="1" bestFit="1" customWidth="1"/>
    <col min="987" max="988" width="8.81640625" style="1"/>
    <col min="989" max="989" width="8.81640625" style="1" bestFit="1" customWidth="1"/>
    <col min="990" max="1010" width="8.81640625" style="1"/>
    <col min="1011" max="1018" width="8.81640625" style="1" bestFit="1" customWidth="1"/>
    <col min="1019" max="1020" width="8.81640625" style="1"/>
    <col min="1021" max="1027" width="8.81640625" style="1" bestFit="1" customWidth="1"/>
    <col min="1028" max="1028" width="8.81640625" style="1"/>
    <col min="1029" max="1033" width="8.81640625" style="1" bestFit="1" customWidth="1"/>
    <col min="1034" max="1044" width="8.81640625" style="1"/>
    <col min="1045" max="1045" width="8.81640625" style="1" bestFit="1" customWidth="1"/>
    <col min="1046" max="1059" width="8.81640625" style="1"/>
    <col min="1060" max="1070" width="8.81640625" style="1" bestFit="1" customWidth="1"/>
    <col min="1071" max="1074" width="8.81640625" style="1"/>
    <col min="1075" max="1082" width="8.81640625" style="1" bestFit="1" customWidth="1"/>
    <col min="1083" max="1087" width="8.81640625" style="1"/>
    <col min="1088" max="1088" width="8.81640625" style="1" bestFit="1" customWidth="1"/>
    <col min="1089" max="1089" width="8.81640625" style="1"/>
    <col min="1090" max="1097" width="8.81640625" style="1" bestFit="1" customWidth="1"/>
    <col min="1098" max="1103" width="8.81640625" style="1"/>
    <col min="1104" max="1104" width="8.81640625" style="1" bestFit="1" customWidth="1"/>
    <col min="1105" max="1126" width="8.81640625" style="1"/>
    <col min="1127" max="1132" width="8.81640625" style="1" bestFit="1" customWidth="1"/>
    <col min="1133" max="1139" width="8.81640625" style="1"/>
    <col min="1140" max="1140" width="8.81640625" style="1" bestFit="1" customWidth="1"/>
    <col min="1141" max="1159" width="8.81640625" style="1"/>
    <col min="1160" max="1171" width="8.81640625" style="1" bestFit="1" customWidth="1"/>
    <col min="1172" max="1173" width="8.81640625" style="1"/>
    <col min="1174" max="1180" width="8.81640625" style="1" bestFit="1" customWidth="1"/>
    <col min="1181" max="1192" width="8.81640625" style="1"/>
    <col min="1193" max="1197" width="8.81640625" style="1" bestFit="1" customWidth="1"/>
    <col min="1198" max="1199" width="8.81640625" style="1"/>
    <col min="1200" max="1212" width="8.81640625" style="1" bestFit="1" customWidth="1"/>
    <col min="1213" max="1214" width="8.81640625" style="1"/>
    <col min="1215" max="1231" width="8.81640625" style="1" bestFit="1" customWidth="1"/>
    <col min="1232" max="1263" width="8.81640625" style="1"/>
    <col min="1264" max="1270" width="8.81640625" style="1" bestFit="1" customWidth="1"/>
    <col min="1271" max="1278" width="8.81640625" style="1"/>
    <col min="1279" max="1279" width="9" style="1" bestFit="1" customWidth="1"/>
    <col min="1280" max="1281" width="8.81640625" style="1"/>
    <col min="1282" max="1282" width="8.81640625" style="1" bestFit="1" customWidth="1"/>
    <col min="1283" max="16384" width="8.81640625" style="1"/>
  </cols>
  <sheetData>
    <row r="1" spans="1:1270" x14ac:dyDescent="0.3">
      <c r="A1" s="1" t="s">
        <v>1148</v>
      </c>
      <c r="B1" s="1" t="s">
        <v>0</v>
      </c>
      <c r="C1" s="1" t="s">
        <v>1</v>
      </c>
      <c r="D1" s="1" t="s">
        <v>2</v>
      </c>
      <c r="E1" s="1" t="s">
        <v>3</v>
      </c>
      <c r="F1" s="1" t="s">
        <v>4</v>
      </c>
      <c r="G1" s="1" t="s">
        <v>5</v>
      </c>
      <c r="H1" s="1" t="s">
        <v>1521</v>
      </c>
      <c r="I1" s="1" t="s">
        <v>6</v>
      </c>
      <c r="J1" s="1" t="s">
        <v>7</v>
      </c>
      <c r="K1" s="1" t="s">
        <v>8</v>
      </c>
      <c r="L1" s="1" t="s">
        <v>9</v>
      </c>
      <c r="M1" s="1" t="s">
        <v>10</v>
      </c>
      <c r="N1" s="1" t="s">
        <v>11</v>
      </c>
      <c r="O1" s="1" t="s">
        <v>12</v>
      </c>
      <c r="P1" s="1" t="s">
        <v>13</v>
      </c>
      <c r="Q1" s="1" t="s">
        <v>14</v>
      </c>
      <c r="R1" s="1" t="s">
        <v>15</v>
      </c>
      <c r="S1" s="1" t="s">
        <v>16</v>
      </c>
      <c r="T1" s="1" t="s">
        <v>17</v>
      </c>
      <c r="U1" s="1" t="s">
        <v>18</v>
      </c>
      <c r="V1" s="1" t="s">
        <v>19</v>
      </c>
      <c r="W1" s="1" t="s">
        <v>1522</v>
      </c>
      <c r="X1" s="1" t="s">
        <v>20</v>
      </c>
      <c r="Y1" s="1" t="s">
        <v>1523</v>
      </c>
      <c r="Z1" s="1" t="s">
        <v>1524</v>
      </c>
      <c r="AA1" s="1" t="s">
        <v>1525</v>
      </c>
      <c r="AB1" s="1" t="s">
        <v>21</v>
      </c>
      <c r="AC1" s="1" t="s">
        <v>22</v>
      </c>
      <c r="AD1" s="1" t="s">
        <v>23</v>
      </c>
      <c r="AE1" s="56" t="s">
        <v>24</v>
      </c>
      <c r="AF1" s="56" t="s">
        <v>25</v>
      </c>
      <c r="AG1" s="56" t="s">
        <v>26</v>
      </c>
      <c r="AH1" s="56" t="s">
        <v>27</v>
      </c>
      <c r="AI1" s="56" t="s">
        <v>28</v>
      </c>
      <c r="AJ1" s="56" t="s">
        <v>29</v>
      </c>
      <c r="AK1" s="1" t="s">
        <v>30</v>
      </c>
      <c r="AL1" s="1" t="s">
        <v>31</v>
      </c>
      <c r="AM1" s="1" t="s">
        <v>1526</v>
      </c>
      <c r="AN1" s="1" t="s">
        <v>32</v>
      </c>
      <c r="AO1" s="1" t="s">
        <v>33</v>
      </c>
      <c r="AP1" s="1" t="s">
        <v>35</v>
      </c>
      <c r="AQ1" s="1" t="s">
        <v>36</v>
      </c>
      <c r="AR1" s="1" t="s">
        <v>1527</v>
      </c>
      <c r="AS1" s="1" t="s">
        <v>34</v>
      </c>
      <c r="AT1" s="1" t="s">
        <v>37</v>
      </c>
      <c r="AU1" s="1" t="s">
        <v>38</v>
      </c>
      <c r="AV1" s="1" t="s">
        <v>39</v>
      </c>
      <c r="AW1" s="1" t="s">
        <v>40</v>
      </c>
      <c r="AX1" s="1" t="s">
        <v>41</v>
      </c>
      <c r="AY1" s="1" t="s">
        <v>42</v>
      </c>
      <c r="AZ1" s="1" t="s">
        <v>43</v>
      </c>
      <c r="BA1" s="1" t="s">
        <v>44</v>
      </c>
      <c r="BB1" s="1" t="s">
        <v>45</v>
      </c>
      <c r="BC1" s="1" t="s">
        <v>46</v>
      </c>
      <c r="BD1" s="1" t="s">
        <v>47</v>
      </c>
      <c r="BE1" s="1" t="s">
        <v>48</v>
      </c>
      <c r="BF1" s="1" t="s">
        <v>49</v>
      </c>
      <c r="BG1" s="1" t="s">
        <v>50</v>
      </c>
      <c r="BH1" s="1" t="s">
        <v>51</v>
      </c>
      <c r="BI1" s="1" t="s">
        <v>52</v>
      </c>
      <c r="BJ1" s="1" t="s">
        <v>53</v>
      </c>
      <c r="BK1" s="1" t="s">
        <v>54</v>
      </c>
      <c r="BL1" s="1" t="s">
        <v>55</v>
      </c>
      <c r="BM1" s="1" t="s">
        <v>56</v>
      </c>
      <c r="BN1" s="1" t="s">
        <v>57</v>
      </c>
      <c r="BO1" s="1" t="s">
        <v>58</v>
      </c>
      <c r="BP1" s="1" t="s">
        <v>59</v>
      </c>
      <c r="BQ1" s="1" t="s">
        <v>60</v>
      </c>
      <c r="BR1" s="1" t="s">
        <v>61</v>
      </c>
      <c r="BS1" s="1" t="s">
        <v>62</v>
      </c>
      <c r="BT1" s="1" t="s">
        <v>63</v>
      </c>
      <c r="BU1" s="1" t="s">
        <v>64</v>
      </c>
      <c r="BV1" s="1" t="s">
        <v>65</v>
      </c>
      <c r="BW1" s="1" t="s">
        <v>66</v>
      </c>
      <c r="BX1" s="1" t="s">
        <v>67</v>
      </c>
      <c r="BY1" s="1" t="s">
        <v>1528</v>
      </c>
      <c r="BZ1" s="1" t="s">
        <v>1529</v>
      </c>
      <c r="CA1" s="1" t="s">
        <v>1530</v>
      </c>
      <c r="CB1" s="1" t="s">
        <v>68</v>
      </c>
      <c r="CC1" s="1" t="s">
        <v>69</v>
      </c>
      <c r="CD1" s="1" t="s">
        <v>70</v>
      </c>
      <c r="CE1" s="1" t="s">
        <v>71</v>
      </c>
      <c r="CF1" s="1" t="s">
        <v>72</v>
      </c>
      <c r="CG1" s="1" t="s">
        <v>73</v>
      </c>
      <c r="CH1" s="1" t="s">
        <v>74</v>
      </c>
      <c r="CI1" s="1" t="s">
        <v>75</v>
      </c>
      <c r="CJ1" s="1" t="s">
        <v>76</v>
      </c>
      <c r="CK1" s="1" t="s">
        <v>77</v>
      </c>
      <c r="CL1" s="1" t="s">
        <v>78</v>
      </c>
      <c r="CM1" s="1" t="s">
        <v>79</v>
      </c>
      <c r="CN1" s="1" t="s">
        <v>80</v>
      </c>
      <c r="CO1" s="1" t="s">
        <v>81</v>
      </c>
      <c r="CP1" s="1" t="s">
        <v>82</v>
      </c>
      <c r="CQ1" s="1" t="s">
        <v>83</v>
      </c>
      <c r="CR1" s="1" t="s">
        <v>84</v>
      </c>
      <c r="CS1" s="1" t="s">
        <v>85</v>
      </c>
      <c r="CT1" s="1" t="s">
        <v>86</v>
      </c>
      <c r="CU1" s="1" t="s">
        <v>87</v>
      </c>
      <c r="CV1" s="1" t="s">
        <v>88</v>
      </c>
      <c r="CW1" s="1" t="s">
        <v>89</v>
      </c>
      <c r="CX1" s="1" t="s">
        <v>90</v>
      </c>
      <c r="CY1" s="1" t="s">
        <v>91</v>
      </c>
      <c r="CZ1" s="1" t="s">
        <v>92</v>
      </c>
      <c r="DA1" s="1" t="s">
        <v>93</v>
      </c>
      <c r="DB1" s="1" t="s">
        <v>94</v>
      </c>
      <c r="DC1" s="1" t="s">
        <v>95</v>
      </c>
      <c r="DD1" s="1" t="s">
        <v>96</v>
      </c>
      <c r="DE1" s="1" t="s">
        <v>97</v>
      </c>
      <c r="DF1" s="1" t="s">
        <v>98</v>
      </c>
      <c r="DG1" s="1" t="s">
        <v>99</v>
      </c>
      <c r="DH1" s="1" t="s">
        <v>100</v>
      </c>
      <c r="DI1" s="1" t="s">
        <v>101</v>
      </c>
      <c r="DJ1" s="1" t="s">
        <v>102</v>
      </c>
      <c r="DK1" s="1" t="s">
        <v>103</v>
      </c>
      <c r="DL1" s="1" t="s">
        <v>104</v>
      </c>
      <c r="DM1" s="1" t="s">
        <v>105</v>
      </c>
      <c r="DN1" s="1" t="s">
        <v>106</v>
      </c>
      <c r="DO1" s="1" t="s">
        <v>107</v>
      </c>
      <c r="DP1" s="1" t="s">
        <v>108</v>
      </c>
      <c r="DQ1" s="1" t="s">
        <v>109</v>
      </c>
      <c r="DR1" s="1" t="s">
        <v>110</v>
      </c>
      <c r="DS1" s="1" t="s">
        <v>111</v>
      </c>
      <c r="DT1" s="1" t="s">
        <v>112</v>
      </c>
      <c r="DU1" s="1" t="s">
        <v>113</v>
      </c>
      <c r="DV1" s="1" t="s">
        <v>114</v>
      </c>
      <c r="DW1" s="1" t="s">
        <v>115</v>
      </c>
      <c r="DX1" s="1" t="s">
        <v>116</v>
      </c>
      <c r="DY1" s="1" t="s">
        <v>117</v>
      </c>
      <c r="DZ1" s="1" t="s">
        <v>118</v>
      </c>
      <c r="EA1" s="1" t="s">
        <v>119</v>
      </c>
      <c r="EB1" s="1" t="s">
        <v>120</v>
      </c>
      <c r="EC1" s="1" t="s">
        <v>121</v>
      </c>
      <c r="ED1" s="1" t="s">
        <v>122</v>
      </c>
      <c r="EE1" s="56" t="s">
        <v>123</v>
      </c>
      <c r="EF1" s="1" t="s">
        <v>124</v>
      </c>
      <c r="EG1" s="1" t="s">
        <v>125</v>
      </c>
      <c r="EH1" s="1" t="s">
        <v>126</v>
      </c>
      <c r="EI1" s="1" t="s">
        <v>127</v>
      </c>
      <c r="EJ1" s="1" t="s">
        <v>128</v>
      </c>
      <c r="EK1" s="1" t="s">
        <v>1531</v>
      </c>
      <c r="EL1" s="1" t="s">
        <v>129</v>
      </c>
      <c r="EM1" s="1" t="s">
        <v>130</v>
      </c>
      <c r="EN1" s="1" t="s">
        <v>131</v>
      </c>
      <c r="EO1" s="1" t="s">
        <v>132</v>
      </c>
      <c r="EP1" s="1" t="s">
        <v>133</v>
      </c>
      <c r="EQ1" s="1" t="s">
        <v>134</v>
      </c>
      <c r="ER1" s="1" t="s">
        <v>135</v>
      </c>
      <c r="ES1" s="1" t="s">
        <v>136</v>
      </c>
      <c r="ET1" s="1" t="s">
        <v>137</v>
      </c>
      <c r="EU1" s="1" t="s">
        <v>138</v>
      </c>
      <c r="EV1" s="1" t="s">
        <v>139</v>
      </c>
      <c r="EW1" s="1" t="s">
        <v>140</v>
      </c>
      <c r="EX1" s="1" t="s">
        <v>141</v>
      </c>
      <c r="EY1" s="1" t="s">
        <v>142</v>
      </c>
      <c r="EZ1" s="1" t="s">
        <v>1532</v>
      </c>
      <c r="FA1" s="1" t="s">
        <v>143</v>
      </c>
      <c r="FB1" s="1" t="s">
        <v>144</v>
      </c>
      <c r="FC1" s="1" t="s">
        <v>145</v>
      </c>
      <c r="FD1" s="1" t="s">
        <v>146</v>
      </c>
      <c r="FE1" s="1" t="s">
        <v>147</v>
      </c>
      <c r="FF1" s="1" t="s">
        <v>148</v>
      </c>
      <c r="FG1" s="1" t="s">
        <v>149</v>
      </c>
      <c r="FH1" s="1" t="s">
        <v>150</v>
      </c>
      <c r="FI1" s="1" t="s">
        <v>151</v>
      </c>
      <c r="FJ1" s="1" t="s">
        <v>152</v>
      </c>
      <c r="FK1" s="1" t="s">
        <v>153</v>
      </c>
      <c r="FL1" s="1" t="s">
        <v>154</v>
      </c>
      <c r="FM1" s="1" t="s">
        <v>155</v>
      </c>
      <c r="FN1" s="1" t="s">
        <v>156</v>
      </c>
      <c r="FO1" s="1" t="s">
        <v>157</v>
      </c>
      <c r="FP1" s="1" t="s">
        <v>158</v>
      </c>
      <c r="FQ1" s="1" t="s">
        <v>159</v>
      </c>
      <c r="FR1" s="1" t="s">
        <v>160</v>
      </c>
      <c r="FS1" s="1" t="s">
        <v>161</v>
      </c>
      <c r="FT1" s="1" t="s">
        <v>162</v>
      </c>
      <c r="FU1" s="1" t="s">
        <v>163</v>
      </c>
      <c r="FV1" s="1" t="s">
        <v>164</v>
      </c>
      <c r="FW1" s="1" t="s">
        <v>165</v>
      </c>
      <c r="FX1" s="1" t="s">
        <v>166</v>
      </c>
      <c r="FY1" s="1" t="s">
        <v>167</v>
      </c>
      <c r="FZ1" s="1" t="s">
        <v>168</v>
      </c>
      <c r="GA1" s="1" t="s">
        <v>169</v>
      </c>
      <c r="GB1" s="1" t="s">
        <v>170</v>
      </c>
      <c r="GC1" s="1" t="s">
        <v>171</v>
      </c>
      <c r="GD1" s="1" t="s">
        <v>172</v>
      </c>
      <c r="GE1" s="1" t="s">
        <v>173</v>
      </c>
      <c r="GF1" s="1" t="s">
        <v>174</v>
      </c>
      <c r="GG1" s="1" t="s">
        <v>175</v>
      </c>
      <c r="GH1" s="1" t="s">
        <v>176</v>
      </c>
      <c r="GI1" s="1" t="s">
        <v>177</v>
      </c>
      <c r="GJ1" s="1" t="s">
        <v>178</v>
      </c>
      <c r="GK1" s="1" t="s">
        <v>179</v>
      </c>
      <c r="GL1" s="1" t="s">
        <v>180</v>
      </c>
      <c r="GM1" s="1" t="s">
        <v>181</v>
      </c>
      <c r="GN1" s="1" t="s">
        <v>182</v>
      </c>
      <c r="GO1" s="1" t="s">
        <v>183</v>
      </c>
      <c r="GP1" s="1" t="s">
        <v>184</v>
      </c>
      <c r="GQ1" s="1" t="s">
        <v>185</v>
      </c>
      <c r="GR1" s="1" t="s">
        <v>186</v>
      </c>
      <c r="GS1" s="1" t="s">
        <v>187</v>
      </c>
      <c r="GT1" s="1" t="s">
        <v>188</v>
      </c>
      <c r="GU1" s="1" t="s">
        <v>189</v>
      </c>
      <c r="GV1" s="1" t="s">
        <v>190</v>
      </c>
      <c r="GW1" s="1" t="s">
        <v>191</v>
      </c>
      <c r="GZ1" s="1" t="s">
        <v>192</v>
      </c>
      <c r="HA1" s="1" t="s">
        <v>193</v>
      </c>
      <c r="HB1" s="1" t="s">
        <v>194</v>
      </c>
      <c r="HC1" s="1" t="s">
        <v>195</v>
      </c>
      <c r="HD1" s="1" t="s">
        <v>1533</v>
      </c>
      <c r="HE1" s="1" t="s">
        <v>196</v>
      </c>
      <c r="HF1" s="1" t="s">
        <v>1534</v>
      </c>
      <c r="HG1" s="1" t="s">
        <v>1535</v>
      </c>
      <c r="HH1" s="1" t="s">
        <v>197</v>
      </c>
      <c r="HI1" s="1" t="s">
        <v>198</v>
      </c>
      <c r="HJ1" s="1" t="s">
        <v>199</v>
      </c>
      <c r="HK1" s="1" t="s">
        <v>200</v>
      </c>
      <c r="HL1" s="1" t="s">
        <v>201</v>
      </c>
      <c r="HM1" s="1" t="s">
        <v>202</v>
      </c>
      <c r="HN1" s="1" t="s">
        <v>203</v>
      </c>
      <c r="HO1" s="1" t="s">
        <v>204</v>
      </c>
      <c r="HP1" s="1" t="s">
        <v>205</v>
      </c>
      <c r="HQ1" s="1" t="s">
        <v>206</v>
      </c>
      <c r="HR1" s="1" t="s">
        <v>207</v>
      </c>
      <c r="HS1" s="1" t="s">
        <v>1536</v>
      </c>
      <c r="HT1" s="1" t="s">
        <v>208</v>
      </c>
      <c r="HU1" s="1" t="s">
        <v>209</v>
      </c>
      <c r="HV1" s="1" t="s">
        <v>210</v>
      </c>
      <c r="HW1" s="1" t="s">
        <v>211</v>
      </c>
      <c r="HX1" s="1" t="s">
        <v>212</v>
      </c>
      <c r="HY1" s="1" t="s">
        <v>213</v>
      </c>
      <c r="HZ1" s="1" t="s">
        <v>214</v>
      </c>
      <c r="IA1" s="1" t="s">
        <v>215</v>
      </c>
      <c r="IB1" s="1" t="s">
        <v>216</v>
      </c>
      <c r="IC1" s="1" t="s">
        <v>217</v>
      </c>
      <c r="ID1" s="1" t="s">
        <v>218</v>
      </c>
      <c r="IE1" s="1" t="s">
        <v>219</v>
      </c>
      <c r="IF1" s="1" t="s">
        <v>220</v>
      </c>
      <c r="IG1" s="1" t="s">
        <v>221</v>
      </c>
      <c r="IH1" s="1" t="s">
        <v>222</v>
      </c>
      <c r="II1" s="1" t="s">
        <v>223</v>
      </c>
      <c r="IJ1" s="1" t="s">
        <v>224</v>
      </c>
      <c r="IK1" s="1" t="s">
        <v>225</v>
      </c>
      <c r="IL1" s="1" t="s">
        <v>226</v>
      </c>
      <c r="IM1" s="1" t="s">
        <v>227</v>
      </c>
      <c r="IN1" s="1" t="s">
        <v>228</v>
      </c>
      <c r="IO1" s="1" t="s">
        <v>229</v>
      </c>
      <c r="IP1" s="1" t="s">
        <v>230</v>
      </c>
      <c r="IQ1" s="1" t="s">
        <v>231</v>
      </c>
      <c r="IR1" s="1" t="s">
        <v>232</v>
      </c>
      <c r="IS1" s="1" t="s">
        <v>233</v>
      </c>
      <c r="IT1" s="1" t="s">
        <v>234</v>
      </c>
      <c r="IU1" s="1" t="s">
        <v>235</v>
      </c>
      <c r="IV1" s="1" t="s">
        <v>236</v>
      </c>
      <c r="IW1" s="1" t="s">
        <v>237</v>
      </c>
      <c r="IX1" s="1" t="s">
        <v>238</v>
      </c>
      <c r="IY1" s="1" t="s">
        <v>239</v>
      </c>
      <c r="IZ1" s="1" t="s">
        <v>240</v>
      </c>
      <c r="JA1" s="1" t="s">
        <v>241</v>
      </c>
      <c r="JB1" s="1" t="s">
        <v>242</v>
      </c>
      <c r="JC1" s="1" t="s">
        <v>243</v>
      </c>
      <c r="JD1" s="1" t="s">
        <v>244</v>
      </c>
      <c r="JE1" s="1" t="s">
        <v>245</v>
      </c>
      <c r="JF1" s="1" t="s">
        <v>246</v>
      </c>
      <c r="JG1" s="1" t="s">
        <v>247</v>
      </c>
      <c r="JH1" s="1" t="s">
        <v>248</v>
      </c>
      <c r="JI1" s="1" t="s">
        <v>249</v>
      </c>
      <c r="JJ1" s="1" t="s">
        <v>250</v>
      </c>
      <c r="JK1" s="1" t="s">
        <v>251</v>
      </c>
      <c r="JL1" s="1" t="s">
        <v>1537</v>
      </c>
      <c r="JM1" s="1" t="s">
        <v>1538</v>
      </c>
      <c r="JN1" s="1" t="s">
        <v>1539</v>
      </c>
      <c r="JO1" s="1" t="s">
        <v>252</v>
      </c>
      <c r="JP1" s="1" t="s">
        <v>253</v>
      </c>
      <c r="JQ1" s="1" t="s">
        <v>254</v>
      </c>
      <c r="JR1" s="1" t="s">
        <v>255</v>
      </c>
      <c r="JS1" s="1" t="s">
        <v>256</v>
      </c>
      <c r="JT1" s="1" t="s">
        <v>257</v>
      </c>
      <c r="JU1" s="1" t="s">
        <v>258</v>
      </c>
      <c r="JV1" s="1" t="s">
        <v>259</v>
      </c>
      <c r="JW1" s="1" t="s">
        <v>260</v>
      </c>
      <c r="JX1" s="1" t="s">
        <v>261</v>
      </c>
      <c r="JY1" s="1" t="s">
        <v>262</v>
      </c>
      <c r="JZ1" s="1" t="s">
        <v>263</v>
      </c>
      <c r="KA1" s="1" t="s">
        <v>264</v>
      </c>
      <c r="KB1" s="1" t="s">
        <v>265</v>
      </c>
      <c r="KC1" s="1" t="s">
        <v>266</v>
      </c>
      <c r="KD1" s="1" t="s">
        <v>267</v>
      </c>
      <c r="KE1" s="1" t="s">
        <v>268</v>
      </c>
      <c r="KF1" s="1" t="s">
        <v>269</v>
      </c>
      <c r="KG1" s="1" t="s">
        <v>270</v>
      </c>
      <c r="KH1" s="1" t="s">
        <v>271</v>
      </c>
      <c r="KI1" s="1" t="s">
        <v>272</v>
      </c>
      <c r="KJ1" s="1" t="s">
        <v>273</v>
      </c>
      <c r="KK1" s="1" t="s">
        <v>274</v>
      </c>
      <c r="KL1" s="1" t="s">
        <v>275</v>
      </c>
      <c r="KM1" s="1" t="s">
        <v>276</v>
      </c>
      <c r="KN1" s="1" t="s">
        <v>277</v>
      </c>
      <c r="KO1" s="1" t="s">
        <v>278</v>
      </c>
      <c r="KP1" s="1" t="s">
        <v>279</v>
      </c>
      <c r="KQ1" s="1" t="s">
        <v>280</v>
      </c>
      <c r="KR1" s="1" t="s">
        <v>281</v>
      </c>
      <c r="KS1" s="1" t="s">
        <v>282</v>
      </c>
      <c r="KT1" s="1" t="s">
        <v>283</v>
      </c>
      <c r="KU1" s="1" t="s">
        <v>284</v>
      </c>
      <c r="KV1" s="1" t="s">
        <v>285</v>
      </c>
      <c r="KW1" s="1" t="s">
        <v>286</v>
      </c>
      <c r="KX1" s="1" t="s">
        <v>287</v>
      </c>
      <c r="KY1" s="1" t="s">
        <v>288</v>
      </c>
      <c r="KZ1" s="1" t="s">
        <v>289</v>
      </c>
      <c r="LA1" s="1" t="s">
        <v>290</v>
      </c>
      <c r="LB1" s="1" t="s">
        <v>291</v>
      </c>
      <c r="LC1" s="1" t="s">
        <v>292</v>
      </c>
      <c r="LD1" s="1" t="s">
        <v>293</v>
      </c>
      <c r="LE1" s="1" t="s">
        <v>294</v>
      </c>
      <c r="LF1" s="1" t="s">
        <v>295</v>
      </c>
      <c r="LG1" s="1" t="s">
        <v>296</v>
      </c>
      <c r="LH1" s="1" t="s">
        <v>297</v>
      </c>
      <c r="LI1" s="1" t="s">
        <v>298</v>
      </c>
      <c r="LJ1" s="1" t="s">
        <v>299</v>
      </c>
      <c r="LK1" s="1" t="s">
        <v>300</v>
      </c>
      <c r="LL1" s="1" t="s">
        <v>301</v>
      </c>
      <c r="LM1" s="1" t="s">
        <v>302</v>
      </c>
      <c r="LN1" s="1" t="s">
        <v>303</v>
      </c>
      <c r="LO1" s="1" t="s">
        <v>304</v>
      </c>
      <c r="LP1" s="1" t="s">
        <v>305</v>
      </c>
      <c r="LQ1" s="1" t="s">
        <v>306</v>
      </c>
      <c r="LR1" s="56" t="s">
        <v>307</v>
      </c>
      <c r="LS1" s="1" t="s">
        <v>308</v>
      </c>
      <c r="LT1" s="1" t="s">
        <v>309</v>
      </c>
      <c r="LU1" s="1" t="s">
        <v>310</v>
      </c>
      <c r="LV1" s="1" t="s">
        <v>311</v>
      </c>
      <c r="LW1" s="1" t="s">
        <v>312</v>
      </c>
      <c r="LX1" s="1" t="s">
        <v>1540</v>
      </c>
      <c r="LY1" s="1" t="s">
        <v>313</v>
      </c>
      <c r="LZ1" s="1" t="s">
        <v>314</v>
      </c>
      <c r="MA1" s="1" t="s">
        <v>315</v>
      </c>
      <c r="MB1" s="1" t="s">
        <v>316</v>
      </c>
      <c r="MC1" s="1" t="s">
        <v>317</v>
      </c>
      <c r="MD1" s="1" t="s">
        <v>318</v>
      </c>
      <c r="ME1" s="1" t="s">
        <v>319</v>
      </c>
      <c r="MF1" s="1" t="s">
        <v>320</v>
      </c>
      <c r="MG1" s="1" t="s">
        <v>321</v>
      </c>
      <c r="MH1" s="1" t="s">
        <v>322</v>
      </c>
      <c r="MI1" s="1" t="s">
        <v>323</v>
      </c>
      <c r="MJ1" s="1" t="s">
        <v>324</v>
      </c>
      <c r="MK1" s="1" t="s">
        <v>325</v>
      </c>
      <c r="ML1" s="1" t="s">
        <v>326</v>
      </c>
      <c r="MM1" s="1" t="s">
        <v>1541</v>
      </c>
      <c r="MN1" s="1" t="s">
        <v>327</v>
      </c>
      <c r="MO1" s="1" t="s">
        <v>328</v>
      </c>
      <c r="MP1" s="1" t="s">
        <v>329</v>
      </c>
      <c r="MQ1" s="1" t="s">
        <v>330</v>
      </c>
      <c r="MR1" s="1" t="s">
        <v>331</v>
      </c>
      <c r="MS1" s="1" t="s">
        <v>332</v>
      </c>
      <c r="MT1" s="1" t="s">
        <v>333</v>
      </c>
      <c r="MU1" s="1" t="s">
        <v>334</v>
      </c>
      <c r="MV1" s="1" t="s">
        <v>335</v>
      </c>
      <c r="MW1" s="1" t="s">
        <v>336</v>
      </c>
      <c r="MX1" s="1" t="s">
        <v>337</v>
      </c>
      <c r="MY1" s="1" t="s">
        <v>338</v>
      </c>
      <c r="MZ1" s="1" t="s">
        <v>339</v>
      </c>
      <c r="NA1" s="1" t="s">
        <v>340</v>
      </c>
      <c r="NB1" s="1" t="s">
        <v>341</v>
      </c>
      <c r="NC1" s="1" t="s">
        <v>342</v>
      </c>
      <c r="ND1" s="1" t="s">
        <v>343</v>
      </c>
      <c r="NE1" s="1" t="s">
        <v>344</v>
      </c>
      <c r="NF1" s="1" t="s">
        <v>345</v>
      </c>
      <c r="NG1" s="1" t="s">
        <v>346</v>
      </c>
      <c r="NH1" s="1" t="s">
        <v>347</v>
      </c>
      <c r="NI1" s="1" t="s">
        <v>348</v>
      </c>
      <c r="NJ1" s="1" t="s">
        <v>349</v>
      </c>
      <c r="NK1" s="1" t="s">
        <v>350</v>
      </c>
      <c r="NL1" s="1" t="s">
        <v>351</v>
      </c>
      <c r="NM1" s="1" t="s">
        <v>352</v>
      </c>
      <c r="NN1" s="1" t="s">
        <v>353</v>
      </c>
      <c r="NO1" s="1" t="s">
        <v>354</v>
      </c>
      <c r="NP1" s="1" t="s">
        <v>355</v>
      </c>
      <c r="NQ1" s="1" t="s">
        <v>356</v>
      </c>
      <c r="NR1" s="1" t="s">
        <v>357</v>
      </c>
      <c r="NS1" s="1" t="s">
        <v>358</v>
      </c>
      <c r="NT1" s="1" t="s">
        <v>359</v>
      </c>
      <c r="NU1" s="1" t="s">
        <v>360</v>
      </c>
      <c r="NV1" s="1" t="s">
        <v>361</v>
      </c>
      <c r="NW1" s="1" t="s">
        <v>362</v>
      </c>
      <c r="NX1" s="1" t="s">
        <v>363</v>
      </c>
      <c r="NY1" s="1" t="s">
        <v>364</v>
      </c>
      <c r="NZ1" s="1" t="s">
        <v>365</v>
      </c>
      <c r="OA1" s="1" t="s">
        <v>366</v>
      </c>
      <c r="OB1" s="1" t="s">
        <v>367</v>
      </c>
      <c r="OC1" s="1" t="s">
        <v>368</v>
      </c>
      <c r="OD1" s="1" t="s">
        <v>369</v>
      </c>
      <c r="OE1" s="1" t="s">
        <v>370</v>
      </c>
      <c r="OF1" s="1" t="s">
        <v>371</v>
      </c>
      <c r="OG1" s="1" t="s">
        <v>372</v>
      </c>
      <c r="OH1" s="1" t="s">
        <v>373</v>
      </c>
      <c r="OI1" s="1" t="s">
        <v>374</v>
      </c>
      <c r="OJ1" s="1" t="s">
        <v>375</v>
      </c>
      <c r="OK1" s="1" t="s">
        <v>376</v>
      </c>
      <c r="OL1" s="1" t="s">
        <v>377</v>
      </c>
      <c r="OM1" s="1" t="s">
        <v>1542</v>
      </c>
      <c r="ON1" s="1" t="s">
        <v>378</v>
      </c>
      <c r="OO1" s="1" t="s">
        <v>1543</v>
      </c>
      <c r="OP1" s="1" t="s">
        <v>1544</v>
      </c>
      <c r="OQ1" s="1" t="s">
        <v>1545</v>
      </c>
      <c r="OR1" s="1" t="s">
        <v>379</v>
      </c>
      <c r="OS1" s="1" t="s">
        <v>380</v>
      </c>
      <c r="OT1" s="1" t="s">
        <v>381</v>
      </c>
      <c r="OU1" s="1" t="s">
        <v>382</v>
      </c>
      <c r="OV1" s="1" t="s">
        <v>383</v>
      </c>
      <c r="OW1" s="1" t="s">
        <v>384</v>
      </c>
      <c r="OX1" s="1" t="s">
        <v>385</v>
      </c>
      <c r="OY1" s="1" t="s">
        <v>386</v>
      </c>
      <c r="OZ1" s="1" t="s">
        <v>387</v>
      </c>
      <c r="PA1" s="1" t="s">
        <v>388</v>
      </c>
      <c r="PB1" s="1" t="s">
        <v>389</v>
      </c>
      <c r="PC1" s="1" t="s">
        <v>390</v>
      </c>
      <c r="PD1" s="1" t="s">
        <v>391</v>
      </c>
      <c r="PE1" s="1" t="s">
        <v>1546</v>
      </c>
      <c r="PF1" s="1" t="s">
        <v>1547</v>
      </c>
      <c r="PG1" s="1" t="s">
        <v>1548</v>
      </c>
      <c r="PH1" s="1" t="s">
        <v>1549</v>
      </c>
      <c r="PI1" s="1" t="s">
        <v>1550</v>
      </c>
      <c r="PJ1" s="1" t="s">
        <v>392</v>
      </c>
      <c r="PK1" s="1" t="s">
        <v>1551</v>
      </c>
      <c r="PL1" s="1" t="s">
        <v>393</v>
      </c>
      <c r="PM1" s="1" t="s">
        <v>394</v>
      </c>
      <c r="PN1" s="1" t="s">
        <v>395</v>
      </c>
      <c r="PO1" s="1" t="s">
        <v>396</v>
      </c>
      <c r="PP1" s="1" t="s">
        <v>397</v>
      </c>
      <c r="PQ1" s="1" t="s">
        <v>398</v>
      </c>
      <c r="PR1" s="1" t="s">
        <v>399</v>
      </c>
      <c r="PS1" s="1" t="s">
        <v>400</v>
      </c>
      <c r="PT1" s="1" t="s">
        <v>401</v>
      </c>
      <c r="PU1" s="1" t="s">
        <v>402</v>
      </c>
      <c r="PV1" s="1" t="s">
        <v>403</v>
      </c>
      <c r="PW1" s="1" t="s">
        <v>404</v>
      </c>
      <c r="PX1" s="1" t="s">
        <v>405</v>
      </c>
      <c r="PY1" s="1" t="s">
        <v>406</v>
      </c>
      <c r="PZ1" s="1" t="s">
        <v>407</v>
      </c>
      <c r="QA1" s="1" t="s">
        <v>408</v>
      </c>
      <c r="QB1" s="1" t="s">
        <v>409</v>
      </c>
      <c r="QC1" s="1" t="s">
        <v>410</v>
      </c>
      <c r="QD1" s="1" t="s">
        <v>411</v>
      </c>
      <c r="QE1" s="1" t="s">
        <v>412</v>
      </c>
      <c r="QF1" s="1" t="s">
        <v>413</v>
      </c>
      <c r="QG1" s="1" t="s">
        <v>414</v>
      </c>
      <c r="QH1" s="1" t="s">
        <v>415</v>
      </c>
      <c r="QI1" s="56" t="s">
        <v>416</v>
      </c>
      <c r="QJ1" s="1" t="s">
        <v>417</v>
      </c>
      <c r="QK1" s="1" t="s">
        <v>418</v>
      </c>
      <c r="QL1" s="1" t="s">
        <v>419</v>
      </c>
      <c r="QM1" s="1" t="s">
        <v>420</v>
      </c>
      <c r="QN1" s="1" t="s">
        <v>1552</v>
      </c>
      <c r="QO1" s="1" t="s">
        <v>421</v>
      </c>
      <c r="QP1" s="1" t="s">
        <v>422</v>
      </c>
      <c r="QQ1" s="1" t="s">
        <v>423</v>
      </c>
      <c r="QR1" s="1" t="s">
        <v>424</v>
      </c>
      <c r="QS1" s="1" t="s">
        <v>425</v>
      </c>
      <c r="QT1" s="1" t="s">
        <v>426</v>
      </c>
      <c r="QU1" s="1" t="s">
        <v>427</v>
      </c>
      <c r="QV1" s="1" t="s">
        <v>1553</v>
      </c>
      <c r="QW1" s="1" t="s">
        <v>1554</v>
      </c>
      <c r="QX1" s="1" t="s">
        <v>428</v>
      </c>
      <c r="QY1" s="1" t="s">
        <v>429</v>
      </c>
      <c r="QZ1" s="1" t="s">
        <v>430</v>
      </c>
      <c r="RA1" s="1" t="s">
        <v>431</v>
      </c>
      <c r="RB1" s="1" t="s">
        <v>432</v>
      </c>
      <c r="RC1" s="1" t="s">
        <v>433</v>
      </c>
      <c r="RD1" s="1" t="s">
        <v>434</v>
      </c>
      <c r="RE1" s="1" t="s">
        <v>435</v>
      </c>
      <c r="RF1" s="1" t="s">
        <v>436</v>
      </c>
      <c r="RG1" s="1" t="s">
        <v>437</v>
      </c>
      <c r="RH1" s="1" t="s">
        <v>438</v>
      </c>
      <c r="RI1" s="1" t="s">
        <v>439</v>
      </c>
      <c r="RJ1" s="1" t="s">
        <v>440</v>
      </c>
      <c r="RK1" s="1" t="s">
        <v>441</v>
      </c>
      <c r="RL1" s="1" t="s">
        <v>442</v>
      </c>
      <c r="RM1" s="1" t="s">
        <v>443</v>
      </c>
      <c r="RN1" s="1" t="s">
        <v>444</v>
      </c>
      <c r="RO1" s="1" t="s">
        <v>445</v>
      </c>
      <c r="RP1" s="1" t="s">
        <v>446</v>
      </c>
      <c r="RQ1" s="1" t="s">
        <v>447</v>
      </c>
      <c r="RR1" s="1" t="s">
        <v>448</v>
      </c>
      <c r="RS1" s="1" t="s">
        <v>449</v>
      </c>
      <c r="RT1" s="1" t="s">
        <v>450</v>
      </c>
      <c r="RU1" s="1" t="s">
        <v>451</v>
      </c>
      <c r="RV1" s="1" t="s">
        <v>452</v>
      </c>
      <c r="RW1" s="1" t="s">
        <v>453</v>
      </c>
      <c r="RX1" s="1" t="s">
        <v>454</v>
      </c>
      <c r="RY1" s="1" t="s">
        <v>455</v>
      </c>
      <c r="RZ1" s="1" t="s">
        <v>456</v>
      </c>
      <c r="SA1" s="1" t="s">
        <v>457</v>
      </c>
      <c r="SB1" s="1" t="s">
        <v>458</v>
      </c>
      <c r="SC1" s="1" t="s">
        <v>459</v>
      </c>
      <c r="SD1" s="1" t="s">
        <v>460</v>
      </c>
      <c r="SE1" s="1" t="s">
        <v>461</v>
      </c>
      <c r="SF1" s="1" t="s">
        <v>462</v>
      </c>
      <c r="SG1" s="1" t="s">
        <v>463</v>
      </c>
      <c r="SH1" s="1" t="s">
        <v>464</v>
      </c>
      <c r="SI1" s="1" t="s">
        <v>465</v>
      </c>
      <c r="SJ1" s="1" t="s">
        <v>466</v>
      </c>
      <c r="SK1" s="1" t="s">
        <v>467</v>
      </c>
      <c r="SL1" s="1" t="s">
        <v>468</v>
      </c>
      <c r="SM1" s="1" t="s">
        <v>469</v>
      </c>
      <c r="SN1" s="1" t="s">
        <v>470</v>
      </c>
      <c r="SO1" s="1" t="s">
        <v>471</v>
      </c>
      <c r="SP1" s="1" t="s">
        <v>472</v>
      </c>
      <c r="SQ1" s="1" t="s">
        <v>473</v>
      </c>
      <c r="SR1" s="1" t="s">
        <v>474</v>
      </c>
      <c r="SS1" s="1" t="s">
        <v>475</v>
      </c>
      <c r="ST1" s="1" t="s">
        <v>476</v>
      </c>
      <c r="SU1" s="1" t="s">
        <v>477</v>
      </c>
      <c r="SV1" s="1" t="s">
        <v>478</v>
      </c>
      <c r="SW1" s="1" t="s">
        <v>479</v>
      </c>
      <c r="SX1" s="1" t="s">
        <v>1555</v>
      </c>
      <c r="SY1" s="1" t="s">
        <v>1556</v>
      </c>
      <c r="SZ1" s="1" t="s">
        <v>1557</v>
      </c>
      <c r="TA1" s="1" t="s">
        <v>480</v>
      </c>
      <c r="TB1" s="1" t="s">
        <v>481</v>
      </c>
      <c r="TC1" s="1" t="s">
        <v>482</v>
      </c>
      <c r="TD1" s="1" t="s">
        <v>483</v>
      </c>
      <c r="TE1" s="1" t="s">
        <v>484</v>
      </c>
      <c r="TF1" s="1" t="s">
        <v>485</v>
      </c>
      <c r="TG1" s="1" t="s">
        <v>486</v>
      </c>
      <c r="TH1" s="1" t="s">
        <v>487</v>
      </c>
      <c r="TI1" s="1" t="s">
        <v>488</v>
      </c>
      <c r="TJ1" s="1" t="s">
        <v>489</v>
      </c>
      <c r="TK1" s="1" t="s">
        <v>490</v>
      </c>
      <c r="TL1" s="1" t="s">
        <v>491</v>
      </c>
      <c r="TM1" s="1" t="s">
        <v>492</v>
      </c>
      <c r="TN1" s="1" t="s">
        <v>493</v>
      </c>
      <c r="TO1" s="1" t="s">
        <v>494</v>
      </c>
      <c r="TP1" s="1" t="s">
        <v>495</v>
      </c>
      <c r="TQ1" s="1" t="s">
        <v>496</v>
      </c>
      <c r="TR1" s="1" t="s">
        <v>497</v>
      </c>
      <c r="TS1" s="1" t="s">
        <v>498</v>
      </c>
      <c r="TT1" s="1" t="s">
        <v>499</v>
      </c>
      <c r="TU1" s="1" t="s">
        <v>500</v>
      </c>
      <c r="TV1" s="1" t="s">
        <v>501</v>
      </c>
      <c r="TW1" s="1" t="s">
        <v>502</v>
      </c>
      <c r="TX1" s="1" t="s">
        <v>503</v>
      </c>
      <c r="TY1" s="1" t="s">
        <v>504</v>
      </c>
      <c r="TZ1" s="1" t="s">
        <v>505</v>
      </c>
      <c r="UA1" s="1" t="s">
        <v>506</v>
      </c>
      <c r="UB1" s="1" t="s">
        <v>507</v>
      </c>
      <c r="UC1" s="1" t="s">
        <v>508</v>
      </c>
      <c r="UD1" s="1" t="s">
        <v>509</v>
      </c>
      <c r="UE1" s="1" t="s">
        <v>510</v>
      </c>
      <c r="UF1" s="1" t="s">
        <v>511</v>
      </c>
      <c r="UG1" s="1" t="s">
        <v>512</v>
      </c>
      <c r="UH1" s="1" t="s">
        <v>513</v>
      </c>
      <c r="UI1" s="1" t="s">
        <v>514</v>
      </c>
      <c r="UJ1" s="1" t="s">
        <v>515</v>
      </c>
      <c r="UK1" s="1" t="s">
        <v>516</v>
      </c>
      <c r="UL1" s="1" t="s">
        <v>517</v>
      </c>
      <c r="UM1" s="1" t="s">
        <v>518</v>
      </c>
      <c r="UN1" s="1" t="s">
        <v>519</v>
      </c>
      <c r="UO1" s="1" t="s">
        <v>520</v>
      </c>
      <c r="UP1" s="1" t="s">
        <v>521</v>
      </c>
      <c r="UQ1" s="1" t="s">
        <v>522</v>
      </c>
      <c r="UR1" s="1" t="s">
        <v>523</v>
      </c>
      <c r="US1" s="1" t="s">
        <v>524</v>
      </c>
      <c r="UT1" s="1" t="s">
        <v>525</v>
      </c>
      <c r="UU1" s="1" t="s">
        <v>526</v>
      </c>
      <c r="UV1" s="1" t="s">
        <v>527</v>
      </c>
      <c r="UW1" s="1" t="s">
        <v>528</v>
      </c>
      <c r="UX1" s="1" t="s">
        <v>529</v>
      </c>
      <c r="UY1" s="1" t="s">
        <v>530</v>
      </c>
      <c r="UZ1" s="1" t="s">
        <v>531</v>
      </c>
      <c r="VA1" s="1" t="s">
        <v>532</v>
      </c>
      <c r="VB1" s="1" t="s">
        <v>533</v>
      </c>
      <c r="VC1" s="1" t="s">
        <v>534</v>
      </c>
      <c r="VD1" s="1" t="s">
        <v>535</v>
      </c>
      <c r="VE1" s="1" t="s">
        <v>536</v>
      </c>
      <c r="VF1" s="1" t="s">
        <v>537</v>
      </c>
      <c r="VG1" s="1" t="s">
        <v>538</v>
      </c>
      <c r="VH1" s="1" t="s">
        <v>539</v>
      </c>
      <c r="VI1" s="1" t="s">
        <v>540</v>
      </c>
      <c r="VJ1" s="1" t="s">
        <v>541</v>
      </c>
      <c r="VK1" s="1" t="s">
        <v>542</v>
      </c>
      <c r="VL1" s="1" t="s">
        <v>543</v>
      </c>
      <c r="VM1" s="1" t="s">
        <v>544</v>
      </c>
      <c r="VN1" s="1" t="s">
        <v>545</v>
      </c>
      <c r="VO1" s="1" t="s">
        <v>546</v>
      </c>
      <c r="VP1" s="1" t="s">
        <v>547</v>
      </c>
      <c r="VQ1" s="1" t="s">
        <v>548</v>
      </c>
      <c r="VR1" s="1" t="s">
        <v>549</v>
      </c>
      <c r="VS1" s="1" t="s">
        <v>550</v>
      </c>
      <c r="VT1" s="1" t="s">
        <v>551</v>
      </c>
      <c r="VU1" s="1" t="s">
        <v>1558</v>
      </c>
      <c r="VV1" s="1" t="s">
        <v>552</v>
      </c>
      <c r="VW1" s="1" t="s">
        <v>553</v>
      </c>
      <c r="VX1" s="1" t="s">
        <v>554</v>
      </c>
      <c r="VY1" s="1" t="s">
        <v>555</v>
      </c>
      <c r="VZ1" s="1" t="s">
        <v>556</v>
      </c>
      <c r="WA1" s="1" t="s">
        <v>557</v>
      </c>
      <c r="WB1" s="1" t="s">
        <v>558</v>
      </c>
      <c r="WC1" s="1" t="s">
        <v>559</v>
      </c>
      <c r="WD1" s="1" t="s">
        <v>560</v>
      </c>
      <c r="WE1" s="1" t="s">
        <v>561</v>
      </c>
      <c r="WF1" s="1" t="s">
        <v>562</v>
      </c>
      <c r="WG1" s="1" t="s">
        <v>563</v>
      </c>
      <c r="WH1" s="1" t="s">
        <v>564</v>
      </c>
      <c r="WI1" s="1" t="s">
        <v>565</v>
      </c>
      <c r="WJ1" s="1" t="s">
        <v>566</v>
      </c>
      <c r="WK1" s="1" t="s">
        <v>567</v>
      </c>
      <c r="WL1" s="1" t="s">
        <v>568</v>
      </c>
      <c r="WM1" s="1" t="s">
        <v>569</v>
      </c>
      <c r="WN1" s="1" t="s">
        <v>570</v>
      </c>
      <c r="WO1" s="1" t="s">
        <v>571</v>
      </c>
      <c r="WP1" s="1" t="s">
        <v>572</v>
      </c>
      <c r="WQ1" s="1" t="s">
        <v>573</v>
      </c>
      <c r="WR1" s="1" t="s">
        <v>574</v>
      </c>
      <c r="WS1" s="1" t="s">
        <v>575</v>
      </c>
      <c r="WT1" s="1" t="s">
        <v>576</v>
      </c>
      <c r="WU1" s="1" t="s">
        <v>577</v>
      </c>
      <c r="WV1" s="1" t="s">
        <v>578</v>
      </c>
      <c r="WW1" s="1" t="s">
        <v>579</v>
      </c>
      <c r="WX1" s="1" t="s">
        <v>580</v>
      </c>
      <c r="WY1" s="1" t="s">
        <v>581</v>
      </c>
      <c r="WZ1" s="1" t="s">
        <v>582</v>
      </c>
      <c r="XA1" s="1" t="s">
        <v>583</v>
      </c>
      <c r="XB1" s="1" t="s">
        <v>584</v>
      </c>
      <c r="XC1" s="1" t="s">
        <v>585</v>
      </c>
      <c r="XD1" s="1" t="s">
        <v>586</v>
      </c>
      <c r="XE1" s="1" t="s">
        <v>587</v>
      </c>
      <c r="XF1" s="1" t="s">
        <v>588</v>
      </c>
      <c r="XG1" s="1" t="s">
        <v>589</v>
      </c>
      <c r="XH1" s="1" t="s">
        <v>590</v>
      </c>
      <c r="XI1" s="1" t="s">
        <v>591</v>
      </c>
      <c r="XJ1" s="1" t="s">
        <v>592</v>
      </c>
      <c r="XK1" s="1" t="s">
        <v>593</v>
      </c>
      <c r="XL1" s="1" t="s">
        <v>594</v>
      </c>
      <c r="XM1" s="1" t="s">
        <v>595</v>
      </c>
      <c r="XN1" s="1" t="s">
        <v>596</v>
      </c>
      <c r="XO1" s="1" t="s">
        <v>597</v>
      </c>
      <c r="XP1" s="1" t="s">
        <v>598</v>
      </c>
      <c r="XQ1" s="1" t="s">
        <v>599</v>
      </c>
      <c r="XR1" s="1" t="s">
        <v>600</v>
      </c>
      <c r="XS1" s="1" t="s">
        <v>601</v>
      </c>
      <c r="XT1" s="1" t="s">
        <v>602</v>
      </c>
      <c r="XU1" s="1" t="s">
        <v>603</v>
      </c>
      <c r="XV1" s="1" t="s">
        <v>604</v>
      </c>
      <c r="XW1" s="1" t="s">
        <v>605</v>
      </c>
      <c r="XX1" s="1" t="s">
        <v>606</v>
      </c>
      <c r="XY1" s="1" t="s">
        <v>607</v>
      </c>
      <c r="XZ1" s="1" t="s">
        <v>608</v>
      </c>
      <c r="YA1" s="1" t="s">
        <v>609</v>
      </c>
      <c r="YB1" s="1" t="s">
        <v>610</v>
      </c>
      <c r="YC1" s="1" t="s">
        <v>611</v>
      </c>
      <c r="YD1" s="1" t="s">
        <v>612</v>
      </c>
      <c r="YE1" s="1" t="s">
        <v>613</v>
      </c>
      <c r="YF1" s="1" t="s">
        <v>614</v>
      </c>
      <c r="YG1" s="1" t="s">
        <v>615</v>
      </c>
      <c r="YH1" s="1" t="s">
        <v>616</v>
      </c>
      <c r="YI1" s="1" t="s">
        <v>617</v>
      </c>
      <c r="YJ1" s="1" t="s">
        <v>618</v>
      </c>
      <c r="YK1" s="1" t="s">
        <v>619</v>
      </c>
      <c r="YL1" s="1" t="s">
        <v>620</v>
      </c>
      <c r="YM1" s="1" t="s">
        <v>621</v>
      </c>
      <c r="YN1" s="1" t="s">
        <v>622</v>
      </c>
      <c r="YO1" s="1" t="s">
        <v>623</v>
      </c>
      <c r="YP1" s="1" t="s">
        <v>624</v>
      </c>
      <c r="YQ1" s="1" t="s">
        <v>625</v>
      </c>
      <c r="YR1" s="1" t="s">
        <v>626</v>
      </c>
      <c r="YS1" s="1" t="s">
        <v>627</v>
      </c>
      <c r="YT1" s="1" t="s">
        <v>628</v>
      </c>
      <c r="YU1" s="1" t="s">
        <v>629</v>
      </c>
      <c r="YV1" s="1" t="s">
        <v>630</v>
      </c>
      <c r="YW1" s="1" t="s">
        <v>631</v>
      </c>
      <c r="YX1" s="1" t="s">
        <v>632</v>
      </c>
      <c r="YY1" s="1" t="s">
        <v>633</v>
      </c>
      <c r="YZ1" s="1" t="s">
        <v>634</v>
      </c>
      <c r="ZA1" s="1" t="s">
        <v>635</v>
      </c>
      <c r="ZB1" s="1" t="s">
        <v>636</v>
      </c>
      <c r="ZC1" s="1" t="s">
        <v>1559</v>
      </c>
      <c r="ZD1" s="1" t="s">
        <v>1560</v>
      </c>
      <c r="ZE1" s="1" t="s">
        <v>1561</v>
      </c>
      <c r="ZF1" s="1" t="s">
        <v>637</v>
      </c>
      <c r="ZG1" s="1" t="s">
        <v>638</v>
      </c>
      <c r="ZH1" s="1" t="s">
        <v>1562</v>
      </c>
      <c r="ZI1" s="1" t="s">
        <v>1563</v>
      </c>
      <c r="ZJ1" s="1" t="s">
        <v>1564</v>
      </c>
      <c r="ZK1" s="1" t="s">
        <v>639</v>
      </c>
      <c r="ZL1" s="1" t="s">
        <v>640</v>
      </c>
      <c r="ZM1" s="1" t="s">
        <v>641</v>
      </c>
      <c r="ZN1" s="1" t="s">
        <v>642</v>
      </c>
      <c r="ZO1" s="1" t="s">
        <v>643</v>
      </c>
      <c r="ZP1" s="1" t="s">
        <v>644</v>
      </c>
      <c r="ZQ1" s="1" t="s">
        <v>645</v>
      </c>
      <c r="ZR1" s="1" t="s">
        <v>646</v>
      </c>
      <c r="ZS1" s="1" t="s">
        <v>1565</v>
      </c>
      <c r="ZT1" s="1" t="s">
        <v>647</v>
      </c>
      <c r="ZU1" s="1" t="s">
        <v>648</v>
      </c>
      <c r="ZV1" s="1" t="s">
        <v>649</v>
      </c>
      <c r="ZW1" s="1" t="s">
        <v>650</v>
      </c>
      <c r="ZX1" s="1" t="s">
        <v>1566</v>
      </c>
      <c r="ZY1" s="1" t="s">
        <v>1567</v>
      </c>
      <c r="ZZ1" s="1" t="s">
        <v>1568</v>
      </c>
      <c r="AAA1" s="1" t="s">
        <v>1569</v>
      </c>
      <c r="AAB1" s="1" t="s">
        <v>1570</v>
      </c>
      <c r="AAC1" s="1" t="s">
        <v>1571</v>
      </c>
      <c r="AAD1" s="1" t="s">
        <v>1572</v>
      </c>
      <c r="AAE1" s="1" t="s">
        <v>1573</v>
      </c>
      <c r="AAF1" s="1" t="s">
        <v>1574</v>
      </c>
      <c r="AAG1" s="1" t="s">
        <v>1575</v>
      </c>
      <c r="AAH1" s="1" t="s">
        <v>1576</v>
      </c>
      <c r="AAI1" s="1" t="s">
        <v>1577</v>
      </c>
      <c r="AAJ1" s="1" t="s">
        <v>1578</v>
      </c>
      <c r="AAK1" s="1" t="s">
        <v>1579</v>
      </c>
      <c r="AAL1" s="1" t="s">
        <v>1580</v>
      </c>
      <c r="AAM1" s="1" t="s">
        <v>1581</v>
      </c>
      <c r="AAN1" s="1" t="s">
        <v>1582</v>
      </c>
      <c r="AAO1" s="1" t="s">
        <v>1583</v>
      </c>
      <c r="AAP1" s="1" t="s">
        <v>1584</v>
      </c>
      <c r="AAQ1" s="1" t="s">
        <v>1585</v>
      </c>
      <c r="AAR1" s="1" t="s">
        <v>1586</v>
      </c>
      <c r="AAS1" s="1" t="s">
        <v>1587</v>
      </c>
      <c r="AAT1" s="1" t="s">
        <v>1588</v>
      </c>
      <c r="AAU1" s="1" t="s">
        <v>1589</v>
      </c>
      <c r="AAV1" s="1" t="s">
        <v>669</v>
      </c>
      <c r="AAW1" s="1" t="s">
        <v>670</v>
      </c>
      <c r="AAX1" s="1" t="s">
        <v>671</v>
      </c>
      <c r="AAY1" s="1" t="s">
        <v>672</v>
      </c>
      <c r="AAZ1" s="1" t="s">
        <v>673</v>
      </c>
      <c r="ABA1" s="1" t="s">
        <v>674</v>
      </c>
      <c r="ABB1" s="1" t="s">
        <v>675</v>
      </c>
      <c r="ABC1" s="1" t="s">
        <v>676</v>
      </c>
      <c r="ABD1" s="1" t="s">
        <v>677</v>
      </c>
      <c r="ABE1" s="1" t="s">
        <v>651</v>
      </c>
      <c r="ABF1" s="1" t="s">
        <v>652</v>
      </c>
      <c r="ABG1" s="1" t="s">
        <v>653</v>
      </c>
      <c r="ABH1" s="1" t="s">
        <v>654</v>
      </c>
      <c r="ABI1" s="1" t="s">
        <v>655</v>
      </c>
      <c r="ABJ1" s="1" t="s">
        <v>656</v>
      </c>
      <c r="ABK1" s="1" t="s">
        <v>657</v>
      </c>
      <c r="ABL1" s="1" t="s">
        <v>658</v>
      </c>
      <c r="ABM1" s="1" t="s">
        <v>659</v>
      </c>
      <c r="ABN1" s="1" t="s">
        <v>660</v>
      </c>
      <c r="ABO1" s="1" t="s">
        <v>661</v>
      </c>
      <c r="ABP1" s="1" t="s">
        <v>662</v>
      </c>
      <c r="ABQ1" s="1" t="s">
        <v>663</v>
      </c>
      <c r="ABR1" s="1" t="s">
        <v>664</v>
      </c>
      <c r="ABS1" s="56" t="s">
        <v>665</v>
      </c>
      <c r="ABT1" s="1" t="s">
        <v>666</v>
      </c>
      <c r="ABU1" s="1" t="s">
        <v>667</v>
      </c>
      <c r="ABV1" s="1" t="s">
        <v>1590</v>
      </c>
      <c r="ABW1" s="1" t="s">
        <v>1591</v>
      </c>
      <c r="ABX1" s="1" t="s">
        <v>1592</v>
      </c>
      <c r="ABY1" s="1" t="s">
        <v>668</v>
      </c>
      <c r="ABZ1" s="1" t="s">
        <v>678</v>
      </c>
      <c r="ACA1" s="1" t="s">
        <v>679</v>
      </c>
      <c r="ACB1" s="1" t="s">
        <v>680</v>
      </c>
      <c r="ACC1" s="1" t="s">
        <v>681</v>
      </c>
      <c r="ACD1" s="1" t="s">
        <v>682</v>
      </c>
      <c r="ACE1" s="1" t="s">
        <v>683</v>
      </c>
      <c r="ACF1" s="1" t="s">
        <v>684</v>
      </c>
      <c r="ACG1" s="1" t="s">
        <v>685</v>
      </c>
      <c r="ACH1" s="1" t="s">
        <v>686</v>
      </c>
      <c r="ACI1" s="1" t="s">
        <v>687</v>
      </c>
      <c r="ACJ1" s="1" t="s">
        <v>688</v>
      </c>
      <c r="ACK1" s="1" t="s">
        <v>689</v>
      </c>
      <c r="ACL1" s="1" t="s">
        <v>690</v>
      </c>
      <c r="ACM1" s="1" t="s">
        <v>691</v>
      </c>
      <c r="ACN1" s="1" t="s">
        <v>692</v>
      </c>
      <c r="ACO1" s="1" t="s">
        <v>693</v>
      </c>
      <c r="ACP1" s="1" t="s">
        <v>694</v>
      </c>
      <c r="ACQ1" s="1" t="s">
        <v>695</v>
      </c>
      <c r="ACR1" s="1" t="s">
        <v>696</v>
      </c>
      <c r="ACS1" s="1" t="s">
        <v>697</v>
      </c>
      <c r="ACT1" s="1" t="s">
        <v>698</v>
      </c>
      <c r="ACU1" s="1" t="s">
        <v>699</v>
      </c>
      <c r="ACV1" s="1" t="s">
        <v>700</v>
      </c>
      <c r="ACW1" s="1" t="s">
        <v>701</v>
      </c>
      <c r="ACX1" s="1" t="s">
        <v>702</v>
      </c>
      <c r="ACY1" s="1" t="s">
        <v>703</v>
      </c>
      <c r="ACZ1" s="1" t="s">
        <v>704</v>
      </c>
      <c r="ADA1" s="1" t="s">
        <v>705</v>
      </c>
      <c r="ADB1" s="1" t="s">
        <v>706</v>
      </c>
      <c r="ADC1" s="1" t="s">
        <v>707</v>
      </c>
      <c r="ADD1" s="1" t="s">
        <v>708</v>
      </c>
      <c r="ADE1" s="1" t="s">
        <v>1593</v>
      </c>
      <c r="ADF1" s="1" t="s">
        <v>709</v>
      </c>
      <c r="ADG1" s="1" t="s">
        <v>710</v>
      </c>
      <c r="ADH1" s="1" t="s">
        <v>711</v>
      </c>
      <c r="ADI1" s="1" t="s">
        <v>712</v>
      </c>
      <c r="ADJ1" s="1" t="s">
        <v>713</v>
      </c>
      <c r="ADK1" s="56" t="s">
        <v>714</v>
      </c>
      <c r="ADL1" s="1" t="s">
        <v>715</v>
      </c>
      <c r="ADM1" s="1" t="s">
        <v>716</v>
      </c>
      <c r="ADN1" s="1" t="s">
        <v>717</v>
      </c>
      <c r="ADO1" s="1" t="s">
        <v>1594</v>
      </c>
      <c r="ADP1" s="1" t="s">
        <v>718</v>
      </c>
      <c r="ADQ1" s="1" t="s">
        <v>719</v>
      </c>
      <c r="ADR1" s="1" t="s">
        <v>720</v>
      </c>
      <c r="ADS1" s="1" t="s">
        <v>721</v>
      </c>
      <c r="ADT1" s="1" t="s">
        <v>722</v>
      </c>
      <c r="ADU1" s="1" t="s">
        <v>723</v>
      </c>
      <c r="ADV1" s="1" t="s">
        <v>724</v>
      </c>
      <c r="ADW1" s="1" t="s">
        <v>725</v>
      </c>
      <c r="ADX1" s="1" t="s">
        <v>726</v>
      </c>
      <c r="ADY1" s="1" t="s">
        <v>727</v>
      </c>
      <c r="ADZ1" s="1" t="s">
        <v>728</v>
      </c>
      <c r="AEA1" s="1" t="s">
        <v>729</v>
      </c>
      <c r="AEB1" s="1" t="s">
        <v>730</v>
      </c>
      <c r="AEC1" s="1" t="s">
        <v>731</v>
      </c>
      <c r="AED1" s="1" t="s">
        <v>732</v>
      </c>
      <c r="AEE1" s="1" t="s">
        <v>1595</v>
      </c>
      <c r="AEF1" s="1" t="s">
        <v>733</v>
      </c>
      <c r="AEG1" s="1" t="s">
        <v>734</v>
      </c>
      <c r="AEH1" s="1" t="s">
        <v>735</v>
      </c>
      <c r="AEI1" s="1" t="s">
        <v>736</v>
      </c>
      <c r="AEJ1" s="1" t="s">
        <v>737</v>
      </c>
      <c r="AEK1" s="1" t="s">
        <v>738</v>
      </c>
      <c r="AEL1" s="1" t="s">
        <v>739</v>
      </c>
      <c r="AEM1" s="1" t="s">
        <v>740</v>
      </c>
      <c r="AEN1" s="1" t="s">
        <v>741</v>
      </c>
      <c r="AEO1" s="1" t="s">
        <v>742</v>
      </c>
      <c r="AEP1" s="1" t="s">
        <v>743</v>
      </c>
      <c r="AEQ1" s="1" t="s">
        <v>744</v>
      </c>
      <c r="AER1" s="1" t="s">
        <v>745</v>
      </c>
      <c r="AES1" s="1" t="s">
        <v>746</v>
      </c>
      <c r="AET1" s="1" t="s">
        <v>747</v>
      </c>
      <c r="AEU1" s="1" t="s">
        <v>748</v>
      </c>
      <c r="AEV1" s="1" t="s">
        <v>749</v>
      </c>
      <c r="AEW1" s="1" t="s">
        <v>750</v>
      </c>
      <c r="AEX1" s="1" t="s">
        <v>751</v>
      </c>
      <c r="AEY1" s="1" t="s">
        <v>752</v>
      </c>
      <c r="AEZ1" s="1" t="s">
        <v>753</v>
      </c>
      <c r="AFA1" s="1" t="s">
        <v>754</v>
      </c>
      <c r="AFB1" s="1" t="s">
        <v>755</v>
      </c>
      <c r="AFC1" s="1" t="s">
        <v>756</v>
      </c>
      <c r="AFD1" s="1" t="s">
        <v>757</v>
      </c>
      <c r="AFE1" s="1" t="s">
        <v>758</v>
      </c>
      <c r="AFF1" s="1" t="s">
        <v>759</v>
      </c>
      <c r="AFG1" s="1" t="s">
        <v>760</v>
      </c>
      <c r="AFH1" s="1" t="s">
        <v>761</v>
      </c>
      <c r="AFI1" s="1" t="s">
        <v>762</v>
      </c>
      <c r="AFJ1" s="1" t="s">
        <v>763</v>
      </c>
      <c r="AFK1" s="1" t="s">
        <v>764</v>
      </c>
      <c r="AFL1" s="1" t="s">
        <v>765</v>
      </c>
      <c r="AFM1" s="1" t="s">
        <v>766</v>
      </c>
      <c r="AFN1" s="1" t="s">
        <v>767</v>
      </c>
      <c r="AFO1" s="1" t="s">
        <v>768</v>
      </c>
      <c r="AFP1" s="1" t="s">
        <v>769</v>
      </c>
      <c r="AFQ1" s="1" t="s">
        <v>770</v>
      </c>
      <c r="AFR1" s="1" t="s">
        <v>771</v>
      </c>
      <c r="AFS1" s="1" t="s">
        <v>772</v>
      </c>
      <c r="AFT1" s="1" t="s">
        <v>773</v>
      </c>
      <c r="AFU1" s="1" t="s">
        <v>774</v>
      </c>
      <c r="AFV1" s="1" t="s">
        <v>775</v>
      </c>
      <c r="AFW1" s="1" t="s">
        <v>776</v>
      </c>
      <c r="AFX1" s="1" t="s">
        <v>777</v>
      </c>
      <c r="AFY1" s="1" t="s">
        <v>778</v>
      </c>
      <c r="AFZ1" s="1" t="s">
        <v>779</v>
      </c>
      <c r="AGA1" s="1" t="s">
        <v>780</v>
      </c>
      <c r="AGB1" s="1" t="s">
        <v>781</v>
      </c>
      <c r="AGC1" s="1" t="s">
        <v>782</v>
      </c>
      <c r="AGD1" s="1" t="s">
        <v>783</v>
      </c>
      <c r="AGE1" s="1" t="s">
        <v>784</v>
      </c>
      <c r="AGF1" s="1" t="s">
        <v>785</v>
      </c>
      <c r="AGG1" s="1" t="s">
        <v>786</v>
      </c>
      <c r="AGH1" s="1" t="s">
        <v>787</v>
      </c>
      <c r="AGI1" s="1" t="s">
        <v>788</v>
      </c>
      <c r="AGJ1" s="1" t="s">
        <v>789</v>
      </c>
      <c r="AGK1" s="1" t="s">
        <v>790</v>
      </c>
      <c r="AGL1" s="1" t="s">
        <v>791</v>
      </c>
      <c r="AGM1" s="1" t="s">
        <v>792</v>
      </c>
      <c r="AGN1" s="1" t="s">
        <v>793</v>
      </c>
      <c r="AGO1" s="1" t="s">
        <v>794</v>
      </c>
      <c r="AGP1" s="1" t="s">
        <v>795</v>
      </c>
      <c r="AGQ1" s="1" t="s">
        <v>796</v>
      </c>
      <c r="AGR1" s="1" t="s">
        <v>797</v>
      </c>
      <c r="AGS1" s="1" t="s">
        <v>798</v>
      </c>
      <c r="AGT1" s="1" t="s">
        <v>799</v>
      </c>
      <c r="AGU1" s="1" t="s">
        <v>800</v>
      </c>
      <c r="AGV1" s="1" t="s">
        <v>801</v>
      </c>
      <c r="AGW1" s="1" t="s">
        <v>802</v>
      </c>
      <c r="AGX1" s="1" t="s">
        <v>803</v>
      </c>
      <c r="AGY1" s="1" t="s">
        <v>804</v>
      </c>
      <c r="AGZ1" s="1" t="s">
        <v>805</v>
      </c>
      <c r="AHA1" s="1" t="s">
        <v>806</v>
      </c>
      <c r="AHB1" s="1" t="s">
        <v>807</v>
      </c>
      <c r="AHC1" s="1" t="s">
        <v>808</v>
      </c>
      <c r="AHD1" s="1" t="s">
        <v>809</v>
      </c>
      <c r="AHE1" s="1" t="s">
        <v>810</v>
      </c>
      <c r="AHF1" s="1" t="s">
        <v>811</v>
      </c>
      <c r="AHG1" s="1" t="s">
        <v>812</v>
      </c>
      <c r="AHH1" s="1" t="s">
        <v>813</v>
      </c>
      <c r="AHI1" s="1" t="s">
        <v>814</v>
      </c>
      <c r="AHJ1" s="1" t="s">
        <v>815</v>
      </c>
      <c r="AHK1" s="1" t="s">
        <v>816</v>
      </c>
      <c r="AHL1" s="1" t="s">
        <v>817</v>
      </c>
      <c r="AHM1" s="1" t="s">
        <v>818</v>
      </c>
      <c r="AHN1" s="1" t="s">
        <v>819</v>
      </c>
      <c r="AHO1" s="1" t="s">
        <v>820</v>
      </c>
      <c r="AHP1" s="1" t="s">
        <v>821</v>
      </c>
      <c r="AHQ1" s="1" t="s">
        <v>822</v>
      </c>
      <c r="AHR1" s="1" t="s">
        <v>823</v>
      </c>
      <c r="AHS1" s="1" t="s">
        <v>824</v>
      </c>
      <c r="AHT1" s="1" t="s">
        <v>825</v>
      </c>
      <c r="AHU1" s="1" t="s">
        <v>826</v>
      </c>
      <c r="AHV1" s="1" t="s">
        <v>827</v>
      </c>
      <c r="AHW1" s="1" t="s">
        <v>828</v>
      </c>
      <c r="AHX1" s="1" t="s">
        <v>829</v>
      </c>
      <c r="AHY1" s="1" t="s">
        <v>830</v>
      </c>
      <c r="AHZ1" s="1" t="s">
        <v>831</v>
      </c>
      <c r="AIA1" s="1" t="s">
        <v>832</v>
      </c>
      <c r="AIB1" s="1" t="s">
        <v>833</v>
      </c>
      <c r="AIC1" s="1" t="s">
        <v>834</v>
      </c>
      <c r="AID1" s="1" t="s">
        <v>835</v>
      </c>
      <c r="AIE1" s="1" t="s">
        <v>836</v>
      </c>
      <c r="AIF1" s="56" t="s">
        <v>837</v>
      </c>
      <c r="AIG1" s="1" t="s">
        <v>838</v>
      </c>
      <c r="AIH1" s="1" t="s">
        <v>839</v>
      </c>
      <c r="AII1" s="1" t="s">
        <v>840</v>
      </c>
      <c r="AIJ1" s="1" t="s">
        <v>841</v>
      </c>
      <c r="AIK1" s="1" t="s">
        <v>842</v>
      </c>
      <c r="AIL1" s="1" t="s">
        <v>843</v>
      </c>
      <c r="AIM1" s="1" t="s">
        <v>844</v>
      </c>
      <c r="AIN1" s="1" t="s">
        <v>845</v>
      </c>
      <c r="AIO1" s="1" t="s">
        <v>846</v>
      </c>
      <c r="AIP1" s="1" t="s">
        <v>847</v>
      </c>
      <c r="AIQ1" s="1" t="s">
        <v>848</v>
      </c>
      <c r="AIR1" s="1" t="s">
        <v>849</v>
      </c>
      <c r="AIS1" s="56" t="s">
        <v>1783</v>
      </c>
      <c r="AIT1" s="1" t="s">
        <v>850</v>
      </c>
      <c r="AIU1" s="1" t="s">
        <v>851</v>
      </c>
      <c r="AIV1" s="1" t="s">
        <v>852</v>
      </c>
      <c r="AIW1" s="1" t="s">
        <v>853</v>
      </c>
      <c r="AIX1" s="1" t="s">
        <v>1596</v>
      </c>
      <c r="AIY1" s="1" t="s">
        <v>854</v>
      </c>
      <c r="AIZ1" s="1" t="s">
        <v>855</v>
      </c>
      <c r="AJA1" s="1" t="s">
        <v>856</v>
      </c>
      <c r="AJB1" s="1" t="s">
        <v>857</v>
      </c>
      <c r="AJC1" s="1" t="s">
        <v>858</v>
      </c>
      <c r="AJD1" s="1" t="s">
        <v>859</v>
      </c>
      <c r="AJE1" s="1" t="s">
        <v>860</v>
      </c>
      <c r="AJF1" s="1" t="s">
        <v>861</v>
      </c>
      <c r="AJG1" s="1" t="s">
        <v>862</v>
      </c>
      <c r="AJH1" s="1" t="s">
        <v>863</v>
      </c>
      <c r="AJI1" s="1" t="s">
        <v>864</v>
      </c>
      <c r="AJJ1" s="1" t="s">
        <v>865</v>
      </c>
      <c r="AJK1" s="1" t="s">
        <v>866</v>
      </c>
      <c r="AJL1" s="1" t="s">
        <v>867</v>
      </c>
      <c r="AJM1" s="1" t="s">
        <v>868</v>
      </c>
      <c r="AJN1" s="1" t="s">
        <v>869</v>
      </c>
      <c r="AJO1" s="1" t="s">
        <v>870</v>
      </c>
      <c r="AJP1" s="1" t="s">
        <v>871</v>
      </c>
      <c r="AJQ1" s="1" t="s">
        <v>872</v>
      </c>
      <c r="AJR1" s="1" t="s">
        <v>873</v>
      </c>
      <c r="AJS1" s="1" t="s">
        <v>874</v>
      </c>
      <c r="AJT1" s="1" t="s">
        <v>875</v>
      </c>
      <c r="AJU1" s="1" t="s">
        <v>876</v>
      </c>
      <c r="AJV1" s="1" t="s">
        <v>877</v>
      </c>
      <c r="AJW1" s="1" t="s">
        <v>878</v>
      </c>
      <c r="AJX1" s="1" t="s">
        <v>879</v>
      </c>
      <c r="AJY1" s="1" t="s">
        <v>880</v>
      </c>
      <c r="AJZ1" s="1" t="s">
        <v>881</v>
      </c>
      <c r="AKA1" s="1" t="s">
        <v>882</v>
      </c>
      <c r="AKB1" s="1" t="s">
        <v>883</v>
      </c>
      <c r="AKC1" s="1" t="s">
        <v>884</v>
      </c>
      <c r="AKD1" s="1" t="s">
        <v>885</v>
      </c>
      <c r="AKE1" s="1" t="s">
        <v>886</v>
      </c>
      <c r="AKF1" s="1" t="s">
        <v>887</v>
      </c>
      <c r="AKG1" s="1" t="s">
        <v>888</v>
      </c>
      <c r="AKH1" s="1" t="s">
        <v>889</v>
      </c>
      <c r="AKI1" s="1" t="s">
        <v>890</v>
      </c>
      <c r="AKJ1" s="1" t="s">
        <v>891</v>
      </c>
      <c r="AKK1" s="1" t="s">
        <v>892</v>
      </c>
      <c r="AKL1" s="1" t="s">
        <v>893</v>
      </c>
      <c r="AKM1" s="1" t="s">
        <v>894</v>
      </c>
      <c r="AKN1" s="1" t="s">
        <v>895</v>
      </c>
      <c r="AKO1" s="1" t="s">
        <v>896</v>
      </c>
      <c r="AKP1" s="1" t="s">
        <v>897</v>
      </c>
      <c r="AKQ1" s="1" t="s">
        <v>898</v>
      </c>
      <c r="AKR1" s="1" t="s">
        <v>899</v>
      </c>
      <c r="AKS1" s="1" t="s">
        <v>900</v>
      </c>
      <c r="AKT1" s="1" t="s">
        <v>1597</v>
      </c>
      <c r="AKU1" s="1" t="s">
        <v>911</v>
      </c>
      <c r="AKV1" s="1" t="s">
        <v>912</v>
      </c>
      <c r="AKW1" s="1" t="s">
        <v>913</v>
      </c>
      <c r="AKX1" s="1" t="s">
        <v>914</v>
      </c>
      <c r="AKY1" s="1" t="s">
        <v>915</v>
      </c>
      <c r="AKZ1" s="1" t="s">
        <v>916</v>
      </c>
      <c r="ALA1" s="1" t="s">
        <v>917</v>
      </c>
      <c r="ALB1" s="1" t="s">
        <v>918</v>
      </c>
      <c r="ALC1" s="1" t="s">
        <v>919</v>
      </c>
      <c r="ALD1" s="1" t="s">
        <v>920</v>
      </c>
      <c r="ALE1" s="1" t="s">
        <v>1598</v>
      </c>
      <c r="ALF1" s="1" t="s">
        <v>936</v>
      </c>
      <c r="ALG1" s="1" t="s">
        <v>937</v>
      </c>
      <c r="ALH1" s="1" t="s">
        <v>938</v>
      </c>
      <c r="ALI1" s="1" t="s">
        <v>939</v>
      </c>
      <c r="ALJ1" s="1" t="s">
        <v>940</v>
      </c>
      <c r="ALK1" s="1" t="s">
        <v>941</v>
      </c>
      <c r="ALL1" s="1" t="s">
        <v>942</v>
      </c>
      <c r="ALM1" s="1" t="s">
        <v>943</v>
      </c>
      <c r="ALN1" s="1" t="s">
        <v>901</v>
      </c>
      <c r="ALO1" s="1" t="s">
        <v>902</v>
      </c>
      <c r="ALP1" s="1" t="s">
        <v>903</v>
      </c>
      <c r="ALQ1" s="1" t="s">
        <v>904</v>
      </c>
      <c r="ALR1" s="1" t="s">
        <v>905</v>
      </c>
      <c r="ALS1" s="1" t="s">
        <v>906</v>
      </c>
      <c r="ALT1" s="1" t="s">
        <v>907</v>
      </c>
      <c r="ALU1" s="1" t="s">
        <v>908</v>
      </c>
      <c r="ALV1" s="1" t="s">
        <v>909</v>
      </c>
      <c r="ALW1" s="1" t="s">
        <v>910</v>
      </c>
      <c r="ALX1" s="1" t="s">
        <v>921</v>
      </c>
      <c r="ALY1" s="1" t="s">
        <v>922</v>
      </c>
      <c r="ALZ1" s="1" t="s">
        <v>923</v>
      </c>
      <c r="AMA1" s="1" t="s">
        <v>924</v>
      </c>
      <c r="AMB1" s="1" t="s">
        <v>925</v>
      </c>
      <c r="AMC1" s="1" t="s">
        <v>926</v>
      </c>
      <c r="AMD1" s="1" t="s">
        <v>927</v>
      </c>
      <c r="AME1" s="1" t="s">
        <v>928</v>
      </c>
      <c r="AMF1" s="1" t="s">
        <v>929</v>
      </c>
      <c r="AMG1" s="1" t="s">
        <v>930</v>
      </c>
      <c r="AMH1" s="1" t="s">
        <v>931</v>
      </c>
      <c r="AMI1" s="1" t="s">
        <v>932</v>
      </c>
      <c r="AMJ1" s="1" t="s">
        <v>933</v>
      </c>
      <c r="AMK1" s="1" t="s">
        <v>934</v>
      </c>
      <c r="AML1" s="1" t="s">
        <v>935</v>
      </c>
      <c r="AMM1" s="1" t="s">
        <v>944</v>
      </c>
      <c r="AMN1" s="1" t="s">
        <v>945</v>
      </c>
      <c r="AMO1" s="1" t="s">
        <v>946</v>
      </c>
      <c r="AMP1" s="1" t="s">
        <v>947</v>
      </c>
      <c r="AMQ1" s="1" t="s">
        <v>948</v>
      </c>
      <c r="AMR1" s="1" t="s">
        <v>949</v>
      </c>
      <c r="AMS1" s="1" t="s">
        <v>950</v>
      </c>
      <c r="AMT1" s="1" t="s">
        <v>951</v>
      </c>
      <c r="AMU1" s="1" t="s">
        <v>952</v>
      </c>
      <c r="AMV1" s="1" t="s">
        <v>953</v>
      </c>
      <c r="AMW1" s="1" t="s">
        <v>954</v>
      </c>
      <c r="AMX1" s="1" t="s">
        <v>955</v>
      </c>
      <c r="AMY1" s="1" t="s">
        <v>956</v>
      </c>
      <c r="AMZ1" s="1" t="s">
        <v>957</v>
      </c>
      <c r="ANA1" s="1" t="s">
        <v>958</v>
      </c>
      <c r="ANB1" s="1" t="s">
        <v>959</v>
      </c>
      <c r="ANC1" s="1" t="s">
        <v>960</v>
      </c>
      <c r="AND1" s="1" t="s">
        <v>961</v>
      </c>
      <c r="ANE1" s="1" t="s">
        <v>962</v>
      </c>
      <c r="ANF1" s="1" t="s">
        <v>963</v>
      </c>
      <c r="ANG1" s="1" t="s">
        <v>964</v>
      </c>
      <c r="ANH1" s="1" t="s">
        <v>965</v>
      </c>
      <c r="ANI1" s="1" t="s">
        <v>966</v>
      </c>
      <c r="ANJ1" s="1" t="s">
        <v>967</v>
      </c>
      <c r="ANK1" s="1" t="s">
        <v>968</v>
      </c>
      <c r="ANL1" s="1" t="s">
        <v>969</v>
      </c>
      <c r="ANM1" s="1" t="s">
        <v>970</v>
      </c>
      <c r="ANN1" s="1" t="s">
        <v>971</v>
      </c>
      <c r="ANO1" s="1" t="s">
        <v>972</v>
      </c>
      <c r="ANP1" s="56" t="s">
        <v>973</v>
      </c>
      <c r="ANQ1" s="1" t="s">
        <v>974</v>
      </c>
      <c r="ANR1" s="1" t="s">
        <v>975</v>
      </c>
      <c r="ANS1" s="1" t="s">
        <v>976</v>
      </c>
      <c r="ANT1" s="1" t="s">
        <v>977</v>
      </c>
      <c r="ANU1" s="1" t="s">
        <v>978</v>
      </c>
      <c r="ANV1" s="1" t="s">
        <v>1599</v>
      </c>
      <c r="ANW1" s="1" t="s">
        <v>979</v>
      </c>
      <c r="ANX1" s="1" t="s">
        <v>980</v>
      </c>
      <c r="ANY1" s="1" t="s">
        <v>981</v>
      </c>
      <c r="ANZ1" s="1" t="s">
        <v>982</v>
      </c>
      <c r="AOA1" s="1" t="s">
        <v>983</v>
      </c>
      <c r="AOB1" s="1" t="s">
        <v>984</v>
      </c>
      <c r="AOC1" s="1" t="s">
        <v>985</v>
      </c>
      <c r="AOD1" s="1" t="s">
        <v>986</v>
      </c>
      <c r="AOE1" s="1" t="s">
        <v>987</v>
      </c>
      <c r="AOF1" s="1" t="s">
        <v>988</v>
      </c>
      <c r="AOG1" s="1" t="s">
        <v>989</v>
      </c>
      <c r="AOH1" s="1" t="s">
        <v>990</v>
      </c>
      <c r="AOI1" s="1" t="s">
        <v>991</v>
      </c>
      <c r="AOJ1" s="1" t="s">
        <v>992</v>
      </c>
      <c r="AOK1" s="1" t="s">
        <v>993</v>
      </c>
      <c r="AOL1" s="1" t="s">
        <v>994</v>
      </c>
      <c r="AOM1" s="1" t="s">
        <v>995</v>
      </c>
      <c r="AON1" s="1" t="s">
        <v>996</v>
      </c>
      <c r="AOO1" s="1" t="s">
        <v>997</v>
      </c>
      <c r="AOP1" s="1" t="s">
        <v>998</v>
      </c>
      <c r="AOQ1" s="1" t="s">
        <v>999</v>
      </c>
      <c r="AOR1" s="1" t="s">
        <v>1000</v>
      </c>
      <c r="AOS1" s="1" t="s">
        <v>1001</v>
      </c>
      <c r="AOT1" s="1" t="s">
        <v>1002</v>
      </c>
      <c r="AOU1" s="1" t="s">
        <v>1003</v>
      </c>
      <c r="AOV1" s="1" t="s">
        <v>1004</v>
      </c>
      <c r="AOW1" s="1" t="s">
        <v>1005</v>
      </c>
      <c r="AOX1" s="1" t="s">
        <v>1006</v>
      </c>
      <c r="AOY1" s="1" t="s">
        <v>1007</v>
      </c>
      <c r="AOZ1" s="1" t="s">
        <v>1008</v>
      </c>
      <c r="APA1" s="1" t="s">
        <v>1009</v>
      </c>
      <c r="APB1" s="1" t="s">
        <v>1010</v>
      </c>
      <c r="APC1" s="1" t="s">
        <v>1011</v>
      </c>
      <c r="APD1" s="1" t="s">
        <v>1012</v>
      </c>
      <c r="APE1" s="1" t="s">
        <v>1013</v>
      </c>
      <c r="APF1" s="1" t="s">
        <v>1014</v>
      </c>
      <c r="APG1" s="1" t="s">
        <v>1015</v>
      </c>
      <c r="APH1" s="1" t="s">
        <v>1016</v>
      </c>
      <c r="API1" s="1" t="s">
        <v>1017</v>
      </c>
      <c r="APJ1" s="1" t="s">
        <v>1018</v>
      </c>
      <c r="APK1" s="1" t="s">
        <v>1019</v>
      </c>
      <c r="APL1" s="1" t="s">
        <v>1020</v>
      </c>
      <c r="APM1" s="1" t="s">
        <v>1021</v>
      </c>
      <c r="APN1" s="1" t="s">
        <v>1022</v>
      </c>
      <c r="APO1" s="1" t="s">
        <v>1023</v>
      </c>
      <c r="APP1" s="1" t="s">
        <v>1024</v>
      </c>
      <c r="APQ1" s="1" t="s">
        <v>1025</v>
      </c>
      <c r="APR1" s="1" t="s">
        <v>1026</v>
      </c>
      <c r="APS1" s="1" t="s">
        <v>1027</v>
      </c>
      <c r="APT1" s="1" t="s">
        <v>1028</v>
      </c>
      <c r="APU1" s="1" t="s">
        <v>1029</v>
      </c>
      <c r="APV1" s="1" t="s">
        <v>1030</v>
      </c>
      <c r="APW1" s="1" t="s">
        <v>1031</v>
      </c>
      <c r="APX1" s="1" t="s">
        <v>1032</v>
      </c>
      <c r="APY1" s="1" t="s">
        <v>1033</v>
      </c>
      <c r="APZ1" s="1" t="s">
        <v>1600</v>
      </c>
      <c r="AQA1" s="1" t="s">
        <v>1601</v>
      </c>
      <c r="AQB1" s="1" t="s">
        <v>1602</v>
      </c>
      <c r="AQC1" s="1" t="s">
        <v>1603</v>
      </c>
      <c r="AQD1" s="1" t="s">
        <v>1604</v>
      </c>
      <c r="AQE1" s="1" t="s">
        <v>1605</v>
      </c>
      <c r="AQF1" s="1" t="s">
        <v>1606</v>
      </c>
      <c r="AQG1" s="1" t="s">
        <v>1607</v>
      </c>
      <c r="AQH1" s="1" t="s">
        <v>1608</v>
      </c>
      <c r="AQI1" s="1" t="s">
        <v>1609</v>
      </c>
      <c r="AQJ1" s="1" t="s">
        <v>1610</v>
      </c>
      <c r="AQK1" s="1" t="s">
        <v>1611</v>
      </c>
      <c r="AQL1" s="1" t="s">
        <v>1612</v>
      </c>
      <c r="AQM1" s="1" t="s">
        <v>1613</v>
      </c>
      <c r="AQN1" s="1" t="s">
        <v>1614</v>
      </c>
      <c r="AQO1" s="1" t="s">
        <v>1615</v>
      </c>
      <c r="AQP1" s="1" t="s">
        <v>1616</v>
      </c>
      <c r="AQQ1" s="1" t="s">
        <v>1617</v>
      </c>
      <c r="AQR1" s="1" t="s">
        <v>1618</v>
      </c>
      <c r="AQS1" s="1" t="s">
        <v>1619</v>
      </c>
      <c r="AQT1" s="1" t="s">
        <v>1620</v>
      </c>
      <c r="AQU1" s="1" t="s">
        <v>1621</v>
      </c>
      <c r="AQV1" s="1" t="s">
        <v>1622</v>
      </c>
      <c r="AQW1" s="1" t="s">
        <v>1623</v>
      </c>
      <c r="AQX1" s="1" t="s">
        <v>1624</v>
      </c>
      <c r="AQY1" s="1" t="s">
        <v>1625</v>
      </c>
      <c r="AQZ1" s="1" t="s">
        <v>1626</v>
      </c>
      <c r="ARA1" s="1" t="s">
        <v>1627</v>
      </c>
      <c r="ARB1" s="1" t="s">
        <v>1628</v>
      </c>
      <c r="ARC1" s="1" t="s">
        <v>1629</v>
      </c>
      <c r="ARD1" s="2" t="s">
        <v>1630</v>
      </c>
      <c r="ARE1" s="1" t="s">
        <v>1631</v>
      </c>
      <c r="ARF1" s="1" t="s">
        <v>1632</v>
      </c>
      <c r="ARG1" s="1" t="s">
        <v>1034</v>
      </c>
      <c r="ARH1" s="1" t="s">
        <v>1035</v>
      </c>
      <c r="ARI1" s="1" t="s">
        <v>1036</v>
      </c>
      <c r="ARJ1" s="1" t="s">
        <v>1037</v>
      </c>
      <c r="ARK1" s="56" t="s">
        <v>1038</v>
      </c>
      <c r="ARL1" s="1" t="s">
        <v>1039</v>
      </c>
      <c r="ARM1" s="1" t="s">
        <v>1040</v>
      </c>
      <c r="ARN1" s="1" t="s">
        <v>1041</v>
      </c>
      <c r="ARO1" s="1" t="s">
        <v>1042</v>
      </c>
      <c r="ARP1" s="1" t="s">
        <v>1043</v>
      </c>
      <c r="ARQ1" s="1" t="s">
        <v>1633</v>
      </c>
      <c r="ARR1" s="1" t="s">
        <v>1634</v>
      </c>
      <c r="ARS1" s="1" t="s">
        <v>1635</v>
      </c>
      <c r="ART1" s="1" t="s">
        <v>1044</v>
      </c>
      <c r="ARU1" s="1" t="s">
        <v>1045</v>
      </c>
      <c r="ARV1" s="1" t="s">
        <v>1046</v>
      </c>
      <c r="ARW1" s="1" t="s">
        <v>1047</v>
      </c>
      <c r="ARX1" s="1" t="s">
        <v>1048</v>
      </c>
      <c r="ARY1" s="1" t="s">
        <v>1049</v>
      </c>
      <c r="ARZ1" s="1" t="s">
        <v>1050</v>
      </c>
      <c r="ASA1" s="1" t="s">
        <v>1051</v>
      </c>
      <c r="ASB1" s="1" t="s">
        <v>1052</v>
      </c>
      <c r="ASC1" s="1" t="s">
        <v>1053</v>
      </c>
      <c r="ASD1" s="1" t="s">
        <v>1054</v>
      </c>
      <c r="ASE1" s="1" t="s">
        <v>1055</v>
      </c>
      <c r="ASF1" s="1" t="s">
        <v>1056</v>
      </c>
      <c r="ASG1" s="1" t="s">
        <v>1057</v>
      </c>
      <c r="ASH1" s="1" t="s">
        <v>1058</v>
      </c>
      <c r="ASI1" s="1" t="s">
        <v>1059</v>
      </c>
      <c r="ASJ1" s="1" t="s">
        <v>1060</v>
      </c>
      <c r="ASK1" s="1" t="s">
        <v>1061</v>
      </c>
      <c r="ASL1" s="1" t="s">
        <v>1062</v>
      </c>
      <c r="ASM1" s="1" t="s">
        <v>1063</v>
      </c>
      <c r="ASN1" s="1" t="s">
        <v>1064</v>
      </c>
      <c r="ASO1" s="1" t="s">
        <v>1065</v>
      </c>
      <c r="ASP1" s="1" t="s">
        <v>1066</v>
      </c>
      <c r="ASQ1" s="1" t="s">
        <v>1067</v>
      </c>
      <c r="ASR1" s="1" t="s">
        <v>1068</v>
      </c>
      <c r="ASS1" s="1" t="s">
        <v>1069</v>
      </c>
      <c r="AST1" s="1" t="s">
        <v>1070</v>
      </c>
      <c r="ASU1" s="1" t="s">
        <v>1071</v>
      </c>
      <c r="ASV1" s="1" t="s">
        <v>1072</v>
      </c>
      <c r="ASW1" s="1" t="s">
        <v>1073</v>
      </c>
      <c r="ASX1" s="1" t="s">
        <v>1074</v>
      </c>
      <c r="ASY1" s="1" t="s">
        <v>1075</v>
      </c>
      <c r="ASZ1" s="1" t="s">
        <v>1076</v>
      </c>
      <c r="ATA1" s="1" t="s">
        <v>1077</v>
      </c>
      <c r="ATB1" s="1" t="s">
        <v>1078</v>
      </c>
      <c r="ATC1" s="1" t="s">
        <v>1079</v>
      </c>
      <c r="ATD1" s="1" t="s">
        <v>1080</v>
      </c>
      <c r="ATE1" s="1" t="s">
        <v>1081</v>
      </c>
      <c r="ATF1" s="1" t="s">
        <v>1082</v>
      </c>
      <c r="ATG1" s="1" t="s">
        <v>1083</v>
      </c>
      <c r="ATH1" s="1" t="s">
        <v>1636</v>
      </c>
      <c r="ATI1" s="1" t="s">
        <v>1084</v>
      </c>
      <c r="ATJ1" s="1" t="s">
        <v>1085</v>
      </c>
      <c r="ATK1" s="1" t="s">
        <v>1086</v>
      </c>
      <c r="ATL1" s="1" t="s">
        <v>1087</v>
      </c>
      <c r="ATM1" s="1" t="s">
        <v>1088</v>
      </c>
      <c r="ATN1" s="1" t="s">
        <v>1089</v>
      </c>
      <c r="ATO1" s="1" t="s">
        <v>1090</v>
      </c>
      <c r="ATP1" s="1" t="s">
        <v>1091</v>
      </c>
      <c r="ATQ1" s="1" t="s">
        <v>1092</v>
      </c>
      <c r="ATR1" s="1" t="s">
        <v>1093</v>
      </c>
      <c r="ATS1" s="1" t="s">
        <v>1094</v>
      </c>
      <c r="ATT1" s="1" t="s">
        <v>1095</v>
      </c>
      <c r="ATU1" s="1" t="s">
        <v>1096</v>
      </c>
      <c r="ATV1" s="1" t="s">
        <v>1097</v>
      </c>
      <c r="ATW1" s="1" t="s">
        <v>1098</v>
      </c>
      <c r="ATX1" s="1" t="s">
        <v>1099</v>
      </c>
      <c r="ATY1" s="1" t="s">
        <v>1100</v>
      </c>
      <c r="ATZ1" s="1" t="s">
        <v>1101</v>
      </c>
      <c r="AUA1" s="1" t="s">
        <v>1102</v>
      </c>
      <c r="AUB1" s="1" t="s">
        <v>1103</v>
      </c>
      <c r="AUC1" s="1" t="s">
        <v>1104</v>
      </c>
      <c r="AUD1" s="1" t="s">
        <v>1105</v>
      </c>
      <c r="AUE1" s="1" t="s">
        <v>1106</v>
      </c>
      <c r="AUF1" s="1" t="s">
        <v>1107</v>
      </c>
      <c r="AUG1" s="1" t="s">
        <v>1108</v>
      </c>
      <c r="AUH1" s="1" t="s">
        <v>1109</v>
      </c>
      <c r="AUI1" s="1" t="s">
        <v>1110</v>
      </c>
      <c r="AUJ1" s="1" t="s">
        <v>1111</v>
      </c>
      <c r="AUK1" s="1" t="s">
        <v>1112</v>
      </c>
      <c r="AUL1" s="1" t="s">
        <v>1113</v>
      </c>
      <c r="AUM1" s="1" t="s">
        <v>1114</v>
      </c>
      <c r="AUN1" s="1" t="s">
        <v>1115</v>
      </c>
      <c r="AUO1" s="1" t="s">
        <v>1116</v>
      </c>
      <c r="AUP1" s="1" t="s">
        <v>1117</v>
      </c>
      <c r="AUQ1" s="1" t="s">
        <v>1118</v>
      </c>
      <c r="AUR1" s="1" t="s">
        <v>1119</v>
      </c>
      <c r="AUS1" s="1" t="s">
        <v>1120</v>
      </c>
      <c r="AUT1" s="1" t="s">
        <v>1121</v>
      </c>
      <c r="AUU1" s="1" t="s">
        <v>1122</v>
      </c>
      <c r="AUV1" s="1" t="s">
        <v>1123</v>
      </c>
      <c r="AUW1" s="1" t="s">
        <v>1124</v>
      </c>
      <c r="AUX1" s="1" t="s">
        <v>1125</v>
      </c>
      <c r="AUY1" s="1" t="s">
        <v>1126</v>
      </c>
      <c r="AUZ1" s="1" t="s">
        <v>1127</v>
      </c>
      <c r="AVA1" s="1" t="s">
        <v>1128</v>
      </c>
      <c r="AVB1" s="1" t="s">
        <v>1129</v>
      </c>
      <c r="AVC1" s="1" t="s">
        <v>1130</v>
      </c>
      <c r="AVD1" s="1" t="s">
        <v>1131</v>
      </c>
      <c r="AVE1" s="1" t="s">
        <v>1132</v>
      </c>
      <c r="AVF1" s="1" t="s">
        <v>1133</v>
      </c>
      <c r="AVG1" s="1" t="s">
        <v>1134</v>
      </c>
      <c r="AVH1" s="1" t="s">
        <v>1135</v>
      </c>
      <c r="AVI1" s="1" t="s">
        <v>1136</v>
      </c>
      <c r="AVJ1" s="1" t="s">
        <v>1137</v>
      </c>
      <c r="AVK1" s="1" t="s">
        <v>1138</v>
      </c>
      <c r="AVL1" s="1" t="s">
        <v>1139</v>
      </c>
      <c r="AVM1" s="1" t="s">
        <v>1140</v>
      </c>
      <c r="AVN1" s="1" t="s">
        <v>1141</v>
      </c>
      <c r="AVO1" s="1" t="s">
        <v>1142</v>
      </c>
      <c r="AVP1" s="1" t="s">
        <v>1143</v>
      </c>
      <c r="AVQ1" s="1" t="s">
        <v>1144</v>
      </c>
      <c r="AVR1" s="56" t="s">
        <v>1145</v>
      </c>
      <c r="AVS1" s="1" t="s">
        <v>1147</v>
      </c>
      <c r="AVT1" s="1" t="s">
        <v>1149</v>
      </c>
      <c r="AVU1" s="1" t="s">
        <v>1150</v>
      </c>
      <c r="AVV1" s="1" t="s">
        <v>1151</v>
      </c>
    </row>
    <row r="2" spans="1:1270" x14ac:dyDescent="0.3">
      <c r="A2" s="1" t="s">
        <v>2321</v>
      </c>
      <c r="B2" s="1" t="s">
        <v>2322</v>
      </c>
      <c r="C2" s="1" t="s">
        <v>2323</v>
      </c>
      <c r="D2" s="1" t="s">
        <v>2324</v>
      </c>
      <c r="E2" s="1" t="s">
        <v>2211</v>
      </c>
      <c r="F2" s="1" t="s">
        <v>2324</v>
      </c>
      <c r="I2" s="1" t="s">
        <v>2080</v>
      </c>
      <c r="J2" s="1" t="s">
        <v>2325</v>
      </c>
      <c r="K2" s="1" t="s">
        <v>2325</v>
      </c>
      <c r="N2" s="1" t="s">
        <v>1152</v>
      </c>
      <c r="O2" s="2">
        <v>1</v>
      </c>
      <c r="P2" s="2">
        <v>0</v>
      </c>
      <c r="Q2" s="2">
        <v>0</v>
      </c>
      <c r="R2" s="2">
        <v>0</v>
      </c>
      <c r="S2" s="2">
        <v>0</v>
      </c>
      <c r="U2" s="1" t="s">
        <v>1885</v>
      </c>
      <c r="W2" s="1" t="s">
        <v>1154</v>
      </c>
      <c r="X2" s="1" t="s">
        <v>1155</v>
      </c>
      <c r="AN2" s="1" t="s">
        <v>1179</v>
      </c>
      <c r="AO2" s="2">
        <v>100</v>
      </c>
      <c r="AP2" s="1" t="s">
        <v>1957</v>
      </c>
      <c r="AR2" s="1" t="s">
        <v>1642</v>
      </c>
      <c r="AS2" s="1" t="s">
        <v>1653</v>
      </c>
      <c r="AT2" s="1" t="s">
        <v>1154</v>
      </c>
      <c r="BO2" s="1" t="s">
        <v>1959</v>
      </c>
      <c r="BP2" s="2">
        <v>0</v>
      </c>
      <c r="BQ2" s="2">
        <v>0</v>
      </c>
      <c r="BR2" s="2">
        <v>0</v>
      </c>
      <c r="BS2" s="2">
        <v>1</v>
      </c>
      <c r="BT2" s="2">
        <v>0</v>
      </c>
      <c r="BU2" s="2">
        <v>0</v>
      </c>
      <c r="BV2" s="2">
        <v>0</v>
      </c>
      <c r="BW2" s="2">
        <v>0</v>
      </c>
      <c r="BX2" s="2">
        <v>0</v>
      </c>
      <c r="BY2" s="2">
        <v>0</v>
      </c>
      <c r="BZ2" s="2">
        <v>0</v>
      </c>
      <c r="CA2" s="2">
        <v>0</v>
      </c>
      <c r="CC2" s="1" t="s">
        <v>1154</v>
      </c>
      <c r="DQ2" s="1" t="s">
        <v>1163</v>
      </c>
      <c r="DR2" s="2">
        <v>0</v>
      </c>
      <c r="DS2" s="2">
        <v>0</v>
      </c>
      <c r="DT2" s="2">
        <v>0</v>
      </c>
      <c r="DU2" s="2">
        <v>0</v>
      </c>
      <c r="DV2" s="2">
        <v>1</v>
      </c>
      <c r="DX2" s="1" t="s">
        <v>2326</v>
      </c>
      <c r="DY2" s="2">
        <v>1</v>
      </c>
      <c r="DZ2" s="2">
        <v>1</v>
      </c>
      <c r="EA2" s="2">
        <v>0</v>
      </c>
      <c r="EB2" s="2">
        <v>0</v>
      </c>
      <c r="EC2" s="2">
        <v>0</v>
      </c>
      <c r="ED2" s="2">
        <v>0</v>
      </c>
      <c r="EE2" s="2">
        <v>0</v>
      </c>
      <c r="EF2" s="2">
        <v>0</v>
      </c>
      <c r="EG2" s="2">
        <v>0</v>
      </c>
      <c r="EH2" s="2">
        <v>0</v>
      </c>
      <c r="EI2" s="2">
        <v>0</v>
      </c>
      <c r="EJ2" s="2">
        <v>0</v>
      </c>
      <c r="EK2" s="2">
        <v>0</v>
      </c>
      <c r="EM2" s="1" t="s">
        <v>1163</v>
      </c>
      <c r="EN2" s="2">
        <v>0</v>
      </c>
      <c r="EO2" s="2">
        <v>0</v>
      </c>
      <c r="EP2" s="2">
        <v>0</v>
      </c>
      <c r="EQ2" s="2">
        <v>0</v>
      </c>
      <c r="ER2" s="2">
        <v>0</v>
      </c>
      <c r="ES2" s="2">
        <v>0</v>
      </c>
      <c r="ET2" s="2">
        <v>0</v>
      </c>
      <c r="EU2" s="2">
        <v>0</v>
      </c>
      <c r="EV2" s="2">
        <v>0</v>
      </c>
      <c r="EW2" s="2">
        <v>1</v>
      </c>
      <c r="EX2" s="2">
        <v>0</v>
      </c>
      <c r="EY2" s="2">
        <v>0</v>
      </c>
      <c r="EZ2" s="2">
        <v>0</v>
      </c>
      <c r="FB2" s="1" t="s">
        <v>1154</v>
      </c>
      <c r="GI2" s="1" t="s">
        <v>2327</v>
      </c>
      <c r="GJ2" s="2">
        <v>0</v>
      </c>
      <c r="GK2" s="2">
        <v>1</v>
      </c>
      <c r="GL2" s="2">
        <v>1</v>
      </c>
      <c r="GM2" s="2">
        <v>0</v>
      </c>
      <c r="GN2" s="2">
        <v>0</v>
      </c>
      <c r="GO2" s="2">
        <v>0</v>
      </c>
      <c r="GP2" s="2">
        <v>0</v>
      </c>
      <c r="GQ2" s="2">
        <v>0</v>
      </c>
      <c r="GR2" s="2">
        <v>0</v>
      </c>
      <c r="GS2" s="2">
        <v>0</v>
      </c>
      <c r="GT2" s="2">
        <v>0</v>
      </c>
      <c r="GU2" s="2">
        <v>0</v>
      </c>
      <c r="GV2" s="2">
        <v>0</v>
      </c>
      <c r="AVS2" s="1">
        <v>134776030</v>
      </c>
      <c r="AVT2" s="1" t="s">
        <v>2328</v>
      </c>
      <c r="AVV2" s="1">
        <v>91</v>
      </c>
    </row>
    <row r="3" spans="1:1270" x14ac:dyDescent="0.3">
      <c r="A3" s="1" t="s">
        <v>2329</v>
      </c>
      <c r="B3" s="1" t="s">
        <v>2330</v>
      </c>
      <c r="C3" s="1" t="s">
        <v>2331</v>
      </c>
      <c r="D3" s="1" t="s">
        <v>2324</v>
      </c>
      <c r="E3" s="1" t="s">
        <v>2211</v>
      </c>
      <c r="F3" s="1" t="s">
        <v>2324</v>
      </c>
      <c r="I3" s="1" t="s">
        <v>2080</v>
      </c>
      <c r="J3" s="1" t="s">
        <v>2325</v>
      </c>
      <c r="K3" s="1" t="s">
        <v>2325</v>
      </c>
      <c r="N3" s="1" t="s">
        <v>1152</v>
      </c>
      <c r="O3" s="2">
        <v>1</v>
      </c>
      <c r="P3" s="2">
        <v>0</v>
      </c>
      <c r="Q3" s="2">
        <v>0</v>
      </c>
      <c r="R3" s="2">
        <v>0</v>
      </c>
      <c r="S3" s="2">
        <v>0</v>
      </c>
      <c r="U3" s="1" t="s">
        <v>1654</v>
      </c>
      <c r="W3" s="1" t="s">
        <v>1155</v>
      </c>
      <c r="X3" s="1" t="s">
        <v>1155</v>
      </c>
      <c r="AN3" s="1" t="s">
        <v>1179</v>
      </c>
      <c r="AO3" s="2">
        <v>150</v>
      </c>
      <c r="AP3" s="1" t="s">
        <v>1871</v>
      </c>
      <c r="AR3" s="1" t="s">
        <v>1642</v>
      </c>
      <c r="AS3" s="1" t="s">
        <v>1655</v>
      </c>
      <c r="AT3" s="1" t="s">
        <v>1154</v>
      </c>
      <c r="BO3" s="1" t="s">
        <v>1157</v>
      </c>
      <c r="BP3" s="2">
        <v>0</v>
      </c>
      <c r="BQ3" s="2">
        <v>0</v>
      </c>
      <c r="BR3" s="2">
        <v>0</v>
      </c>
      <c r="BS3" s="2">
        <v>0</v>
      </c>
      <c r="BT3" s="2">
        <v>0</v>
      </c>
      <c r="BU3" s="2">
        <v>1</v>
      </c>
      <c r="BV3" s="2">
        <v>0</v>
      </c>
      <c r="BW3" s="2">
        <v>0</v>
      </c>
      <c r="BX3" s="2">
        <v>0</v>
      </c>
      <c r="BY3" s="2">
        <v>0</v>
      </c>
      <c r="BZ3" s="2">
        <v>0</v>
      </c>
      <c r="CA3" s="2">
        <v>0</v>
      </c>
      <c r="CC3" s="1" t="s">
        <v>1155</v>
      </c>
      <c r="CD3" s="1" t="s">
        <v>1387</v>
      </c>
      <c r="CF3" s="2">
        <v>100</v>
      </c>
      <c r="CG3" s="1" t="s">
        <v>1154</v>
      </c>
      <c r="CY3" s="1" t="s">
        <v>1158</v>
      </c>
      <c r="CZ3" s="2">
        <v>0</v>
      </c>
      <c r="DA3" s="2">
        <v>0</v>
      </c>
      <c r="DB3" s="2">
        <v>1</v>
      </c>
      <c r="DC3" s="2">
        <v>0</v>
      </c>
      <c r="DD3" s="2">
        <v>0</v>
      </c>
      <c r="DE3" s="2">
        <v>0</v>
      </c>
      <c r="DF3" s="2">
        <v>0</v>
      </c>
      <c r="DG3" s="2">
        <v>0</v>
      </c>
      <c r="DI3" s="1" t="s">
        <v>1155</v>
      </c>
      <c r="DJ3" s="1" t="s">
        <v>2224</v>
      </c>
      <c r="DK3" s="2">
        <v>0</v>
      </c>
      <c r="DL3" s="2">
        <v>1</v>
      </c>
      <c r="DM3" s="2">
        <v>0</v>
      </c>
      <c r="DN3" s="2">
        <v>0</v>
      </c>
      <c r="DO3" s="2">
        <v>0</v>
      </c>
      <c r="DQ3" s="1" t="s">
        <v>1167</v>
      </c>
      <c r="DR3" s="2">
        <v>0</v>
      </c>
      <c r="DS3" s="2">
        <v>1</v>
      </c>
      <c r="DT3" s="2">
        <v>0</v>
      </c>
      <c r="DU3" s="2">
        <v>0</v>
      </c>
      <c r="DV3" s="2">
        <v>0</v>
      </c>
      <c r="DX3" s="1" t="s">
        <v>1922</v>
      </c>
      <c r="DY3" s="2">
        <v>0</v>
      </c>
      <c r="DZ3" s="2">
        <v>1</v>
      </c>
      <c r="EA3" s="2">
        <v>0</v>
      </c>
      <c r="EB3" s="2">
        <v>0</v>
      </c>
      <c r="EC3" s="2">
        <v>0</v>
      </c>
      <c r="ED3" s="2">
        <v>0</v>
      </c>
      <c r="EE3" s="2">
        <v>0</v>
      </c>
      <c r="EF3" s="2">
        <v>0</v>
      </c>
      <c r="EG3" s="2">
        <v>0</v>
      </c>
      <c r="EH3" s="2">
        <v>0</v>
      </c>
      <c r="EI3" s="2">
        <v>0</v>
      </c>
      <c r="EJ3" s="2">
        <v>0</v>
      </c>
      <c r="EK3" s="2">
        <v>0</v>
      </c>
      <c r="EM3" s="1" t="s">
        <v>1189</v>
      </c>
      <c r="EN3" s="2">
        <v>0</v>
      </c>
      <c r="EO3" s="2">
        <v>0</v>
      </c>
      <c r="EP3" s="2">
        <v>0</v>
      </c>
      <c r="EQ3" s="2">
        <v>0</v>
      </c>
      <c r="ER3" s="2">
        <v>1</v>
      </c>
      <c r="ES3" s="2">
        <v>0</v>
      </c>
      <c r="ET3" s="2">
        <v>0</v>
      </c>
      <c r="EU3" s="2">
        <v>0</v>
      </c>
      <c r="EV3" s="2">
        <v>0</v>
      </c>
      <c r="EW3" s="2">
        <v>0</v>
      </c>
      <c r="EX3" s="2">
        <v>0</v>
      </c>
      <c r="EY3" s="2">
        <v>0</v>
      </c>
      <c r="EZ3" s="2">
        <v>0</v>
      </c>
      <c r="FB3" s="1" t="s">
        <v>1155</v>
      </c>
      <c r="FC3" s="1" t="s">
        <v>1157</v>
      </c>
      <c r="FD3" s="2">
        <v>0</v>
      </c>
      <c r="FE3" s="2">
        <v>0</v>
      </c>
      <c r="FF3" s="2">
        <v>0</v>
      </c>
      <c r="FG3" s="2">
        <v>0</v>
      </c>
      <c r="FH3" s="2">
        <v>1</v>
      </c>
      <c r="FI3" s="2">
        <v>0</v>
      </c>
      <c r="FJ3" s="2">
        <v>0</v>
      </c>
      <c r="FL3" s="1" t="s">
        <v>1191</v>
      </c>
      <c r="FM3" s="2">
        <v>0</v>
      </c>
      <c r="FN3" s="2">
        <v>1</v>
      </c>
      <c r="FO3" s="2">
        <v>0</v>
      </c>
      <c r="FP3" s="2">
        <v>0</v>
      </c>
      <c r="FQ3" s="2">
        <v>0</v>
      </c>
      <c r="FR3" s="2">
        <v>0</v>
      </c>
      <c r="FS3" s="2">
        <v>0</v>
      </c>
      <c r="FT3" s="2">
        <v>0</v>
      </c>
      <c r="FU3" s="2">
        <v>0</v>
      </c>
      <c r="FV3" s="2">
        <v>0</v>
      </c>
      <c r="FW3" s="2">
        <v>0</v>
      </c>
      <c r="FX3" s="2">
        <v>0</v>
      </c>
      <c r="FY3" s="2">
        <v>0</v>
      </c>
      <c r="GA3" s="1" t="s">
        <v>1155</v>
      </c>
      <c r="GI3" s="1" t="s">
        <v>1983</v>
      </c>
      <c r="GJ3" s="2">
        <v>0</v>
      </c>
      <c r="GK3" s="2">
        <v>0</v>
      </c>
      <c r="GL3" s="2">
        <v>1</v>
      </c>
      <c r="GM3" s="2">
        <v>0</v>
      </c>
      <c r="GN3" s="2">
        <v>1</v>
      </c>
      <c r="GO3" s="2">
        <v>0</v>
      </c>
      <c r="GP3" s="2">
        <v>0</v>
      </c>
      <c r="GQ3" s="2">
        <v>0</v>
      </c>
      <c r="GR3" s="2">
        <v>0</v>
      </c>
      <c r="GS3" s="2">
        <v>0</v>
      </c>
      <c r="GT3" s="2">
        <v>0</v>
      </c>
      <c r="GU3" s="2">
        <v>0</v>
      </c>
      <c r="GV3" s="2">
        <v>0</v>
      </c>
      <c r="AVS3" s="1">
        <v>134775911</v>
      </c>
      <c r="AVT3" s="1" t="s">
        <v>2332</v>
      </c>
      <c r="AVV3" s="1">
        <v>92</v>
      </c>
    </row>
    <row r="4" spans="1:1270" x14ac:dyDescent="0.3">
      <c r="A4" s="1" t="s">
        <v>2333</v>
      </c>
      <c r="B4" s="1" t="s">
        <v>2334</v>
      </c>
      <c r="C4" s="1" t="s">
        <v>2335</v>
      </c>
      <c r="D4" s="1" t="s">
        <v>2324</v>
      </c>
      <c r="E4" s="1" t="s">
        <v>2211</v>
      </c>
      <c r="F4" s="1" t="s">
        <v>2324</v>
      </c>
      <c r="I4" s="1" t="s">
        <v>2080</v>
      </c>
      <c r="J4" s="1" t="s">
        <v>2325</v>
      </c>
      <c r="K4" s="1" t="s">
        <v>2325</v>
      </c>
      <c r="N4" s="1" t="s">
        <v>1379</v>
      </c>
      <c r="O4" s="2">
        <v>0</v>
      </c>
      <c r="P4" s="2">
        <v>0</v>
      </c>
      <c r="Q4" s="2">
        <v>0</v>
      </c>
      <c r="R4" s="2">
        <v>1</v>
      </c>
      <c r="S4" s="2">
        <v>0</v>
      </c>
      <c r="OK4" s="1" t="s">
        <v>1380</v>
      </c>
      <c r="OM4" s="1" t="s">
        <v>2336</v>
      </c>
      <c r="ON4" s="1" t="s">
        <v>1155</v>
      </c>
      <c r="PL4" s="1" t="s">
        <v>1155</v>
      </c>
      <c r="PM4" s="2">
        <v>15</v>
      </c>
      <c r="PN4" s="1" t="s">
        <v>1155</v>
      </c>
      <c r="PO4" s="2">
        <v>7</v>
      </c>
      <c r="PP4" s="2">
        <v>8</v>
      </c>
      <c r="PQ4" s="1" t="s">
        <v>1155</v>
      </c>
      <c r="PR4" s="1" t="s">
        <v>1155</v>
      </c>
      <c r="PS4" s="1" t="s">
        <v>1381</v>
      </c>
      <c r="PU4" s="1" t="s">
        <v>1154</v>
      </c>
      <c r="PX4" s="1" t="s">
        <v>1154</v>
      </c>
      <c r="PZ4" s="1" t="s">
        <v>2337</v>
      </c>
      <c r="QA4" s="2">
        <v>1</v>
      </c>
      <c r="QB4" s="2">
        <v>1</v>
      </c>
      <c r="QC4" s="2">
        <v>1</v>
      </c>
      <c r="QD4" s="2">
        <v>0</v>
      </c>
      <c r="QE4" s="2">
        <v>1</v>
      </c>
      <c r="QF4" s="2">
        <v>1</v>
      </c>
      <c r="QG4" s="2">
        <v>0</v>
      </c>
      <c r="QH4" s="2">
        <v>1</v>
      </c>
      <c r="QI4" s="2">
        <v>0</v>
      </c>
      <c r="QJ4" s="2">
        <v>1</v>
      </c>
      <c r="QK4" s="2">
        <v>1</v>
      </c>
      <c r="QL4" s="2">
        <v>1</v>
      </c>
      <c r="QM4" s="2">
        <v>0</v>
      </c>
      <c r="QN4" s="2">
        <v>1</v>
      </c>
      <c r="QP4" s="1" t="s">
        <v>1155</v>
      </c>
      <c r="QQ4" s="1" t="s">
        <v>1876</v>
      </c>
      <c r="QR4" s="2">
        <v>1</v>
      </c>
      <c r="QS4" s="2">
        <v>1</v>
      </c>
      <c r="QT4" s="2">
        <v>0</v>
      </c>
      <c r="QU4" s="2">
        <v>0</v>
      </c>
      <c r="QV4" s="2">
        <v>1</v>
      </c>
      <c r="QW4" s="2">
        <v>1</v>
      </c>
      <c r="QY4" s="1" t="s">
        <v>1155</v>
      </c>
      <c r="QZ4" s="1" t="s">
        <v>1870</v>
      </c>
      <c r="RA4" s="2">
        <v>0</v>
      </c>
      <c r="RB4" s="2">
        <v>0</v>
      </c>
      <c r="RC4" s="2">
        <v>1</v>
      </c>
      <c r="RD4" s="2">
        <v>0</v>
      </c>
      <c r="RE4" s="2">
        <v>0</v>
      </c>
      <c r="RG4" s="2">
        <v>200</v>
      </c>
      <c r="RH4" s="1" t="s">
        <v>1155</v>
      </c>
      <c r="RI4" s="1" t="s">
        <v>1164</v>
      </c>
      <c r="RV4" s="1" t="s">
        <v>1986</v>
      </c>
      <c r="RW4" s="2">
        <v>0</v>
      </c>
      <c r="RX4" s="2">
        <v>0</v>
      </c>
      <c r="RY4" s="2">
        <v>1</v>
      </c>
      <c r="RZ4" s="2">
        <v>0</v>
      </c>
      <c r="SA4" s="2">
        <v>0</v>
      </c>
      <c r="SB4" s="2">
        <v>0</v>
      </c>
      <c r="SC4" s="2">
        <v>0</v>
      </c>
      <c r="SE4" s="1" t="s">
        <v>1377</v>
      </c>
      <c r="SF4" s="2">
        <v>47</v>
      </c>
      <c r="SG4" s="2" t="s">
        <v>1161</v>
      </c>
      <c r="SH4" s="2">
        <v>1</v>
      </c>
      <c r="SI4" s="2">
        <v>2</v>
      </c>
      <c r="SJ4" s="2">
        <v>10</v>
      </c>
      <c r="SK4" s="2" t="s">
        <v>1161</v>
      </c>
      <c r="SL4" s="2">
        <v>17</v>
      </c>
      <c r="SM4" s="2">
        <v>8</v>
      </c>
      <c r="SN4" s="1" t="s">
        <v>1161</v>
      </c>
      <c r="SO4" s="2">
        <v>0</v>
      </c>
      <c r="SP4" s="2">
        <v>0</v>
      </c>
      <c r="SQ4" s="2">
        <v>0</v>
      </c>
      <c r="SR4" s="2">
        <v>0</v>
      </c>
      <c r="SS4" s="2">
        <v>0</v>
      </c>
      <c r="ST4" s="2">
        <v>0</v>
      </c>
      <c r="SU4" s="2">
        <v>0</v>
      </c>
      <c r="SV4" s="2">
        <v>1</v>
      </c>
      <c r="SW4" s="2">
        <v>0</v>
      </c>
      <c r="SX4" s="2">
        <v>0</v>
      </c>
      <c r="SY4" s="2">
        <v>0</v>
      </c>
      <c r="SZ4" s="2">
        <v>0</v>
      </c>
      <c r="TB4" s="1" t="s">
        <v>1154</v>
      </c>
      <c r="TJ4" s="1" t="s">
        <v>1154</v>
      </c>
      <c r="UF4" s="1" t="s">
        <v>1385</v>
      </c>
      <c r="UG4" s="2">
        <v>1</v>
      </c>
      <c r="UH4" s="2">
        <v>0</v>
      </c>
      <c r="UI4" s="2">
        <v>0</v>
      </c>
      <c r="UJ4" s="2">
        <v>0</v>
      </c>
      <c r="UK4" s="2">
        <v>0</v>
      </c>
      <c r="UM4" s="1" t="s">
        <v>1169</v>
      </c>
      <c r="UO4" s="1" t="s">
        <v>1155</v>
      </c>
      <c r="UP4" s="1" t="s">
        <v>2338</v>
      </c>
      <c r="UQ4" s="2">
        <v>0</v>
      </c>
      <c r="UR4" s="2">
        <v>0</v>
      </c>
      <c r="US4" s="2">
        <v>1</v>
      </c>
      <c r="UT4" s="2">
        <v>0</v>
      </c>
      <c r="UU4" s="2">
        <v>0</v>
      </c>
      <c r="UV4" s="2">
        <v>0</v>
      </c>
      <c r="UW4" s="2">
        <v>1</v>
      </c>
      <c r="UX4" s="2">
        <v>1</v>
      </c>
      <c r="UY4" s="2">
        <v>1</v>
      </c>
      <c r="UZ4" s="2">
        <v>0</v>
      </c>
      <c r="VA4" s="2">
        <v>0</v>
      </c>
      <c r="VB4" s="2">
        <v>0</v>
      </c>
      <c r="VC4" s="2">
        <v>0</v>
      </c>
      <c r="VD4" s="2">
        <v>0</v>
      </c>
      <c r="VE4" s="2">
        <v>0</v>
      </c>
      <c r="VF4" s="2">
        <v>0</v>
      </c>
      <c r="VH4" s="1" t="s">
        <v>1189</v>
      </c>
      <c r="VI4" s="2">
        <v>0</v>
      </c>
      <c r="VJ4" s="2">
        <v>0</v>
      </c>
      <c r="VK4" s="2">
        <v>0</v>
      </c>
      <c r="VL4" s="2">
        <v>0</v>
      </c>
      <c r="VM4" s="2">
        <v>1</v>
      </c>
      <c r="VN4" s="2">
        <v>0</v>
      </c>
      <c r="VO4" s="2">
        <v>0</v>
      </c>
      <c r="VP4" s="2">
        <v>0</v>
      </c>
      <c r="VQ4" s="2">
        <v>0</v>
      </c>
      <c r="VR4" s="2">
        <v>0</v>
      </c>
      <c r="VS4" s="2">
        <v>0</v>
      </c>
      <c r="VT4" s="2">
        <v>0</v>
      </c>
      <c r="VU4" s="2">
        <v>0</v>
      </c>
      <c r="VW4" s="1" t="s">
        <v>1155</v>
      </c>
      <c r="VX4" s="1" t="s">
        <v>1157</v>
      </c>
      <c r="VY4" s="2">
        <v>0</v>
      </c>
      <c r="VZ4" s="2">
        <v>0</v>
      </c>
      <c r="WA4" s="2">
        <v>0</v>
      </c>
      <c r="WB4" s="2">
        <v>0</v>
      </c>
      <c r="WC4" s="2">
        <v>1</v>
      </c>
      <c r="WD4" s="2">
        <v>0</v>
      </c>
      <c r="WE4" s="2">
        <v>0</v>
      </c>
      <c r="WG4" s="1" t="s">
        <v>1929</v>
      </c>
      <c r="WH4" s="2">
        <v>0</v>
      </c>
      <c r="WI4" s="2">
        <v>0</v>
      </c>
      <c r="WJ4" s="2">
        <v>1</v>
      </c>
      <c r="WK4" s="2">
        <v>0</v>
      </c>
      <c r="WL4" s="2">
        <v>0</v>
      </c>
      <c r="WM4" s="2">
        <v>0</v>
      </c>
      <c r="WN4" s="2">
        <v>0</v>
      </c>
      <c r="WO4" s="2">
        <v>0</v>
      </c>
      <c r="WP4" s="2">
        <v>0</v>
      </c>
      <c r="WQ4" s="2">
        <v>0</v>
      </c>
      <c r="WR4" s="2">
        <v>0</v>
      </c>
      <c r="WS4" s="2">
        <v>0</v>
      </c>
      <c r="WT4" s="2">
        <v>0</v>
      </c>
      <c r="WV4" s="1" t="s">
        <v>1154</v>
      </c>
      <c r="WW4" s="1" t="s">
        <v>1178</v>
      </c>
      <c r="WX4" s="2">
        <v>1</v>
      </c>
      <c r="WY4" s="2">
        <v>0</v>
      </c>
      <c r="WZ4" s="2">
        <v>0</v>
      </c>
      <c r="XA4" s="2">
        <v>0</v>
      </c>
      <c r="XB4" s="2">
        <v>0</v>
      </c>
      <c r="XD4" s="1" t="s">
        <v>1161</v>
      </c>
      <c r="XE4" s="2">
        <v>0</v>
      </c>
      <c r="XF4" s="2">
        <v>0</v>
      </c>
      <c r="XG4" s="2">
        <v>0</v>
      </c>
      <c r="XH4" s="2">
        <v>0</v>
      </c>
      <c r="XI4" s="2">
        <v>0</v>
      </c>
      <c r="XJ4" s="2">
        <v>0</v>
      </c>
      <c r="XK4" s="2">
        <v>0</v>
      </c>
      <c r="XL4" s="2">
        <v>0</v>
      </c>
      <c r="XM4" s="2">
        <v>0</v>
      </c>
      <c r="XN4" s="2">
        <v>0</v>
      </c>
      <c r="XO4" s="2">
        <v>0</v>
      </c>
      <c r="XP4" s="2">
        <v>1</v>
      </c>
      <c r="XQ4" s="2">
        <v>0</v>
      </c>
      <c r="XT4" s="1" t="s">
        <v>1155</v>
      </c>
      <c r="XU4" s="1" t="s">
        <v>1514</v>
      </c>
      <c r="XV4" s="2">
        <v>1</v>
      </c>
      <c r="XW4" s="2">
        <v>1</v>
      </c>
      <c r="XX4" s="2">
        <v>1</v>
      </c>
      <c r="XY4" s="2">
        <v>1</v>
      </c>
      <c r="XZ4" s="2">
        <v>1</v>
      </c>
      <c r="YA4" s="2">
        <v>1</v>
      </c>
      <c r="YB4" s="2">
        <v>0</v>
      </c>
      <c r="YC4" s="2">
        <v>0</v>
      </c>
      <c r="YE4" s="1" t="s">
        <v>1154</v>
      </c>
      <c r="YF4" s="1" t="s">
        <v>1154</v>
      </c>
      <c r="YH4" s="1" t="s">
        <v>1154</v>
      </c>
      <c r="ZA4" s="1" t="s">
        <v>1155</v>
      </c>
      <c r="ZB4" s="2" t="s">
        <v>1161</v>
      </c>
      <c r="ZF4" s="1" t="s">
        <v>1154</v>
      </c>
      <c r="ZK4" s="1" t="s">
        <v>1155</v>
      </c>
      <c r="ZL4" s="1" t="s">
        <v>1155</v>
      </c>
      <c r="ZM4" s="1" t="s">
        <v>1155</v>
      </c>
      <c r="ZN4" s="1" t="s">
        <v>1155</v>
      </c>
      <c r="ZO4" s="1" t="s">
        <v>1155</v>
      </c>
      <c r="ZP4" s="2" t="s">
        <v>1161</v>
      </c>
      <c r="ZQ4" s="1" t="s">
        <v>1154</v>
      </c>
      <c r="AVS4" s="1">
        <v>134775823</v>
      </c>
      <c r="AVT4" s="1" t="s">
        <v>2339</v>
      </c>
      <c r="AVV4" s="1">
        <v>93</v>
      </c>
    </row>
    <row r="5" spans="1:1270" x14ac:dyDescent="0.3">
      <c r="A5" s="1" t="s">
        <v>2340</v>
      </c>
      <c r="B5" s="1" t="s">
        <v>2341</v>
      </c>
      <c r="C5" s="1" t="s">
        <v>2342</v>
      </c>
      <c r="D5" s="1" t="s">
        <v>2324</v>
      </c>
      <c r="E5" s="1" t="s">
        <v>2211</v>
      </c>
      <c r="F5" s="1" t="s">
        <v>2324</v>
      </c>
      <c r="I5" s="1" t="s">
        <v>2080</v>
      </c>
      <c r="J5" s="1" t="s">
        <v>2325</v>
      </c>
      <c r="K5" s="1" t="s">
        <v>2325</v>
      </c>
      <c r="N5" s="1" t="s">
        <v>1379</v>
      </c>
      <c r="O5" s="2">
        <v>0</v>
      </c>
      <c r="P5" s="2">
        <v>0</v>
      </c>
      <c r="Q5" s="2">
        <v>0</v>
      </c>
      <c r="R5" s="2">
        <v>1</v>
      </c>
      <c r="S5" s="2">
        <v>0</v>
      </c>
      <c r="OK5" s="1" t="s">
        <v>1376</v>
      </c>
      <c r="OM5" s="1" t="s">
        <v>2343</v>
      </c>
      <c r="ON5" s="1" t="s">
        <v>1155</v>
      </c>
      <c r="PL5" s="1" t="s">
        <v>1990</v>
      </c>
      <c r="PR5" s="1" t="s">
        <v>1155</v>
      </c>
      <c r="PS5" s="1" t="s">
        <v>2344</v>
      </c>
      <c r="PU5" s="1" t="s">
        <v>1154</v>
      </c>
      <c r="PX5" s="1" t="s">
        <v>1154</v>
      </c>
      <c r="PZ5" s="1" t="s">
        <v>2345</v>
      </c>
      <c r="QA5" s="2">
        <v>1</v>
      </c>
      <c r="QB5" s="2">
        <v>1</v>
      </c>
      <c r="QC5" s="2">
        <v>1</v>
      </c>
      <c r="QD5" s="2">
        <v>1</v>
      </c>
      <c r="QE5" s="2">
        <v>1</v>
      </c>
      <c r="QF5" s="2">
        <v>0</v>
      </c>
      <c r="QG5" s="2">
        <v>1</v>
      </c>
      <c r="QH5" s="2">
        <v>1</v>
      </c>
      <c r="QI5" s="2">
        <v>0</v>
      </c>
      <c r="QJ5" s="2">
        <v>0</v>
      </c>
      <c r="QK5" s="2">
        <v>1</v>
      </c>
      <c r="QL5" s="2">
        <v>1</v>
      </c>
      <c r="QM5" s="2">
        <v>0</v>
      </c>
      <c r="QN5" s="2">
        <v>1</v>
      </c>
      <c r="QP5" s="1" t="s">
        <v>1155</v>
      </c>
      <c r="QQ5" s="1" t="s">
        <v>1876</v>
      </c>
      <c r="QR5" s="2">
        <v>1</v>
      </c>
      <c r="QS5" s="2">
        <v>1</v>
      </c>
      <c r="QT5" s="2">
        <v>0</v>
      </c>
      <c r="QU5" s="2">
        <v>0</v>
      </c>
      <c r="QV5" s="2">
        <v>1</v>
      </c>
      <c r="QW5" s="2">
        <v>1</v>
      </c>
      <c r="QY5" s="1" t="s">
        <v>1154</v>
      </c>
      <c r="RG5" s="2">
        <v>60</v>
      </c>
      <c r="RH5" s="1" t="s">
        <v>1155</v>
      </c>
      <c r="RI5" s="1" t="s">
        <v>1164</v>
      </c>
      <c r="RV5" s="1" t="s">
        <v>2346</v>
      </c>
      <c r="RW5" s="2">
        <v>0</v>
      </c>
      <c r="RX5" s="2">
        <v>0</v>
      </c>
      <c r="RY5" s="2">
        <v>0</v>
      </c>
      <c r="RZ5" s="2">
        <v>0</v>
      </c>
      <c r="SA5" s="2">
        <v>1</v>
      </c>
      <c r="SB5" s="2">
        <v>0</v>
      </c>
      <c r="SC5" s="2">
        <v>0</v>
      </c>
      <c r="SE5" s="1" t="s">
        <v>1377</v>
      </c>
      <c r="SF5" s="2">
        <v>29</v>
      </c>
      <c r="SG5" s="2">
        <v>2</v>
      </c>
      <c r="SH5" s="2">
        <v>9</v>
      </c>
      <c r="SI5" s="2" t="s">
        <v>1161</v>
      </c>
      <c r="SJ5" s="2">
        <v>2</v>
      </c>
      <c r="SK5" s="2">
        <v>2</v>
      </c>
      <c r="SL5" s="2">
        <v>12</v>
      </c>
      <c r="SM5" s="2">
        <v>2</v>
      </c>
      <c r="SN5" s="1" t="s">
        <v>1175</v>
      </c>
      <c r="SO5" s="2">
        <v>0</v>
      </c>
      <c r="SP5" s="2">
        <v>0</v>
      </c>
      <c r="SQ5" s="2">
        <v>0</v>
      </c>
      <c r="SR5" s="2">
        <v>0</v>
      </c>
      <c r="SS5" s="2">
        <v>0</v>
      </c>
      <c r="ST5" s="2">
        <v>0</v>
      </c>
      <c r="SU5" s="2">
        <v>0</v>
      </c>
      <c r="SV5" s="2">
        <v>0</v>
      </c>
      <c r="SW5" s="2">
        <v>0</v>
      </c>
      <c r="SX5" s="2">
        <v>0</v>
      </c>
      <c r="SY5" s="2">
        <v>0</v>
      </c>
      <c r="SZ5" s="2">
        <v>1</v>
      </c>
      <c r="TB5" s="1" t="s">
        <v>1155</v>
      </c>
      <c r="TJ5" s="1" t="s">
        <v>1154</v>
      </c>
      <c r="UF5" s="1" t="s">
        <v>1385</v>
      </c>
      <c r="UG5" s="2">
        <v>1</v>
      </c>
      <c r="UH5" s="2">
        <v>0</v>
      </c>
      <c r="UI5" s="2">
        <v>0</v>
      </c>
      <c r="UJ5" s="2">
        <v>0</v>
      </c>
      <c r="UK5" s="2">
        <v>0</v>
      </c>
      <c r="UM5" s="1" t="s">
        <v>1935</v>
      </c>
      <c r="UO5" s="1" t="s">
        <v>1155</v>
      </c>
      <c r="UP5" s="1" t="s">
        <v>2347</v>
      </c>
      <c r="UQ5" s="2">
        <v>1</v>
      </c>
      <c r="UR5" s="2">
        <v>0</v>
      </c>
      <c r="US5" s="2">
        <v>1</v>
      </c>
      <c r="UT5" s="2">
        <v>0</v>
      </c>
      <c r="UU5" s="2">
        <v>1</v>
      </c>
      <c r="UV5" s="2">
        <v>1</v>
      </c>
      <c r="UW5" s="2">
        <v>0</v>
      </c>
      <c r="UX5" s="2">
        <v>1</v>
      </c>
      <c r="UY5" s="2">
        <v>0</v>
      </c>
      <c r="UZ5" s="2">
        <v>0</v>
      </c>
      <c r="VA5" s="2">
        <v>0</v>
      </c>
      <c r="VB5" s="2">
        <v>0</v>
      </c>
      <c r="VC5" s="2">
        <v>0</v>
      </c>
      <c r="VD5" s="2">
        <v>0</v>
      </c>
      <c r="VE5" s="2">
        <v>0</v>
      </c>
      <c r="VF5" s="2">
        <v>0</v>
      </c>
      <c r="VH5" s="1" t="s">
        <v>1162</v>
      </c>
      <c r="VI5" s="2">
        <v>1</v>
      </c>
      <c r="VJ5" s="2">
        <v>0</v>
      </c>
      <c r="VK5" s="2">
        <v>0</v>
      </c>
      <c r="VL5" s="2">
        <v>0</v>
      </c>
      <c r="VM5" s="2">
        <v>0</v>
      </c>
      <c r="VN5" s="2">
        <v>0</v>
      </c>
      <c r="VO5" s="2">
        <v>0</v>
      </c>
      <c r="VP5" s="2">
        <v>0</v>
      </c>
      <c r="VQ5" s="2">
        <v>0</v>
      </c>
      <c r="VR5" s="2">
        <v>0</v>
      </c>
      <c r="VS5" s="2">
        <v>0</v>
      </c>
      <c r="VT5" s="2">
        <v>0</v>
      </c>
      <c r="VU5" s="2">
        <v>0</v>
      </c>
      <c r="VW5" s="1" t="s">
        <v>1155</v>
      </c>
      <c r="VX5" s="1" t="s">
        <v>2348</v>
      </c>
      <c r="VY5" s="2">
        <v>0</v>
      </c>
      <c r="VZ5" s="2">
        <v>1</v>
      </c>
      <c r="WA5" s="2">
        <v>0</v>
      </c>
      <c r="WB5" s="2">
        <v>0</v>
      </c>
      <c r="WC5" s="2">
        <v>1</v>
      </c>
      <c r="WD5" s="2">
        <v>0</v>
      </c>
      <c r="WE5" s="2">
        <v>0</v>
      </c>
      <c r="WG5" s="1" t="s">
        <v>1191</v>
      </c>
      <c r="WH5" s="2">
        <v>0</v>
      </c>
      <c r="WI5" s="2">
        <v>1</v>
      </c>
      <c r="WJ5" s="2">
        <v>0</v>
      </c>
      <c r="WK5" s="2">
        <v>0</v>
      </c>
      <c r="WL5" s="2">
        <v>0</v>
      </c>
      <c r="WM5" s="2">
        <v>0</v>
      </c>
      <c r="WN5" s="2">
        <v>0</v>
      </c>
      <c r="WO5" s="2">
        <v>0</v>
      </c>
      <c r="WP5" s="2">
        <v>0</v>
      </c>
      <c r="WQ5" s="2">
        <v>0</v>
      </c>
      <c r="WR5" s="2">
        <v>0</v>
      </c>
      <c r="WS5" s="2">
        <v>0</v>
      </c>
      <c r="WT5" s="2">
        <v>0</v>
      </c>
      <c r="WV5" s="1" t="s">
        <v>1154</v>
      </c>
      <c r="WW5" s="1" t="s">
        <v>1178</v>
      </c>
      <c r="WX5" s="2">
        <v>1</v>
      </c>
      <c r="WY5" s="2">
        <v>0</v>
      </c>
      <c r="WZ5" s="2">
        <v>0</v>
      </c>
      <c r="XA5" s="2">
        <v>0</v>
      </c>
      <c r="XB5" s="2">
        <v>0</v>
      </c>
      <c r="XD5" s="1" t="s">
        <v>2349</v>
      </c>
      <c r="XE5" s="2">
        <v>1</v>
      </c>
      <c r="XF5" s="2">
        <v>1</v>
      </c>
      <c r="XG5" s="2">
        <v>1</v>
      </c>
      <c r="XH5" s="2">
        <v>1</v>
      </c>
      <c r="XI5" s="2">
        <v>0</v>
      </c>
      <c r="XJ5" s="2">
        <v>0</v>
      </c>
      <c r="XK5" s="2">
        <v>1</v>
      </c>
      <c r="XL5" s="2">
        <v>1</v>
      </c>
      <c r="XM5" s="2">
        <v>1</v>
      </c>
      <c r="XN5" s="2">
        <v>1</v>
      </c>
      <c r="XO5" s="2">
        <v>0</v>
      </c>
      <c r="XP5" s="2">
        <v>0</v>
      </c>
      <c r="XQ5" s="2">
        <v>0</v>
      </c>
      <c r="XT5" s="1" t="s">
        <v>1155</v>
      </c>
      <c r="XU5" s="1" t="s">
        <v>1514</v>
      </c>
      <c r="XV5" s="2">
        <v>1</v>
      </c>
      <c r="XW5" s="2">
        <v>1</v>
      </c>
      <c r="XX5" s="2">
        <v>1</v>
      </c>
      <c r="XY5" s="2">
        <v>1</v>
      </c>
      <c r="XZ5" s="2">
        <v>1</v>
      </c>
      <c r="YA5" s="2">
        <v>1</v>
      </c>
      <c r="YB5" s="2">
        <v>0</v>
      </c>
      <c r="YC5" s="2">
        <v>0</v>
      </c>
      <c r="YE5" s="1" t="s">
        <v>1155</v>
      </c>
      <c r="YF5" s="1" t="s">
        <v>1154</v>
      </c>
      <c r="YH5" s="1" t="s">
        <v>1155</v>
      </c>
      <c r="YI5" s="1" t="s">
        <v>2299</v>
      </c>
      <c r="YJ5" s="2">
        <v>1</v>
      </c>
      <c r="YK5" s="2">
        <v>1</v>
      </c>
      <c r="YL5" s="2">
        <v>1</v>
      </c>
      <c r="YM5" s="2">
        <v>1</v>
      </c>
      <c r="YN5" s="2">
        <v>1</v>
      </c>
      <c r="YO5" s="2">
        <v>1</v>
      </c>
      <c r="YP5" s="2">
        <v>1</v>
      </c>
      <c r="YQ5" s="2">
        <v>0</v>
      </c>
      <c r="YS5" s="1" t="s">
        <v>1154</v>
      </c>
      <c r="ZA5" s="1" t="s">
        <v>1155</v>
      </c>
      <c r="ZB5" s="2">
        <v>6</v>
      </c>
      <c r="ZF5" s="1" t="s">
        <v>1154</v>
      </c>
      <c r="ZH5" s="2">
        <v>45</v>
      </c>
      <c r="ZI5" s="1" t="s">
        <v>1159</v>
      </c>
      <c r="ZK5" s="1" t="s">
        <v>1154</v>
      </c>
      <c r="ZL5" s="1" t="s">
        <v>1155</v>
      </c>
      <c r="ZM5" s="1" t="s">
        <v>1154</v>
      </c>
      <c r="ZN5" s="1" t="s">
        <v>1155</v>
      </c>
      <c r="ZO5" s="1" t="s">
        <v>1154</v>
      </c>
      <c r="ZQ5" s="1" t="s">
        <v>1154</v>
      </c>
      <c r="AVS5" s="1">
        <v>134775739</v>
      </c>
      <c r="AVT5" s="1" t="s">
        <v>2350</v>
      </c>
      <c r="AVV5" s="1">
        <v>94</v>
      </c>
    </row>
    <row r="6" spans="1:1270" x14ac:dyDescent="0.3">
      <c r="A6" s="1" t="s">
        <v>2351</v>
      </c>
      <c r="B6" s="1" t="s">
        <v>2352</v>
      </c>
      <c r="C6" s="1" t="s">
        <v>2353</v>
      </c>
      <c r="D6" s="1" t="s">
        <v>2354</v>
      </c>
      <c r="E6" s="1" t="s">
        <v>2241</v>
      </c>
      <c r="F6" s="1" t="s">
        <v>2354</v>
      </c>
      <c r="I6" s="1" t="s">
        <v>2080</v>
      </c>
      <c r="J6" s="1" t="s">
        <v>2325</v>
      </c>
      <c r="K6" s="1" t="s">
        <v>2325</v>
      </c>
      <c r="N6" s="1" t="s">
        <v>1152</v>
      </c>
      <c r="O6" s="2">
        <v>1</v>
      </c>
      <c r="P6" s="2">
        <v>0</v>
      </c>
      <c r="Q6" s="2">
        <v>0</v>
      </c>
      <c r="R6" s="2">
        <v>0</v>
      </c>
      <c r="S6" s="2">
        <v>0</v>
      </c>
      <c r="U6" s="1" t="s">
        <v>1654</v>
      </c>
      <c r="W6" s="1" t="s">
        <v>1154</v>
      </c>
      <c r="X6" s="1" t="s">
        <v>1155</v>
      </c>
      <c r="AN6" s="1" t="s">
        <v>1187</v>
      </c>
      <c r="AO6" s="2">
        <v>30</v>
      </c>
      <c r="AP6" s="1" t="s">
        <v>1190</v>
      </c>
      <c r="AR6" s="1" t="s">
        <v>1649</v>
      </c>
      <c r="AS6" s="1" t="s">
        <v>1163</v>
      </c>
      <c r="AT6" s="1" t="s">
        <v>1155</v>
      </c>
      <c r="AU6" s="1" t="s">
        <v>1182</v>
      </c>
      <c r="AV6" s="1" t="s">
        <v>1940</v>
      </c>
      <c r="AW6" s="2">
        <v>0</v>
      </c>
      <c r="AX6" s="2">
        <v>0</v>
      </c>
      <c r="AY6" s="2">
        <v>0</v>
      </c>
      <c r="AZ6" s="2">
        <v>1</v>
      </c>
      <c r="BA6" s="2">
        <v>0</v>
      </c>
      <c r="BB6" s="2">
        <v>0</v>
      </c>
      <c r="BC6" s="2">
        <v>0</v>
      </c>
      <c r="BD6" s="2">
        <v>0</v>
      </c>
      <c r="BO6" s="1" t="s">
        <v>1157</v>
      </c>
      <c r="BP6" s="2">
        <v>0</v>
      </c>
      <c r="BQ6" s="2">
        <v>0</v>
      </c>
      <c r="BR6" s="2">
        <v>0</v>
      </c>
      <c r="BS6" s="2">
        <v>0</v>
      </c>
      <c r="BT6" s="2">
        <v>0</v>
      </c>
      <c r="BU6" s="2">
        <v>1</v>
      </c>
      <c r="BV6" s="2">
        <v>0</v>
      </c>
      <c r="BW6" s="2">
        <v>0</v>
      </c>
      <c r="BX6" s="2">
        <v>0</v>
      </c>
      <c r="BY6" s="2">
        <v>0</v>
      </c>
      <c r="BZ6" s="2">
        <v>0</v>
      </c>
      <c r="CA6" s="2">
        <v>0</v>
      </c>
      <c r="CC6" s="1" t="s">
        <v>1154</v>
      </c>
      <c r="DQ6" s="1" t="s">
        <v>1163</v>
      </c>
      <c r="DR6" s="2">
        <v>0</v>
      </c>
      <c r="DS6" s="2">
        <v>0</v>
      </c>
      <c r="DT6" s="2">
        <v>0</v>
      </c>
      <c r="DU6" s="2">
        <v>0</v>
      </c>
      <c r="DV6" s="2">
        <v>1</v>
      </c>
      <c r="DX6" s="1" t="s">
        <v>1974</v>
      </c>
      <c r="DY6" s="2">
        <v>0</v>
      </c>
      <c r="DZ6" s="2">
        <v>0</v>
      </c>
      <c r="EA6" s="2">
        <v>0</v>
      </c>
      <c r="EB6" s="2">
        <v>0</v>
      </c>
      <c r="EC6" s="2">
        <v>0</v>
      </c>
      <c r="ED6" s="2">
        <v>0</v>
      </c>
      <c r="EE6" s="2">
        <v>0</v>
      </c>
      <c r="EF6" s="2">
        <v>1</v>
      </c>
      <c r="EG6" s="2">
        <v>1</v>
      </c>
      <c r="EH6" s="2">
        <v>0</v>
      </c>
      <c r="EI6" s="2">
        <v>0</v>
      </c>
      <c r="EJ6" s="2">
        <v>0</v>
      </c>
      <c r="EK6" s="2">
        <v>0</v>
      </c>
      <c r="EM6" s="1" t="s">
        <v>1163</v>
      </c>
      <c r="EN6" s="2">
        <v>0</v>
      </c>
      <c r="EO6" s="2">
        <v>0</v>
      </c>
      <c r="EP6" s="2">
        <v>0</v>
      </c>
      <c r="EQ6" s="2">
        <v>0</v>
      </c>
      <c r="ER6" s="2">
        <v>0</v>
      </c>
      <c r="ES6" s="2">
        <v>0</v>
      </c>
      <c r="ET6" s="2">
        <v>0</v>
      </c>
      <c r="EU6" s="2">
        <v>0</v>
      </c>
      <c r="EV6" s="2">
        <v>0</v>
      </c>
      <c r="EW6" s="2">
        <v>1</v>
      </c>
      <c r="EX6" s="2">
        <v>0</v>
      </c>
      <c r="EY6" s="2">
        <v>0</v>
      </c>
      <c r="EZ6" s="2">
        <v>0</v>
      </c>
      <c r="FB6" s="1" t="s">
        <v>1154</v>
      </c>
      <c r="GI6" s="1" t="s">
        <v>2355</v>
      </c>
      <c r="GJ6" s="2">
        <v>0</v>
      </c>
      <c r="GK6" s="2">
        <v>0</v>
      </c>
      <c r="GL6" s="2">
        <v>0</v>
      </c>
      <c r="GM6" s="2">
        <v>0</v>
      </c>
      <c r="GN6" s="2">
        <v>0</v>
      </c>
      <c r="GO6" s="2">
        <v>1</v>
      </c>
      <c r="GP6" s="2">
        <v>1</v>
      </c>
      <c r="GQ6" s="2">
        <v>0</v>
      </c>
      <c r="GR6" s="2">
        <v>0</v>
      </c>
      <c r="GS6" s="2">
        <v>0</v>
      </c>
      <c r="GT6" s="2">
        <v>0</v>
      </c>
      <c r="GU6" s="2">
        <v>0</v>
      </c>
      <c r="GV6" s="2">
        <v>0</v>
      </c>
      <c r="AVS6" s="1">
        <v>134774848</v>
      </c>
      <c r="AVT6" s="1" t="s">
        <v>2356</v>
      </c>
      <c r="AVV6" s="1">
        <v>95</v>
      </c>
    </row>
    <row r="7" spans="1:1270" x14ac:dyDescent="0.3">
      <c r="A7" s="1" t="s">
        <v>2357</v>
      </c>
      <c r="B7" s="1" t="s">
        <v>2358</v>
      </c>
      <c r="C7" s="1" t="s">
        <v>2359</v>
      </c>
      <c r="D7" s="1" t="s">
        <v>2354</v>
      </c>
      <c r="E7" s="1" t="s">
        <v>2241</v>
      </c>
      <c r="F7" s="1" t="s">
        <v>2354</v>
      </c>
      <c r="I7" s="1" t="s">
        <v>2080</v>
      </c>
      <c r="J7" s="1" t="s">
        <v>2325</v>
      </c>
      <c r="K7" s="1" t="s">
        <v>2325</v>
      </c>
      <c r="N7" s="1" t="s">
        <v>1168</v>
      </c>
      <c r="O7" s="2">
        <v>0</v>
      </c>
      <c r="P7" s="2">
        <v>0</v>
      </c>
      <c r="Q7" s="2">
        <v>1</v>
      </c>
      <c r="R7" s="2">
        <v>0</v>
      </c>
      <c r="S7" s="2">
        <v>0</v>
      </c>
      <c r="ZS7" s="1" t="s">
        <v>2671</v>
      </c>
      <c r="ZT7" s="1" t="s">
        <v>1169</v>
      </c>
      <c r="ZV7" s="1" t="s">
        <v>1174</v>
      </c>
      <c r="ZX7" s="1" t="s">
        <v>1155</v>
      </c>
      <c r="ABE7" s="1" t="s">
        <v>1171</v>
      </c>
      <c r="ABF7" s="2">
        <v>1</v>
      </c>
      <c r="ABG7" s="2">
        <v>0</v>
      </c>
      <c r="ABH7" s="2">
        <v>0</v>
      </c>
      <c r="ABI7" s="2">
        <v>0</v>
      </c>
      <c r="ABJ7" s="2">
        <v>0</v>
      </c>
      <c r="ABL7" s="1" t="s">
        <v>1161</v>
      </c>
      <c r="ABM7" s="2">
        <v>0</v>
      </c>
      <c r="ABN7" s="2">
        <v>0</v>
      </c>
      <c r="ABO7" s="2">
        <v>0</v>
      </c>
      <c r="ABP7" s="2">
        <v>0</v>
      </c>
      <c r="ABQ7" s="2">
        <v>0</v>
      </c>
      <c r="ABR7" s="2">
        <v>0</v>
      </c>
      <c r="ABS7" s="2">
        <v>0</v>
      </c>
      <c r="ABT7" s="2">
        <v>1</v>
      </c>
      <c r="ABU7" s="2">
        <v>0</v>
      </c>
      <c r="ABV7" s="2">
        <v>0</v>
      </c>
      <c r="ABW7" s="2">
        <v>0</v>
      </c>
      <c r="ABX7" s="2">
        <v>0</v>
      </c>
      <c r="ABZ7" s="2">
        <v>2</v>
      </c>
      <c r="ACA7" s="1" t="s">
        <v>1154</v>
      </c>
      <c r="ACJ7" s="1" t="s">
        <v>1154</v>
      </c>
      <c r="ACM7" s="1" t="s">
        <v>1154</v>
      </c>
      <c r="ACN7" s="2">
        <v>150</v>
      </c>
      <c r="ACO7" s="2">
        <v>70</v>
      </c>
      <c r="ACP7" s="2">
        <v>80</v>
      </c>
      <c r="ACQ7" s="2">
        <v>80</v>
      </c>
      <c r="ACR7" s="2">
        <v>150</v>
      </c>
      <c r="ACT7" s="2">
        <v>7</v>
      </c>
      <c r="ACU7" s="2">
        <v>12</v>
      </c>
      <c r="ACV7" s="1" t="s">
        <v>1155</v>
      </c>
      <c r="ACW7" s="1" t="s">
        <v>1164</v>
      </c>
      <c r="ADG7" s="1" t="s">
        <v>1161</v>
      </c>
      <c r="ADH7" s="2">
        <v>0</v>
      </c>
      <c r="ADI7" s="2">
        <v>0</v>
      </c>
      <c r="ADJ7" s="2">
        <v>0</v>
      </c>
      <c r="ADK7" s="2">
        <v>0</v>
      </c>
      <c r="ADL7" s="2">
        <v>0</v>
      </c>
      <c r="ADM7" s="2">
        <v>1</v>
      </c>
      <c r="ADN7" s="2">
        <v>0</v>
      </c>
      <c r="ADO7" s="2">
        <v>0</v>
      </c>
      <c r="ADQ7" s="2">
        <v>0</v>
      </c>
      <c r="ADR7" s="2">
        <v>0</v>
      </c>
      <c r="ADS7" s="2">
        <v>0</v>
      </c>
      <c r="ADT7" s="2">
        <v>0</v>
      </c>
      <c r="ADU7" s="2">
        <v>0</v>
      </c>
      <c r="ADW7" s="1" t="s">
        <v>1154</v>
      </c>
      <c r="AEO7" s="2">
        <v>0</v>
      </c>
      <c r="AEP7" s="2">
        <v>0</v>
      </c>
      <c r="AEQ7" s="2">
        <v>0</v>
      </c>
      <c r="AER7" s="2">
        <v>0</v>
      </c>
      <c r="AES7" s="2">
        <v>0</v>
      </c>
      <c r="AEU7" s="1" t="s">
        <v>1154</v>
      </c>
      <c r="AFL7" s="2">
        <v>3</v>
      </c>
      <c r="AFM7" s="2">
        <v>1</v>
      </c>
      <c r="AFN7" s="2">
        <v>2</v>
      </c>
      <c r="AFO7" s="2">
        <v>2</v>
      </c>
      <c r="AFP7" s="2">
        <v>3</v>
      </c>
      <c r="AFR7" s="1" t="s">
        <v>1154</v>
      </c>
      <c r="AGH7" s="1" t="s">
        <v>1155</v>
      </c>
      <c r="AGI7" s="1" t="s">
        <v>1155</v>
      </c>
      <c r="AGJ7" s="1" t="s">
        <v>1155</v>
      </c>
      <c r="AGK7" s="85">
        <v>5000</v>
      </c>
      <c r="AGL7" s="1" t="s">
        <v>1980</v>
      </c>
      <c r="AGM7" s="2">
        <v>1</v>
      </c>
      <c r="AGN7" s="2">
        <v>0</v>
      </c>
      <c r="AGO7" s="2">
        <v>0</v>
      </c>
      <c r="AGP7" s="2">
        <v>0</v>
      </c>
      <c r="AGQ7" s="2">
        <v>0</v>
      </c>
      <c r="AGR7" s="2">
        <v>0</v>
      </c>
      <c r="AGT7" s="1" t="s">
        <v>1154</v>
      </c>
      <c r="AHQ7" s="1" t="s">
        <v>1167</v>
      </c>
      <c r="AHR7" s="2">
        <v>0</v>
      </c>
      <c r="AHS7" s="2">
        <v>1</v>
      </c>
      <c r="AHT7" s="2">
        <v>0</v>
      </c>
      <c r="AHU7" s="2">
        <v>0</v>
      </c>
      <c r="AHV7" s="2">
        <v>0</v>
      </c>
      <c r="AHX7" s="1" t="s">
        <v>1153</v>
      </c>
      <c r="AHY7" s="2">
        <v>0</v>
      </c>
      <c r="AHZ7" s="2">
        <v>0</v>
      </c>
      <c r="AIA7" s="2">
        <v>0</v>
      </c>
      <c r="AIB7" s="2">
        <v>0</v>
      </c>
      <c r="AIC7" s="2">
        <v>0</v>
      </c>
      <c r="AID7" s="2">
        <v>0</v>
      </c>
      <c r="AIE7" s="2">
        <v>0</v>
      </c>
      <c r="AIF7" s="2">
        <v>0</v>
      </c>
      <c r="AIG7" s="2">
        <v>0</v>
      </c>
      <c r="AIH7" s="2">
        <v>0</v>
      </c>
      <c r="AII7" s="2">
        <v>1</v>
      </c>
      <c r="AIJ7" s="1" t="s">
        <v>2360</v>
      </c>
      <c r="AIK7" s="1" t="s">
        <v>1189</v>
      </c>
      <c r="AIL7" s="2">
        <v>0</v>
      </c>
      <c r="AIM7" s="2">
        <v>0</v>
      </c>
      <c r="AIN7" s="2">
        <v>0</v>
      </c>
      <c r="AIO7" s="2">
        <v>0</v>
      </c>
      <c r="AIP7" s="2">
        <v>1</v>
      </c>
      <c r="AIQ7" s="2">
        <v>0</v>
      </c>
      <c r="AIR7" s="2">
        <v>0</v>
      </c>
      <c r="AIS7" s="2">
        <v>0</v>
      </c>
      <c r="AIT7" s="2">
        <v>0</v>
      </c>
      <c r="AIU7" s="2">
        <v>0</v>
      </c>
      <c r="AIV7" s="2">
        <v>0</v>
      </c>
      <c r="AIW7" s="2">
        <v>0</v>
      </c>
      <c r="AIX7" s="2">
        <v>0</v>
      </c>
      <c r="AIZ7" s="1" t="s">
        <v>1155</v>
      </c>
      <c r="AJA7" s="1" t="s">
        <v>1157</v>
      </c>
      <c r="AJB7" s="2">
        <v>0</v>
      </c>
      <c r="AJC7" s="2">
        <v>0</v>
      </c>
      <c r="AJD7" s="2">
        <v>0</v>
      </c>
      <c r="AJE7" s="2">
        <v>0</v>
      </c>
      <c r="AJF7" s="2">
        <v>1</v>
      </c>
      <c r="AJG7" s="2">
        <v>0</v>
      </c>
      <c r="AJH7" s="2">
        <v>0</v>
      </c>
      <c r="AJJ7" s="1" t="s">
        <v>1963</v>
      </c>
      <c r="AJK7" s="2">
        <v>0</v>
      </c>
      <c r="AJL7" s="2">
        <v>1</v>
      </c>
      <c r="AJM7" s="2">
        <v>0</v>
      </c>
      <c r="AJN7" s="2">
        <v>0</v>
      </c>
      <c r="AJO7" s="2">
        <v>0</v>
      </c>
      <c r="AJP7" s="2">
        <v>0</v>
      </c>
      <c r="AJQ7" s="2">
        <v>0</v>
      </c>
      <c r="AJR7" s="2">
        <v>0</v>
      </c>
      <c r="AJS7" s="2">
        <v>0</v>
      </c>
      <c r="AJT7" s="2">
        <v>0</v>
      </c>
      <c r="AJU7" s="2">
        <v>0</v>
      </c>
      <c r="AJV7" s="2">
        <v>0</v>
      </c>
      <c r="AJX7" s="1" t="s">
        <v>1154</v>
      </c>
      <c r="AJY7" s="1" t="s">
        <v>1178</v>
      </c>
      <c r="AJZ7" s="2">
        <v>1</v>
      </c>
      <c r="AKA7" s="2">
        <v>0</v>
      </c>
      <c r="AKB7" s="2">
        <v>0</v>
      </c>
      <c r="AKC7" s="2">
        <v>0</v>
      </c>
      <c r="AKD7" s="2">
        <v>0</v>
      </c>
      <c r="AKF7" s="1" t="s">
        <v>2361</v>
      </c>
      <c r="AKG7" s="2">
        <v>1</v>
      </c>
      <c r="AKH7" s="2">
        <v>0</v>
      </c>
      <c r="AKI7" s="2">
        <v>0</v>
      </c>
      <c r="AKJ7" s="2">
        <v>0</v>
      </c>
      <c r="AKK7" s="2">
        <v>0</v>
      </c>
      <c r="AKL7" s="2">
        <v>0</v>
      </c>
      <c r="AKM7" s="2">
        <v>0</v>
      </c>
      <c r="AKN7" s="2">
        <v>1</v>
      </c>
      <c r="AKO7" s="2">
        <v>0</v>
      </c>
      <c r="AKP7" s="2">
        <v>0</v>
      </c>
      <c r="AKQ7" s="2">
        <v>0</v>
      </c>
      <c r="AKR7" s="2">
        <v>0</v>
      </c>
      <c r="AVS7" s="1">
        <v>134774790</v>
      </c>
      <c r="AVT7" s="1" t="s">
        <v>2362</v>
      </c>
      <c r="AVV7" s="1">
        <v>96</v>
      </c>
    </row>
    <row r="8" spans="1:1270" x14ac:dyDescent="0.3">
      <c r="A8" s="1" t="s">
        <v>2363</v>
      </c>
      <c r="B8" s="1" t="s">
        <v>2364</v>
      </c>
      <c r="C8" s="1" t="s">
        <v>2365</v>
      </c>
      <c r="D8" s="1" t="s">
        <v>2354</v>
      </c>
      <c r="E8" s="1" t="s">
        <v>2241</v>
      </c>
      <c r="F8" s="1" t="s">
        <v>2354</v>
      </c>
      <c r="I8" s="1" t="s">
        <v>2080</v>
      </c>
      <c r="J8" s="1" t="s">
        <v>2325</v>
      </c>
      <c r="K8" s="1" t="s">
        <v>2325</v>
      </c>
      <c r="N8" s="1" t="s">
        <v>1168</v>
      </c>
      <c r="O8" s="2">
        <v>0</v>
      </c>
      <c r="P8" s="2">
        <v>0</v>
      </c>
      <c r="Q8" s="2">
        <v>1</v>
      </c>
      <c r="R8" s="2">
        <v>0</v>
      </c>
      <c r="S8" s="2">
        <v>0</v>
      </c>
      <c r="ZS8" s="1" t="s">
        <v>2366</v>
      </c>
      <c r="ZT8" s="1" t="s">
        <v>1169</v>
      </c>
      <c r="ZV8" s="1" t="s">
        <v>1170</v>
      </c>
      <c r="ZX8" s="1" t="s">
        <v>1155</v>
      </c>
      <c r="ABE8" s="1" t="s">
        <v>1171</v>
      </c>
      <c r="ABF8" s="2">
        <v>1</v>
      </c>
      <c r="ABG8" s="2">
        <v>0</v>
      </c>
      <c r="ABH8" s="2">
        <v>0</v>
      </c>
      <c r="ABI8" s="2">
        <v>0</v>
      </c>
      <c r="ABJ8" s="2">
        <v>0</v>
      </c>
      <c r="ABL8" s="1" t="s">
        <v>1157</v>
      </c>
      <c r="ABM8" s="2">
        <v>0</v>
      </c>
      <c r="ABN8" s="2">
        <v>0</v>
      </c>
      <c r="ABO8" s="2">
        <v>0</v>
      </c>
      <c r="ABP8" s="2">
        <v>0</v>
      </c>
      <c r="ABQ8" s="2">
        <v>0</v>
      </c>
      <c r="ABR8" s="2">
        <v>1</v>
      </c>
      <c r="ABS8" s="2">
        <v>0</v>
      </c>
      <c r="ABT8" s="2">
        <v>0</v>
      </c>
      <c r="ABU8" s="2">
        <v>0</v>
      </c>
      <c r="ABV8" s="2">
        <v>0</v>
      </c>
      <c r="ABW8" s="2">
        <v>0</v>
      </c>
      <c r="ABX8" s="2">
        <v>0</v>
      </c>
      <c r="ABZ8" s="2">
        <v>6</v>
      </c>
      <c r="ACA8" s="1" t="s">
        <v>1155</v>
      </c>
      <c r="ACB8" s="2">
        <v>6</v>
      </c>
      <c r="ACC8" s="1" t="s">
        <v>1154</v>
      </c>
      <c r="ACI8" s="1" t="s">
        <v>1155</v>
      </c>
      <c r="ACJ8" s="1" t="s">
        <v>1155</v>
      </c>
      <c r="ACK8" s="1" t="s">
        <v>1654</v>
      </c>
      <c r="ACM8" s="1" t="s">
        <v>1155</v>
      </c>
      <c r="ACN8" s="2">
        <v>255</v>
      </c>
      <c r="ACO8" s="2">
        <v>155</v>
      </c>
      <c r="ACP8" s="2">
        <v>100</v>
      </c>
      <c r="ACQ8" s="2">
        <v>100</v>
      </c>
      <c r="ACR8" s="2">
        <v>255</v>
      </c>
      <c r="ACT8" s="2">
        <v>5</v>
      </c>
      <c r="ACU8" s="2">
        <v>18</v>
      </c>
      <c r="ACV8" s="1" t="s">
        <v>1155</v>
      </c>
      <c r="ACW8" s="1" t="s">
        <v>1182</v>
      </c>
      <c r="ACX8" s="1" t="s">
        <v>2367</v>
      </c>
      <c r="ACY8" s="2">
        <v>1</v>
      </c>
      <c r="ACZ8" s="2">
        <v>1</v>
      </c>
      <c r="ADA8" s="2">
        <v>0</v>
      </c>
      <c r="ADB8" s="2">
        <v>0</v>
      </c>
      <c r="ADC8" s="2">
        <v>0</v>
      </c>
      <c r="ADD8" s="2">
        <v>0</v>
      </c>
      <c r="ADE8" s="2">
        <v>0</v>
      </c>
      <c r="ADQ8" s="2">
        <v>0</v>
      </c>
      <c r="ADR8" s="2">
        <v>0</v>
      </c>
      <c r="ADS8" s="2">
        <v>0</v>
      </c>
      <c r="ADT8" s="2">
        <v>0</v>
      </c>
      <c r="ADU8" s="2">
        <v>0</v>
      </c>
      <c r="ADW8" s="1" t="s">
        <v>1154</v>
      </c>
      <c r="AEO8" s="2">
        <v>0</v>
      </c>
      <c r="AEP8" s="2">
        <v>0</v>
      </c>
      <c r="AEQ8" s="2">
        <v>0</v>
      </c>
      <c r="AER8" s="2">
        <v>0</v>
      </c>
      <c r="AES8" s="2">
        <v>0</v>
      </c>
      <c r="AEU8" s="1" t="s">
        <v>1154</v>
      </c>
      <c r="AFL8" s="2">
        <v>5</v>
      </c>
      <c r="AFM8" s="2">
        <v>2</v>
      </c>
      <c r="AFN8" s="2">
        <v>3</v>
      </c>
      <c r="AFO8" s="2">
        <v>3</v>
      </c>
      <c r="AFP8" s="2">
        <v>5</v>
      </c>
      <c r="AFR8" s="1" t="s">
        <v>1155</v>
      </c>
      <c r="AFS8" s="1" t="s">
        <v>1164</v>
      </c>
      <c r="AGA8" s="1" t="s">
        <v>1960</v>
      </c>
      <c r="AGB8" s="2">
        <v>1</v>
      </c>
      <c r="AGC8" s="2">
        <v>0</v>
      </c>
      <c r="AGD8" s="2">
        <v>0</v>
      </c>
      <c r="AGE8" s="2">
        <v>0</v>
      </c>
      <c r="AGF8" s="2">
        <v>0</v>
      </c>
      <c r="AGH8" s="1" t="s">
        <v>1155</v>
      </c>
      <c r="AGI8" s="1" t="s">
        <v>1155</v>
      </c>
      <c r="AGJ8" s="1" t="s">
        <v>1154</v>
      </c>
      <c r="AGK8" s="85"/>
      <c r="AHQ8" s="1" t="s">
        <v>1163</v>
      </c>
      <c r="AHR8" s="2">
        <v>0</v>
      </c>
      <c r="AHS8" s="2">
        <v>0</v>
      </c>
      <c r="AHT8" s="2">
        <v>0</v>
      </c>
      <c r="AHU8" s="2">
        <v>0</v>
      </c>
      <c r="AHV8" s="2">
        <v>1</v>
      </c>
      <c r="AHX8" s="1" t="s">
        <v>1163</v>
      </c>
      <c r="AHY8" s="2">
        <v>0</v>
      </c>
      <c r="AHZ8" s="2">
        <v>0</v>
      </c>
      <c r="AIA8" s="2">
        <v>0</v>
      </c>
      <c r="AIB8" s="2">
        <v>0</v>
      </c>
      <c r="AIC8" s="2">
        <v>0</v>
      </c>
      <c r="AID8" s="2">
        <v>0</v>
      </c>
      <c r="AIE8" s="2">
        <v>0</v>
      </c>
      <c r="AIF8" s="2">
        <v>0</v>
      </c>
      <c r="AIG8" s="2">
        <v>1</v>
      </c>
      <c r="AIH8" s="2">
        <v>0</v>
      </c>
      <c r="AII8" s="2">
        <v>0</v>
      </c>
      <c r="AIK8" s="1" t="s">
        <v>1163</v>
      </c>
      <c r="AIL8" s="2">
        <v>0</v>
      </c>
      <c r="AIM8" s="2">
        <v>0</v>
      </c>
      <c r="AIN8" s="2">
        <v>0</v>
      </c>
      <c r="AIO8" s="2">
        <v>0</v>
      </c>
      <c r="AIP8" s="2">
        <v>0</v>
      </c>
      <c r="AIQ8" s="2">
        <v>0</v>
      </c>
      <c r="AIR8" s="2">
        <v>0</v>
      </c>
      <c r="AIS8" s="2">
        <v>0</v>
      </c>
      <c r="AIT8" s="2">
        <v>0</v>
      </c>
      <c r="AIU8" s="2">
        <v>1</v>
      </c>
      <c r="AIV8" s="2">
        <v>0</v>
      </c>
      <c r="AIW8" s="2">
        <v>0</v>
      </c>
      <c r="AIX8" s="2">
        <v>0</v>
      </c>
      <c r="AIZ8" s="1" t="s">
        <v>1155</v>
      </c>
      <c r="AJA8" s="1" t="s">
        <v>1157</v>
      </c>
      <c r="AJB8" s="2">
        <v>0</v>
      </c>
      <c r="AJC8" s="2">
        <v>0</v>
      </c>
      <c r="AJD8" s="2">
        <v>0</v>
      </c>
      <c r="AJE8" s="2">
        <v>0</v>
      </c>
      <c r="AJF8" s="2">
        <v>1</v>
      </c>
      <c r="AJG8" s="2">
        <v>0</v>
      </c>
      <c r="AJH8" s="2">
        <v>0</v>
      </c>
      <c r="AJJ8" s="1" t="s">
        <v>1378</v>
      </c>
      <c r="AJK8" s="2">
        <v>1</v>
      </c>
      <c r="AJL8" s="2">
        <v>0</v>
      </c>
      <c r="AJM8" s="2">
        <v>0</v>
      </c>
      <c r="AJN8" s="2">
        <v>0</v>
      </c>
      <c r="AJO8" s="2">
        <v>0</v>
      </c>
      <c r="AJP8" s="2">
        <v>0</v>
      </c>
      <c r="AJQ8" s="2">
        <v>0</v>
      </c>
      <c r="AJR8" s="2">
        <v>0</v>
      </c>
      <c r="AJS8" s="2">
        <v>0</v>
      </c>
      <c r="AJT8" s="2">
        <v>0</v>
      </c>
      <c r="AJU8" s="2">
        <v>0</v>
      </c>
      <c r="AJV8" s="2">
        <v>0</v>
      </c>
      <c r="AJX8" s="1" t="s">
        <v>1154</v>
      </c>
      <c r="AJY8" s="1" t="s">
        <v>1917</v>
      </c>
      <c r="AJZ8" s="2">
        <v>0</v>
      </c>
      <c r="AKA8" s="2">
        <v>1</v>
      </c>
      <c r="AKB8" s="2">
        <v>0</v>
      </c>
      <c r="AKC8" s="2">
        <v>0</v>
      </c>
      <c r="AKD8" s="2">
        <v>0</v>
      </c>
      <c r="AKF8" s="1" t="s">
        <v>1896</v>
      </c>
      <c r="AKG8" s="2">
        <v>0</v>
      </c>
      <c r="AKH8" s="2">
        <v>0</v>
      </c>
      <c r="AKI8" s="2">
        <v>0</v>
      </c>
      <c r="AKJ8" s="2">
        <v>0</v>
      </c>
      <c r="AKK8" s="2">
        <v>0</v>
      </c>
      <c r="AKL8" s="2">
        <v>0</v>
      </c>
      <c r="AKM8" s="2">
        <v>0</v>
      </c>
      <c r="AKN8" s="2">
        <v>1</v>
      </c>
      <c r="AKO8" s="2">
        <v>0</v>
      </c>
      <c r="AKP8" s="2">
        <v>0</v>
      </c>
      <c r="AKQ8" s="2">
        <v>0</v>
      </c>
      <c r="AKR8" s="2">
        <v>0</v>
      </c>
      <c r="AVS8" s="1">
        <v>134774749</v>
      </c>
      <c r="AVT8" s="1" t="s">
        <v>2368</v>
      </c>
      <c r="AVV8" s="1">
        <v>97</v>
      </c>
    </row>
    <row r="9" spans="1:1270" x14ac:dyDescent="0.3">
      <c r="A9" s="1" t="s">
        <v>2369</v>
      </c>
      <c r="B9" s="1" t="s">
        <v>2370</v>
      </c>
      <c r="C9" s="1" t="s">
        <v>2371</v>
      </c>
      <c r="D9" s="1" t="s">
        <v>2324</v>
      </c>
      <c r="E9" s="1" t="s">
        <v>2241</v>
      </c>
      <c r="F9" s="1" t="s">
        <v>2324</v>
      </c>
      <c r="I9" s="1" t="s">
        <v>2080</v>
      </c>
      <c r="J9" s="1" t="s">
        <v>2325</v>
      </c>
      <c r="K9" s="1" t="s">
        <v>2325</v>
      </c>
      <c r="N9" s="1" t="s">
        <v>1152</v>
      </c>
      <c r="O9" s="2">
        <v>1</v>
      </c>
      <c r="P9" s="2">
        <v>0</v>
      </c>
      <c r="Q9" s="2">
        <v>0</v>
      </c>
      <c r="R9" s="2">
        <v>0</v>
      </c>
      <c r="S9" s="2">
        <v>0</v>
      </c>
      <c r="U9" s="1" t="s">
        <v>1874</v>
      </c>
      <c r="W9" s="1" t="s">
        <v>1154</v>
      </c>
      <c r="X9" s="1" t="s">
        <v>1155</v>
      </c>
      <c r="AN9" s="1" t="s">
        <v>1154</v>
      </c>
      <c r="AO9" s="2">
        <v>50</v>
      </c>
      <c r="AP9" s="1" t="s">
        <v>1190</v>
      </c>
      <c r="AR9" s="1" t="s">
        <v>1649</v>
      </c>
      <c r="AS9" s="1" t="s">
        <v>1163</v>
      </c>
      <c r="AT9" s="1" t="s">
        <v>1155</v>
      </c>
      <c r="AU9" s="1" t="s">
        <v>1182</v>
      </c>
      <c r="AV9" s="1" t="s">
        <v>1937</v>
      </c>
      <c r="AW9" s="2">
        <v>0</v>
      </c>
      <c r="AX9" s="2">
        <v>0</v>
      </c>
      <c r="AY9" s="2">
        <v>1</v>
      </c>
      <c r="AZ9" s="2">
        <v>0</v>
      </c>
      <c r="BA9" s="2">
        <v>0</v>
      </c>
      <c r="BB9" s="2">
        <v>0</v>
      </c>
      <c r="BC9" s="2">
        <v>0</v>
      </c>
      <c r="BD9" s="2">
        <v>0</v>
      </c>
      <c r="BO9" s="1" t="s">
        <v>1650</v>
      </c>
      <c r="BP9" s="2">
        <v>0</v>
      </c>
      <c r="BQ9" s="2">
        <v>0</v>
      </c>
      <c r="BR9" s="2">
        <v>0</v>
      </c>
      <c r="BS9" s="2">
        <v>0</v>
      </c>
      <c r="BT9" s="2">
        <v>0</v>
      </c>
      <c r="BU9" s="2">
        <v>0</v>
      </c>
      <c r="BV9" s="2">
        <v>0</v>
      </c>
      <c r="BW9" s="2">
        <v>0</v>
      </c>
      <c r="BX9" s="2">
        <v>0</v>
      </c>
      <c r="BY9" s="2">
        <v>0</v>
      </c>
      <c r="BZ9" s="2">
        <v>1</v>
      </c>
      <c r="CA9" s="2">
        <v>0</v>
      </c>
      <c r="CC9" s="1" t="s">
        <v>1154</v>
      </c>
      <c r="DQ9" s="1" t="s">
        <v>1163</v>
      </c>
      <c r="DR9" s="2">
        <v>0</v>
      </c>
      <c r="DS9" s="2">
        <v>0</v>
      </c>
      <c r="DT9" s="2">
        <v>0</v>
      </c>
      <c r="DU9" s="2">
        <v>0</v>
      </c>
      <c r="DV9" s="2">
        <v>1</v>
      </c>
      <c r="DX9" s="1" t="s">
        <v>1920</v>
      </c>
      <c r="DY9" s="2">
        <v>0</v>
      </c>
      <c r="DZ9" s="2">
        <v>0</v>
      </c>
      <c r="EA9" s="2">
        <v>0</v>
      </c>
      <c r="EB9" s="2">
        <v>0</v>
      </c>
      <c r="EC9" s="2">
        <v>0</v>
      </c>
      <c r="ED9" s="2">
        <v>0</v>
      </c>
      <c r="EE9" s="2">
        <v>0</v>
      </c>
      <c r="EF9" s="2">
        <v>0</v>
      </c>
      <c r="EG9" s="2">
        <v>1</v>
      </c>
      <c r="EH9" s="2">
        <v>0</v>
      </c>
      <c r="EI9" s="2">
        <v>0</v>
      </c>
      <c r="EJ9" s="2">
        <v>0</v>
      </c>
      <c r="EK9" s="2">
        <v>0</v>
      </c>
      <c r="EM9" s="1" t="s">
        <v>1163</v>
      </c>
      <c r="EN9" s="2">
        <v>0</v>
      </c>
      <c r="EO9" s="2">
        <v>0</v>
      </c>
      <c r="EP9" s="2">
        <v>0</v>
      </c>
      <c r="EQ9" s="2">
        <v>0</v>
      </c>
      <c r="ER9" s="2">
        <v>0</v>
      </c>
      <c r="ES9" s="2">
        <v>0</v>
      </c>
      <c r="ET9" s="2">
        <v>0</v>
      </c>
      <c r="EU9" s="2">
        <v>0</v>
      </c>
      <c r="EV9" s="2">
        <v>0</v>
      </c>
      <c r="EW9" s="2">
        <v>1</v>
      </c>
      <c r="EX9" s="2">
        <v>0</v>
      </c>
      <c r="EY9" s="2">
        <v>0</v>
      </c>
      <c r="EZ9" s="2">
        <v>0</v>
      </c>
      <c r="FB9" s="1" t="s">
        <v>1154</v>
      </c>
      <c r="GI9" s="1" t="s">
        <v>1916</v>
      </c>
      <c r="GJ9" s="2">
        <v>0</v>
      </c>
      <c r="GK9" s="2">
        <v>1</v>
      </c>
      <c r="GL9" s="2">
        <v>0</v>
      </c>
      <c r="GM9" s="2">
        <v>0</v>
      </c>
      <c r="GN9" s="2">
        <v>0</v>
      </c>
      <c r="GO9" s="2">
        <v>0</v>
      </c>
      <c r="GP9" s="2">
        <v>1</v>
      </c>
      <c r="GQ9" s="2">
        <v>0</v>
      </c>
      <c r="GR9" s="2">
        <v>0</v>
      </c>
      <c r="GS9" s="2">
        <v>0</v>
      </c>
      <c r="GT9" s="2">
        <v>0</v>
      </c>
      <c r="GU9" s="2">
        <v>0</v>
      </c>
      <c r="GV9" s="2">
        <v>0</v>
      </c>
      <c r="AVS9" s="1">
        <v>134774703</v>
      </c>
      <c r="AVT9" s="1" t="s">
        <v>2372</v>
      </c>
      <c r="AVV9" s="1">
        <v>98</v>
      </c>
    </row>
    <row r="10" spans="1:1270" x14ac:dyDescent="0.3">
      <c r="A10" s="1" t="s">
        <v>2373</v>
      </c>
      <c r="B10" s="1" t="s">
        <v>2374</v>
      </c>
      <c r="C10" s="1" t="s">
        <v>2375</v>
      </c>
      <c r="D10" s="1" t="s">
        <v>2324</v>
      </c>
      <c r="E10" s="1" t="s">
        <v>2241</v>
      </c>
      <c r="F10" s="1" t="s">
        <v>2324</v>
      </c>
      <c r="I10" s="1" t="s">
        <v>2080</v>
      </c>
      <c r="J10" s="1" t="s">
        <v>2325</v>
      </c>
      <c r="K10" s="1" t="s">
        <v>2325</v>
      </c>
      <c r="N10" s="1" t="s">
        <v>1152</v>
      </c>
      <c r="O10" s="2">
        <v>1</v>
      </c>
      <c r="P10" s="2">
        <v>0</v>
      </c>
      <c r="Q10" s="2">
        <v>0</v>
      </c>
      <c r="R10" s="2">
        <v>0</v>
      </c>
      <c r="S10" s="2">
        <v>0</v>
      </c>
      <c r="U10" s="1" t="s">
        <v>1654</v>
      </c>
      <c r="W10" s="1" t="s">
        <v>1155</v>
      </c>
      <c r="X10" s="1" t="s">
        <v>1155</v>
      </c>
      <c r="AN10" s="1" t="s">
        <v>1179</v>
      </c>
      <c r="AO10" s="2">
        <v>200</v>
      </c>
      <c r="AP10" s="1" t="s">
        <v>1871</v>
      </c>
      <c r="AR10" s="1" t="s">
        <v>1642</v>
      </c>
      <c r="AS10" s="1" t="s">
        <v>1655</v>
      </c>
      <c r="AT10" s="1" t="s">
        <v>1155</v>
      </c>
      <c r="AU10" s="1" t="s">
        <v>1182</v>
      </c>
      <c r="AV10" s="1" t="s">
        <v>1186</v>
      </c>
      <c r="AW10" s="2">
        <v>1</v>
      </c>
      <c r="AX10" s="2">
        <v>0</v>
      </c>
      <c r="AY10" s="2">
        <v>0</v>
      </c>
      <c r="AZ10" s="2">
        <v>0</v>
      </c>
      <c r="BA10" s="2">
        <v>0</v>
      </c>
      <c r="BB10" s="2">
        <v>0</v>
      </c>
      <c r="BC10" s="2">
        <v>0</v>
      </c>
      <c r="BD10" s="2">
        <v>0</v>
      </c>
      <c r="BO10" s="1" t="s">
        <v>1184</v>
      </c>
      <c r="BP10" s="2">
        <v>1</v>
      </c>
      <c r="BQ10" s="2">
        <v>0</v>
      </c>
      <c r="BR10" s="2">
        <v>0</v>
      </c>
      <c r="BS10" s="2">
        <v>0</v>
      </c>
      <c r="BT10" s="2">
        <v>0</v>
      </c>
      <c r="BU10" s="2">
        <v>0</v>
      </c>
      <c r="BV10" s="2">
        <v>0</v>
      </c>
      <c r="BW10" s="2">
        <v>0</v>
      </c>
      <c r="BX10" s="2">
        <v>0</v>
      </c>
      <c r="BY10" s="2">
        <v>0</v>
      </c>
      <c r="BZ10" s="2">
        <v>0</v>
      </c>
      <c r="CA10" s="2">
        <v>0</v>
      </c>
      <c r="CC10" s="1" t="s">
        <v>1155</v>
      </c>
      <c r="CD10" s="1" t="s">
        <v>1979</v>
      </c>
      <c r="CF10" s="2">
        <v>100</v>
      </c>
      <c r="CG10" s="1" t="s">
        <v>1154</v>
      </c>
      <c r="CY10" s="1" t="s">
        <v>2666</v>
      </c>
      <c r="CZ10" s="2">
        <v>0</v>
      </c>
      <c r="DA10" s="2">
        <v>0</v>
      </c>
      <c r="DB10" s="2">
        <v>0</v>
      </c>
      <c r="DC10" s="2">
        <v>0</v>
      </c>
      <c r="DD10" s="2">
        <v>0</v>
      </c>
      <c r="DE10" s="2">
        <v>1</v>
      </c>
      <c r="DF10" s="2">
        <v>0</v>
      </c>
      <c r="DG10" s="2">
        <v>0</v>
      </c>
      <c r="DI10" s="1" t="s">
        <v>1155</v>
      </c>
      <c r="DJ10" s="1" t="s">
        <v>2224</v>
      </c>
      <c r="DK10" s="2">
        <v>0</v>
      </c>
      <c r="DL10" s="2">
        <v>1</v>
      </c>
      <c r="DM10" s="2">
        <v>0</v>
      </c>
      <c r="DN10" s="2">
        <v>0</v>
      </c>
      <c r="DO10" s="2">
        <v>0</v>
      </c>
      <c r="DQ10" s="1" t="s">
        <v>1163</v>
      </c>
      <c r="DR10" s="2">
        <v>0</v>
      </c>
      <c r="DS10" s="2">
        <v>0</v>
      </c>
      <c r="DT10" s="2">
        <v>0</v>
      </c>
      <c r="DU10" s="2">
        <v>0</v>
      </c>
      <c r="DV10" s="2">
        <v>1</v>
      </c>
      <c r="DX10" s="1" t="s">
        <v>1656</v>
      </c>
      <c r="DY10" s="2">
        <v>0</v>
      </c>
      <c r="DZ10" s="2">
        <v>0</v>
      </c>
      <c r="EA10" s="2">
        <v>0</v>
      </c>
      <c r="EB10" s="2">
        <v>0</v>
      </c>
      <c r="EC10" s="2">
        <v>0</v>
      </c>
      <c r="ED10" s="2">
        <v>0</v>
      </c>
      <c r="EE10" s="2">
        <v>0</v>
      </c>
      <c r="EF10" s="2">
        <v>0</v>
      </c>
      <c r="EG10" s="2">
        <v>0</v>
      </c>
      <c r="EH10" s="2">
        <v>0</v>
      </c>
      <c r="EI10" s="2">
        <v>0</v>
      </c>
      <c r="EJ10" s="2">
        <v>0</v>
      </c>
      <c r="EK10" s="2">
        <v>1</v>
      </c>
      <c r="EM10" s="1" t="s">
        <v>1163</v>
      </c>
      <c r="EN10" s="2">
        <v>0</v>
      </c>
      <c r="EO10" s="2">
        <v>0</v>
      </c>
      <c r="EP10" s="2">
        <v>0</v>
      </c>
      <c r="EQ10" s="2">
        <v>0</v>
      </c>
      <c r="ER10" s="2">
        <v>0</v>
      </c>
      <c r="ES10" s="2">
        <v>0</v>
      </c>
      <c r="ET10" s="2">
        <v>0</v>
      </c>
      <c r="EU10" s="2">
        <v>0</v>
      </c>
      <c r="EV10" s="2">
        <v>0</v>
      </c>
      <c r="EW10" s="2">
        <v>1</v>
      </c>
      <c r="EX10" s="2">
        <v>0</v>
      </c>
      <c r="EY10" s="2">
        <v>0</v>
      </c>
      <c r="EZ10" s="2">
        <v>0</v>
      </c>
      <c r="FB10" s="1" t="s">
        <v>1154</v>
      </c>
      <c r="GI10" s="1" t="s">
        <v>2376</v>
      </c>
      <c r="GJ10" s="2">
        <v>0</v>
      </c>
      <c r="GK10" s="2">
        <v>0</v>
      </c>
      <c r="GL10" s="2">
        <v>0</v>
      </c>
      <c r="GM10" s="2">
        <v>0</v>
      </c>
      <c r="GN10" s="2">
        <v>0</v>
      </c>
      <c r="GO10" s="2">
        <v>1</v>
      </c>
      <c r="GP10" s="2">
        <v>0</v>
      </c>
      <c r="GQ10" s="2">
        <v>0</v>
      </c>
      <c r="GR10" s="2">
        <v>0</v>
      </c>
      <c r="GS10" s="2">
        <v>0</v>
      </c>
      <c r="GT10" s="2">
        <v>1</v>
      </c>
      <c r="GU10" s="2">
        <v>0</v>
      </c>
      <c r="GV10" s="2">
        <v>0</v>
      </c>
      <c r="AVS10" s="1">
        <v>134774622</v>
      </c>
      <c r="AVT10" s="1" t="s">
        <v>2377</v>
      </c>
      <c r="AVV10" s="1">
        <v>99</v>
      </c>
    </row>
    <row r="11" spans="1:1270" x14ac:dyDescent="0.3">
      <c r="A11" s="1" t="s">
        <v>2378</v>
      </c>
      <c r="B11" s="1" t="s">
        <v>2379</v>
      </c>
      <c r="C11" s="1" t="s">
        <v>2380</v>
      </c>
      <c r="D11" s="1" t="s">
        <v>2324</v>
      </c>
      <c r="E11" s="1" t="s">
        <v>2241</v>
      </c>
      <c r="F11" s="1" t="s">
        <v>2324</v>
      </c>
      <c r="I11" s="1" t="s">
        <v>2080</v>
      </c>
      <c r="J11" s="1" t="s">
        <v>2325</v>
      </c>
      <c r="K11" s="1" t="s">
        <v>2325</v>
      </c>
      <c r="N11" s="1" t="s">
        <v>1152</v>
      </c>
      <c r="O11" s="2">
        <v>1</v>
      </c>
      <c r="P11" s="2">
        <v>0</v>
      </c>
      <c r="Q11" s="2">
        <v>0</v>
      </c>
      <c r="R11" s="2">
        <v>0</v>
      </c>
      <c r="S11" s="2">
        <v>0</v>
      </c>
      <c r="U11" s="1" t="s">
        <v>1885</v>
      </c>
      <c r="W11" s="1" t="s">
        <v>1154</v>
      </c>
      <c r="X11" s="1" t="s">
        <v>1155</v>
      </c>
      <c r="AN11" s="1" t="s">
        <v>1187</v>
      </c>
      <c r="AO11" s="2">
        <v>70</v>
      </c>
      <c r="AP11" s="1" t="s">
        <v>1871</v>
      </c>
      <c r="AR11" s="1" t="s">
        <v>1649</v>
      </c>
      <c r="AS11" s="1" t="s">
        <v>1653</v>
      </c>
      <c r="AT11" s="1" t="s">
        <v>1155</v>
      </c>
      <c r="AU11" s="1" t="s">
        <v>1182</v>
      </c>
      <c r="AV11" s="1" t="s">
        <v>1186</v>
      </c>
      <c r="AW11" s="2">
        <v>1</v>
      </c>
      <c r="AX11" s="2">
        <v>0</v>
      </c>
      <c r="AY11" s="2">
        <v>0</v>
      </c>
      <c r="AZ11" s="2">
        <v>0</v>
      </c>
      <c r="BA11" s="2">
        <v>0</v>
      </c>
      <c r="BB11" s="2">
        <v>0</v>
      </c>
      <c r="BC11" s="2">
        <v>0</v>
      </c>
      <c r="BD11" s="2">
        <v>0</v>
      </c>
      <c r="BO11" s="1" t="s">
        <v>1650</v>
      </c>
      <c r="BP11" s="2">
        <v>0</v>
      </c>
      <c r="BQ11" s="2">
        <v>0</v>
      </c>
      <c r="BR11" s="2">
        <v>0</v>
      </c>
      <c r="BS11" s="2">
        <v>0</v>
      </c>
      <c r="BT11" s="2">
        <v>0</v>
      </c>
      <c r="BU11" s="2">
        <v>0</v>
      </c>
      <c r="BV11" s="2">
        <v>0</v>
      </c>
      <c r="BW11" s="2">
        <v>0</v>
      </c>
      <c r="BX11" s="2">
        <v>0</v>
      </c>
      <c r="BY11" s="2">
        <v>0</v>
      </c>
      <c r="BZ11" s="2">
        <v>1</v>
      </c>
      <c r="CA11" s="2">
        <v>0</v>
      </c>
      <c r="CC11" s="1" t="s">
        <v>1154</v>
      </c>
      <c r="DQ11" s="1" t="s">
        <v>1163</v>
      </c>
      <c r="DR11" s="2">
        <v>0</v>
      </c>
      <c r="DS11" s="2">
        <v>0</v>
      </c>
      <c r="DT11" s="2">
        <v>0</v>
      </c>
      <c r="DU11" s="2">
        <v>0</v>
      </c>
      <c r="DV11" s="2">
        <v>1</v>
      </c>
      <c r="DX11" s="1" t="s">
        <v>1920</v>
      </c>
      <c r="DY11" s="2">
        <v>0</v>
      </c>
      <c r="DZ11" s="2">
        <v>0</v>
      </c>
      <c r="EA11" s="2">
        <v>0</v>
      </c>
      <c r="EB11" s="2">
        <v>0</v>
      </c>
      <c r="EC11" s="2">
        <v>0</v>
      </c>
      <c r="ED11" s="2">
        <v>0</v>
      </c>
      <c r="EE11" s="2">
        <v>0</v>
      </c>
      <c r="EF11" s="2">
        <v>0</v>
      </c>
      <c r="EG11" s="2">
        <v>1</v>
      </c>
      <c r="EH11" s="2">
        <v>0</v>
      </c>
      <c r="EI11" s="2">
        <v>0</v>
      </c>
      <c r="EJ11" s="2">
        <v>0</v>
      </c>
      <c r="EK11" s="2">
        <v>0</v>
      </c>
      <c r="EM11" s="1" t="s">
        <v>1784</v>
      </c>
      <c r="EN11" s="2">
        <v>0</v>
      </c>
      <c r="EO11" s="2">
        <v>0</v>
      </c>
      <c r="EP11" s="2">
        <v>0</v>
      </c>
      <c r="EQ11" s="2">
        <v>0</v>
      </c>
      <c r="ER11" s="2">
        <v>0</v>
      </c>
      <c r="ES11" s="2">
        <v>0</v>
      </c>
      <c r="ET11" s="2">
        <v>1</v>
      </c>
      <c r="EU11" s="2">
        <v>0</v>
      </c>
      <c r="EV11" s="2">
        <v>0</v>
      </c>
      <c r="EW11" s="2">
        <v>0</v>
      </c>
      <c r="EX11" s="2">
        <v>0</v>
      </c>
      <c r="EY11" s="2">
        <v>0</v>
      </c>
      <c r="EZ11" s="2">
        <v>0</v>
      </c>
      <c r="FB11" s="1" t="s">
        <v>1154</v>
      </c>
      <c r="GI11" s="1" t="s">
        <v>1921</v>
      </c>
      <c r="GJ11" s="2">
        <v>0</v>
      </c>
      <c r="GK11" s="2">
        <v>0</v>
      </c>
      <c r="GL11" s="2">
        <v>0</v>
      </c>
      <c r="GM11" s="2">
        <v>0</v>
      </c>
      <c r="GN11" s="2">
        <v>0</v>
      </c>
      <c r="GO11" s="2">
        <v>0</v>
      </c>
      <c r="GP11" s="2">
        <v>1</v>
      </c>
      <c r="GQ11" s="2">
        <v>0</v>
      </c>
      <c r="GR11" s="2">
        <v>0</v>
      </c>
      <c r="GS11" s="2">
        <v>0</v>
      </c>
      <c r="GT11" s="2">
        <v>0</v>
      </c>
      <c r="GU11" s="2">
        <v>0</v>
      </c>
      <c r="GV11" s="2">
        <v>0</v>
      </c>
      <c r="AVS11" s="1">
        <v>134774512</v>
      </c>
      <c r="AVT11" s="1" t="s">
        <v>2381</v>
      </c>
      <c r="AVV11" s="1">
        <v>100</v>
      </c>
    </row>
    <row r="12" spans="1:1270" x14ac:dyDescent="0.3">
      <c r="A12" s="1" t="s">
        <v>2382</v>
      </c>
      <c r="B12" s="1" t="s">
        <v>2383</v>
      </c>
      <c r="C12" s="1" t="s">
        <v>2384</v>
      </c>
      <c r="D12" s="1" t="s">
        <v>2324</v>
      </c>
      <c r="E12" s="1" t="s">
        <v>2173</v>
      </c>
      <c r="F12" s="1" t="s">
        <v>2324</v>
      </c>
      <c r="I12" s="1" t="s">
        <v>2080</v>
      </c>
      <c r="J12" s="1" t="s">
        <v>2325</v>
      </c>
      <c r="K12" s="1" t="s">
        <v>2325</v>
      </c>
      <c r="N12" s="1" t="s">
        <v>1152</v>
      </c>
      <c r="O12" s="2">
        <v>1</v>
      </c>
      <c r="P12" s="2">
        <v>0</v>
      </c>
      <c r="Q12" s="2">
        <v>0</v>
      </c>
      <c r="R12" s="2">
        <v>0</v>
      </c>
      <c r="S12" s="2">
        <v>0</v>
      </c>
      <c r="U12" s="1" t="s">
        <v>1874</v>
      </c>
      <c r="W12" s="1" t="s">
        <v>1154</v>
      </c>
      <c r="X12" s="1" t="s">
        <v>1155</v>
      </c>
      <c r="AN12" s="1" t="s">
        <v>1187</v>
      </c>
      <c r="AO12" s="2">
        <v>180</v>
      </c>
      <c r="AP12" s="1" t="s">
        <v>1871</v>
      </c>
      <c r="AR12" s="1" t="s">
        <v>1642</v>
      </c>
      <c r="AS12" s="1" t="s">
        <v>1653</v>
      </c>
      <c r="AT12" s="1" t="s">
        <v>1155</v>
      </c>
      <c r="AU12" s="1" t="s">
        <v>1156</v>
      </c>
      <c r="AV12" s="1" t="s">
        <v>2184</v>
      </c>
      <c r="AW12" s="2">
        <v>0</v>
      </c>
      <c r="AX12" s="2">
        <v>1</v>
      </c>
      <c r="AY12" s="2">
        <v>0</v>
      </c>
      <c r="AZ12" s="2">
        <v>1</v>
      </c>
      <c r="BA12" s="2">
        <v>0</v>
      </c>
      <c r="BB12" s="2">
        <v>0</v>
      </c>
      <c r="BC12" s="2">
        <v>0</v>
      </c>
      <c r="BD12" s="2">
        <v>0</v>
      </c>
      <c r="BO12" s="1" t="s">
        <v>1650</v>
      </c>
      <c r="BP12" s="2">
        <v>0</v>
      </c>
      <c r="BQ12" s="2">
        <v>0</v>
      </c>
      <c r="BR12" s="2">
        <v>0</v>
      </c>
      <c r="BS12" s="2">
        <v>0</v>
      </c>
      <c r="BT12" s="2">
        <v>0</v>
      </c>
      <c r="BU12" s="2">
        <v>0</v>
      </c>
      <c r="BV12" s="2">
        <v>0</v>
      </c>
      <c r="BW12" s="2">
        <v>0</v>
      </c>
      <c r="BX12" s="2">
        <v>0</v>
      </c>
      <c r="BY12" s="2">
        <v>0</v>
      </c>
      <c r="BZ12" s="2">
        <v>1</v>
      </c>
      <c r="CA12" s="2">
        <v>0</v>
      </c>
      <c r="CC12" s="1" t="s">
        <v>1154</v>
      </c>
      <c r="DQ12" s="1" t="s">
        <v>1163</v>
      </c>
      <c r="DR12" s="2">
        <v>0</v>
      </c>
      <c r="DS12" s="2">
        <v>0</v>
      </c>
      <c r="DT12" s="2">
        <v>0</v>
      </c>
      <c r="DU12" s="2">
        <v>0</v>
      </c>
      <c r="DV12" s="2">
        <v>1</v>
      </c>
      <c r="DX12" s="1" t="s">
        <v>2385</v>
      </c>
      <c r="DY12" s="2">
        <v>0</v>
      </c>
      <c r="DZ12" s="2">
        <v>1</v>
      </c>
      <c r="EA12" s="2">
        <v>0</v>
      </c>
      <c r="EB12" s="2">
        <v>0</v>
      </c>
      <c r="EC12" s="2">
        <v>0</v>
      </c>
      <c r="ED12" s="2">
        <v>1</v>
      </c>
      <c r="EE12" s="2">
        <v>0</v>
      </c>
      <c r="EF12" s="2">
        <v>0</v>
      </c>
      <c r="EG12" s="2">
        <v>0</v>
      </c>
      <c r="EH12" s="2">
        <v>0</v>
      </c>
      <c r="EI12" s="2">
        <v>0</v>
      </c>
      <c r="EJ12" s="2">
        <v>0</v>
      </c>
      <c r="EK12" s="2">
        <v>1</v>
      </c>
      <c r="EM12" s="1" t="s">
        <v>1163</v>
      </c>
      <c r="EN12" s="2">
        <v>0</v>
      </c>
      <c r="EO12" s="2">
        <v>0</v>
      </c>
      <c r="EP12" s="2">
        <v>0</v>
      </c>
      <c r="EQ12" s="2">
        <v>0</v>
      </c>
      <c r="ER12" s="2">
        <v>0</v>
      </c>
      <c r="ES12" s="2">
        <v>0</v>
      </c>
      <c r="ET12" s="2">
        <v>0</v>
      </c>
      <c r="EU12" s="2">
        <v>0</v>
      </c>
      <c r="EV12" s="2">
        <v>0</v>
      </c>
      <c r="EW12" s="2">
        <v>1</v>
      </c>
      <c r="EX12" s="2">
        <v>0</v>
      </c>
      <c r="EY12" s="2">
        <v>0</v>
      </c>
      <c r="EZ12" s="2">
        <v>0</v>
      </c>
      <c r="FB12" s="1" t="s">
        <v>1154</v>
      </c>
      <c r="GI12" s="1" t="s">
        <v>2386</v>
      </c>
      <c r="GJ12" s="2">
        <v>0</v>
      </c>
      <c r="GK12" s="2">
        <v>1</v>
      </c>
      <c r="GL12" s="2">
        <v>0</v>
      </c>
      <c r="GM12" s="2">
        <v>0</v>
      </c>
      <c r="GN12" s="2">
        <v>0</v>
      </c>
      <c r="GO12" s="2">
        <v>1</v>
      </c>
      <c r="GP12" s="2">
        <v>0</v>
      </c>
      <c r="GQ12" s="2">
        <v>0</v>
      </c>
      <c r="GR12" s="2">
        <v>0</v>
      </c>
      <c r="GS12" s="2">
        <v>0</v>
      </c>
      <c r="GT12" s="2">
        <v>0</v>
      </c>
      <c r="GU12" s="2">
        <v>0</v>
      </c>
      <c r="GV12" s="2">
        <v>0</v>
      </c>
      <c r="AVS12" s="1">
        <v>134774281</v>
      </c>
      <c r="AVT12" s="1" t="s">
        <v>2387</v>
      </c>
      <c r="AVV12" s="1">
        <v>101</v>
      </c>
    </row>
    <row r="13" spans="1:1270" x14ac:dyDescent="0.3">
      <c r="A13" s="1" t="s">
        <v>2388</v>
      </c>
      <c r="B13" s="1" t="s">
        <v>2389</v>
      </c>
      <c r="C13" s="1" t="s">
        <v>2390</v>
      </c>
      <c r="D13" s="1" t="s">
        <v>2324</v>
      </c>
      <c r="E13" s="1" t="s">
        <v>2173</v>
      </c>
      <c r="F13" s="1" t="s">
        <v>2324</v>
      </c>
      <c r="I13" s="1" t="s">
        <v>2080</v>
      </c>
      <c r="J13" s="1" t="s">
        <v>2325</v>
      </c>
      <c r="K13" s="1" t="s">
        <v>2325</v>
      </c>
      <c r="N13" s="1" t="s">
        <v>1152</v>
      </c>
      <c r="O13" s="2">
        <v>1</v>
      </c>
      <c r="P13" s="2">
        <v>0</v>
      </c>
      <c r="Q13" s="2">
        <v>0</v>
      </c>
      <c r="R13" s="2">
        <v>0</v>
      </c>
      <c r="S13" s="2">
        <v>0</v>
      </c>
      <c r="U13" s="1" t="s">
        <v>1885</v>
      </c>
      <c r="W13" s="1" t="s">
        <v>1154</v>
      </c>
      <c r="X13" s="1" t="s">
        <v>1155</v>
      </c>
      <c r="AN13" s="1" t="s">
        <v>1187</v>
      </c>
      <c r="AO13" s="2">
        <v>120</v>
      </c>
      <c r="AP13" s="1" t="s">
        <v>1871</v>
      </c>
      <c r="AR13" s="1" t="s">
        <v>1642</v>
      </c>
      <c r="AS13" s="1" t="s">
        <v>1653</v>
      </c>
      <c r="AT13" s="1" t="s">
        <v>1155</v>
      </c>
      <c r="AU13" s="1" t="s">
        <v>1156</v>
      </c>
      <c r="AV13" s="1" t="s">
        <v>1940</v>
      </c>
      <c r="AW13" s="2">
        <v>0</v>
      </c>
      <c r="AX13" s="2">
        <v>0</v>
      </c>
      <c r="AY13" s="2">
        <v>0</v>
      </c>
      <c r="AZ13" s="2">
        <v>1</v>
      </c>
      <c r="BA13" s="2">
        <v>0</v>
      </c>
      <c r="BB13" s="2">
        <v>0</v>
      </c>
      <c r="BC13" s="2">
        <v>0</v>
      </c>
      <c r="BD13" s="2">
        <v>0</v>
      </c>
      <c r="BO13" s="1" t="s">
        <v>1161</v>
      </c>
      <c r="BP13" s="2">
        <v>0</v>
      </c>
      <c r="BQ13" s="2">
        <v>0</v>
      </c>
      <c r="BR13" s="2">
        <v>0</v>
      </c>
      <c r="BS13" s="2">
        <v>0</v>
      </c>
      <c r="BT13" s="2">
        <v>0</v>
      </c>
      <c r="BU13" s="2">
        <v>0</v>
      </c>
      <c r="BV13" s="2">
        <v>0</v>
      </c>
      <c r="BW13" s="2">
        <v>1</v>
      </c>
      <c r="BX13" s="2">
        <v>0</v>
      </c>
      <c r="BY13" s="2">
        <v>0</v>
      </c>
      <c r="BZ13" s="2">
        <v>0</v>
      </c>
      <c r="CA13" s="2">
        <v>0</v>
      </c>
      <c r="CC13" s="1" t="s">
        <v>1154</v>
      </c>
      <c r="DQ13" s="1" t="s">
        <v>1153</v>
      </c>
      <c r="DR13" s="2">
        <v>0</v>
      </c>
      <c r="DS13" s="2">
        <v>0</v>
      </c>
      <c r="DT13" s="2">
        <v>0</v>
      </c>
      <c r="DU13" s="2">
        <v>1</v>
      </c>
      <c r="DV13" s="2">
        <v>0</v>
      </c>
      <c r="DW13" s="1" t="s">
        <v>2669</v>
      </c>
      <c r="DX13" s="1" t="s">
        <v>2304</v>
      </c>
      <c r="DY13" s="2">
        <v>1</v>
      </c>
      <c r="DZ13" s="2">
        <v>1</v>
      </c>
      <c r="EA13" s="2">
        <v>0</v>
      </c>
      <c r="EB13" s="2">
        <v>0</v>
      </c>
      <c r="EC13" s="2">
        <v>0</v>
      </c>
      <c r="ED13" s="2">
        <v>0</v>
      </c>
      <c r="EE13" s="2">
        <v>0</v>
      </c>
      <c r="EF13" s="2">
        <v>0</v>
      </c>
      <c r="EG13" s="2">
        <v>1</v>
      </c>
      <c r="EH13" s="2">
        <v>0</v>
      </c>
      <c r="EI13" s="2">
        <v>0</v>
      </c>
      <c r="EJ13" s="2">
        <v>0</v>
      </c>
      <c r="EK13" s="2">
        <v>0</v>
      </c>
      <c r="EM13" s="1" t="s">
        <v>1163</v>
      </c>
      <c r="EN13" s="2">
        <v>0</v>
      </c>
      <c r="EO13" s="2">
        <v>0</v>
      </c>
      <c r="EP13" s="2">
        <v>0</v>
      </c>
      <c r="EQ13" s="2">
        <v>0</v>
      </c>
      <c r="ER13" s="2">
        <v>0</v>
      </c>
      <c r="ES13" s="2">
        <v>0</v>
      </c>
      <c r="ET13" s="2">
        <v>0</v>
      </c>
      <c r="EU13" s="2">
        <v>0</v>
      </c>
      <c r="EV13" s="2">
        <v>0</v>
      </c>
      <c r="EW13" s="2">
        <v>1</v>
      </c>
      <c r="EX13" s="2">
        <v>0</v>
      </c>
      <c r="EY13" s="2">
        <v>0</v>
      </c>
      <c r="EZ13" s="2">
        <v>0</v>
      </c>
      <c r="FB13" s="1" t="s">
        <v>1154</v>
      </c>
      <c r="GI13" s="1" t="s">
        <v>2391</v>
      </c>
      <c r="GJ13" s="2">
        <v>1</v>
      </c>
      <c r="GK13" s="2">
        <v>0</v>
      </c>
      <c r="GL13" s="2">
        <v>0</v>
      </c>
      <c r="GM13" s="2">
        <v>0</v>
      </c>
      <c r="GN13" s="2">
        <v>1</v>
      </c>
      <c r="GO13" s="2">
        <v>1</v>
      </c>
      <c r="GP13" s="2">
        <v>0</v>
      </c>
      <c r="GQ13" s="2">
        <v>0</v>
      </c>
      <c r="GR13" s="2">
        <v>0</v>
      </c>
      <c r="GS13" s="2">
        <v>0</v>
      </c>
      <c r="GT13" s="2">
        <v>0</v>
      </c>
      <c r="GU13" s="2">
        <v>0</v>
      </c>
      <c r="GV13" s="2">
        <v>0</v>
      </c>
      <c r="AVS13" s="1">
        <v>134774255</v>
      </c>
      <c r="AVT13" s="1" t="s">
        <v>2392</v>
      </c>
      <c r="AVV13" s="1">
        <v>102</v>
      </c>
    </row>
    <row r="14" spans="1:1270" x14ac:dyDescent="0.3">
      <c r="A14" s="1" t="s">
        <v>2393</v>
      </c>
      <c r="B14" s="1" t="s">
        <v>2394</v>
      </c>
      <c r="C14" s="1" t="s">
        <v>2395</v>
      </c>
      <c r="D14" s="1" t="s">
        <v>2324</v>
      </c>
      <c r="E14" s="1" t="s">
        <v>2173</v>
      </c>
      <c r="F14" s="1" t="s">
        <v>2324</v>
      </c>
      <c r="I14" s="1" t="s">
        <v>2080</v>
      </c>
      <c r="J14" s="1" t="s">
        <v>2325</v>
      </c>
      <c r="K14" s="1" t="s">
        <v>2325</v>
      </c>
      <c r="N14" s="1" t="s">
        <v>1152</v>
      </c>
      <c r="O14" s="2">
        <v>1</v>
      </c>
      <c r="P14" s="2">
        <v>0</v>
      </c>
      <c r="Q14" s="2">
        <v>0</v>
      </c>
      <c r="R14" s="2">
        <v>0</v>
      </c>
      <c r="S14" s="2">
        <v>0</v>
      </c>
      <c r="U14" s="1" t="s">
        <v>1885</v>
      </c>
      <c r="W14" s="1" t="s">
        <v>1154</v>
      </c>
      <c r="X14" s="1" t="s">
        <v>1155</v>
      </c>
      <c r="AN14" s="1" t="s">
        <v>1179</v>
      </c>
      <c r="AO14" s="2">
        <v>115</v>
      </c>
      <c r="AP14" s="1" t="s">
        <v>1871</v>
      </c>
      <c r="AR14" s="1" t="s">
        <v>1649</v>
      </c>
      <c r="AS14" s="1" t="s">
        <v>1163</v>
      </c>
      <c r="AT14" s="1" t="s">
        <v>1155</v>
      </c>
      <c r="AU14" s="1" t="s">
        <v>1182</v>
      </c>
      <c r="AV14" s="1" t="s">
        <v>1940</v>
      </c>
      <c r="AW14" s="2">
        <v>0</v>
      </c>
      <c r="AX14" s="2">
        <v>0</v>
      </c>
      <c r="AY14" s="2">
        <v>0</v>
      </c>
      <c r="AZ14" s="2">
        <v>1</v>
      </c>
      <c r="BA14" s="2">
        <v>0</v>
      </c>
      <c r="BB14" s="2">
        <v>0</v>
      </c>
      <c r="BC14" s="2">
        <v>0</v>
      </c>
      <c r="BD14" s="2">
        <v>0</v>
      </c>
      <c r="BO14" s="1" t="s">
        <v>1650</v>
      </c>
      <c r="BP14" s="2">
        <v>0</v>
      </c>
      <c r="BQ14" s="2">
        <v>0</v>
      </c>
      <c r="BR14" s="2">
        <v>0</v>
      </c>
      <c r="BS14" s="2">
        <v>0</v>
      </c>
      <c r="BT14" s="2">
        <v>0</v>
      </c>
      <c r="BU14" s="2">
        <v>0</v>
      </c>
      <c r="BV14" s="2">
        <v>0</v>
      </c>
      <c r="BW14" s="2">
        <v>0</v>
      </c>
      <c r="BX14" s="2">
        <v>0</v>
      </c>
      <c r="BY14" s="2">
        <v>0</v>
      </c>
      <c r="BZ14" s="2">
        <v>1</v>
      </c>
      <c r="CA14" s="2">
        <v>0</v>
      </c>
      <c r="CC14" s="1" t="s">
        <v>1154</v>
      </c>
      <c r="DQ14" s="1" t="s">
        <v>1167</v>
      </c>
      <c r="DR14" s="2">
        <v>0</v>
      </c>
      <c r="DS14" s="2">
        <v>1</v>
      </c>
      <c r="DT14" s="2">
        <v>0</v>
      </c>
      <c r="DU14" s="2">
        <v>0</v>
      </c>
      <c r="DV14" s="2">
        <v>0</v>
      </c>
      <c r="DX14" s="1" t="s">
        <v>2396</v>
      </c>
      <c r="DY14" s="2">
        <v>0</v>
      </c>
      <c r="DZ14" s="2">
        <v>1</v>
      </c>
      <c r="EA14" s="2">
        <v>0</v>
      </c>
      <c r="EB14" s="2">
        <v>0</v>
      </c>
      <c r="EC14" s="2">
        <v>0</v>
      </c>
      <c r="ED14" s="2">
        <v>1</v>
      </c>
      <c r="EE14" s="2">
        <v>0</v>
      </c>
      <c r="EF14" s="2">
        <v>0</v>
      </c>
      <c r="EG14" s="2">
        <v>0</v>
      </c>
      <c r="EH14" s="2">
        <v>0</v>
      </c>
      <c r="EI14" s="2">
        <v>0</v>
      </c>
      <c r="EJ14" s="2">
        <v>0</v>
      </c>
      <c r="EK14" s="2">
        <v>0</v>
      </c>
      <c r="EM14" s="1" t="s">
        <v>1189</v>
      </c>
      <c r="EN14" s="2">
        <v>0</v>
      </c>
      <c r="EO14" s="2">
        <v>0</v>
      </c>
      <c r="EP14" s="2">
        <v>0</v>
      </c>
      <c r="EQ14" s="2">
        <v>0</v>
      </c>
      <c r="ER14" s="2">
        <v>1</v>
      </c>
      <c r="ES14" s="2">
        <v>0</v>
      </c>
      <c r="ET14" s="2">
        <v>0</v>
      </c>
      <c r="EU14" s="2">
        <v>0</v>
      </c>
      <c r="EV14" s="2">
        <v>0</v>
      </c>
      <c r="EW14" s="2">
        <v>0</v>
      </c>
      <c r="EX14" s="2">
        <v>0</v>
      </c>
      <c r="EY14" s="2">
        <v>0</v>
      </c>
      <c r="EZ14" s="2">
        <v>0</v>
      </c>
      <c r="FB14" s="1" t="s">
        <v>1154</v>
      </c>
      <c r="GI14" s="1" t="s">
        <v>1958</v>
      </c>
      <c r="GJ14" s="2">
        <v>0</v>
      </c>
      <c r="GK14" s="2">
        <v>1</v>
      </c>
      <c r="GL14" s="2">
        <v>1</v>
      </c>
      <c r="GM14" s="2">
        <v>0</v>
      </c>
      <c r="GN14" s="2">
        <v>0</v>
      </c>
      <c r="GO14" s="2">
        <v>1</v>
      </c>
      <c r="GP14" s="2">
        <v>0</v>
      </c>
      <c r="GQ14" s="2">
        <v>0</v>
      </c>
      <c r="GR14" s="2">
        <v>0</v>
      </c>
      <c r="GS14" s="2">
        <v>0</v>
      </c>
      <c r="GT14" s="2">
        <v>0</v>
      </c>
      <c r="GU14" s="2">
        <v>0</v>
      </c>
      <c r="GV14" s="2">
        <v>0</v>
      </c>
      <c r="AVS14" s="1">
        <v>134774259</v>
      </c>
      <c r="AVT14" s="1" t="s">
        <v>2397</v>
      </c>
      <c r="AVV14" s="1">
        <v>103</v>
      </c>
    </row>
    <row r="15" spans="1:1270" x14ac:dyDescent="0.3">
      <c r="A15" s="1" t="s">
        <v>2398</v>
      </c>
      <c r="B15" s="1" t="s">
        <v>2399</v>
      </c>
      <c r="C15" s="1" t="s">
        <v>2400</v>
      </c>
      <c r="D15" s="1" t="s">
        <v>2354</v>
      </c>
      <c r="E15" s="1" t="s">
        <v>2211</v>
      </c>
      <c r="F15" s="1" t="s">
        <v>2354</v>
      </c>
      <c r="I15" s="1" t="s">
        <v>2080</v>
      </c>
      <c r="J15" s="1" t="s">
        <v>2325</v>
      </c>
      <c r="K15" s="1" t="s">
        <v>2325</v>
      </c>
      <c r="N15" s="1" t="s">
        <v>1168</v>
      </c>
      <c r="O15" s="2">
        <v>0</v>
      </c>
      <c r="P15" s="2">
        <v>0</v>
      </c>
      <c r="Q15" s="2">
        <v>1</v>
      </c>
      <c r="R15" s="2">
        <v>0</v>
      </c>
      <c r="S15" s="2">
        <v>0</v>
      </c>
      <c r="ZS15" s="1" t="s">
        <v>2401</v>
      </c>
      <c r="ZT15" s="1" t="s">
        <v>1169</v>
      </c>
      <c r="ZV15" s="1" t="s">
        <v>1170</v>
      </c>
      <c r="ZX15" s="1" t="s">
        <v>1155</v>
      </c>
      <c r="ABD15" s="2"/>
      <c r="ABE15" s="1" t="s">
        <v>1171</v>
      </c>
      <c r="ABF15" s="2">
        <v>1</v>
      </c>
      <c r="ABG15" s="2">
        <v>0</v>
      </c>
      <c r="ABH15" s="2">
        <v>0</v>
      </c>
      <c r="ABI15" s="2">
        <v>0</v>
      </c>
      <c r="ABJ15" s="2">
        <v>0</v>
      </c>
      <c r="ABL15" s="1" t="s">
        <v>1157</v>
      </c>
      <c r="ABM15" s="2">
        <v>0</v>
      </c>
      <c r="ABN15" s="2">
        <v>0</v>
      </c>
      <c r="ABO15" s="2">
        <v>0</v>
      </c>
      <c r="ABP15" s="2">
        <v>0</v>
      </c>
      <c r="ABQ15" s="2">
        <v>0</v>
      </c>
      <c r="ABR15" s="2">
        <v>1</v>
      </c>
      <c r="ABS15" s="2">
        <v>0</v>
      </c>
      <c r="ABT15" s="2">
        <v>0</v>
      </c>
      <c r="ABU15" s="2">
        <v>0</v>
      </c>
      <c r="ABV15" s="2">
        <v>0</v>
      </c>
      <c r="ABW15" s="2">
        <v>0</v>
      </c>
      <c r="ABX15" s="2">
        <v>0</v>
      </c>
      <c r="ABZ15" s="2">
        <v>5</v>
      </c>
      <c r="ACA15" s="1" t="s">
        <v>1155</v>
      </c>
      <c r="ACB15" s="2">
        <v>4</v>
      </c>
      <c r="ACC15" s="1" t="s">
        <v>1155</v>
      </c>
      <c r="ACD15" s="2">
        <v>2</v>
      </c>
      <c r="ACE15" s="2">
        <v>2</v>
      </c>
      <c r="ACF15" s="2">
        <v>2</v>
      </c>
      <c r="ACG15" s="2">
        <v>4</v>
      </c>
      <c r="ACI15" s="1" t="s">
        <v>1154</v>
      </c>
      <c r="ACJ15" s="1" t="s">
        <v>1154</v>
      </c>
      <c r="ACM15" s="1" t="s">
        <v>1154</v>
      </c>
      <c r="ACN15" s="2">
        <v>200</v>
      </c>
      <c r="ACO15" s="2">
        <v>0</v>
      </c>
      <c r="ACP15" s="2">
        <v>200</v>
      </c>
      <c r="ACQ15" s="2">
        <v>0</v>
      </c>
      <c r="ACR15" s="2">
        <v>0</v>
      </c>
      <c r="ACT15" s="2">
        <v>7</v>
      </c>
      <c r="ACU15" s="2">
        <v>16</v>
      </c>
      <c r="ACV15" s="1" t="s">
        <v>1155</v>
      </c>
      <c r="ACW15" s="1" t="s">
        <v>1182</v>
      </c>
      <c r="ACX15" s="1" t="s">
        <v>2402</v>
      </c>
      <c r="ACY15" s="2">
        <v>0</v>
      </c>
      <c r="ACZ15" s="2">
        <v>1</v>
      </c>
      <c r="ADA15" s="2">
        <v>1</v>
      </c>
      <c r="ADB15" s="2">
        <v>1</v>
      </c>
      <c r="ADC15" s="2">
        <v>0</v>
      </c>
      <c r="ADD15" s="2">
        <v>0</v>
      </c>
      <c r="ADE15" s="2">
        <v>0</v>
      </c>
      <c r="ADQ15" s="2">
        <v>6</v>
      </c>
      <c r="ADR15" s="2">
        <v>0</v>
      </c>
      <c r="ADS15" s="2">
        <v>6</v>
      </c>
      <c r="ADT15" s="2">
        <v>6</v>
      </c>
      <c r="ADU15" s="2">
        <v>6</v>
      </c>
      <c r="ADW15" s="1" t="s">
        <v>1154</v>
      </c>
      <c r="AEO15" s="2">
        <v>6</v>
      </c>
      <c r="AEP15" s="2">
        <v>0</v>
      </c>
      <c r="AEQ15" s="2">
        <v>6</v>
      </c>
      <c r="AER15" s="2">
        <v>6</v>
      </c>
      <c r="AES15" s="2">
        <v>6</v>
      </c>
      <c r="AEU15" s="1" t="s">
        <v>1154</v>
      </c>
      <c r="AFL15" s="2">
        <v>3</v>
      </c>
      <c r="AFM15" s="2">
        <v>0</v>
      </c>
      <c r="AFN15" s="2">
        <v>3</v>
      </c>
      <c r="AFO15" s="2">
        <v>3</v>
      </c>
      <c r="AFP15" s="2">
        <v>3</v>
      </c>
      <c r="AFR15" s="1" t="s">
        <v>1154</v>
      </c>
      <c r="AGH15" s="1" t="s">
        <v>1172</v>
      </c>
      <c r="AGI15" s="1" t="s">
        <v>1172</v>
      </c>
      <c r="AGJ15" s="1" t="s">
        <v>1155</v>
      </c>
      <c r="AGK15" s="85">
        <v>5000</v>
      </c>
      <c r="AGL15" s="1" t="s">
        <v>1980</v>
      </c>
      <c r="AGM15" s="2">
        <v>1</v>
      </c>
      <c r="AGN15" s="2">
        <v>0</v>
      </c>
      <c r="AGO15" s="2">
        <v>0</v>
      </c>
      <c r="AGP15" s="2">
        <v>0</v>
      </c>
      <c r="AGQ15" s="2">
        <v>0</v>
      </c>
      <c r="AGR15" s="2">
        <v>0</v>
      </c>
      <c r="AGT15" s="1" t="s">
        <v>1154</v>
      </c>
      <c r="AHQ15" s="1" t="s">
        <v>1163</v>
      </c>
      <c r="AHR15" s="2">
        <v>0</v>
      </c>
      <c r="AHS15" s="2">
        <v>0</v>
      </c>
      <c r="AHT15" s="2">
        <v>0</v>
      </c>
      <c r="AHU15" s="2">
        <v>0</v>
      </c>
      <c r="AHV15" s="2">
        <v>1</v>
      </c>
      <c r="AHX15" s="1" t="s">
        <v>2403</v>
      </c>
      <c r="AHY15" s="2">
        <v>1</v>
      </c>
      <c r="AHZ15" s="2">
        <v>1</v>
      </c>
      <c r="AIA15" s="2">
        <v>0</v>
      </c>
      <c r="AIB15" s="2">
        <v>1</v>
      </c>
      <c r="AIC15" s="2">
        <v>1</v>
      </c>
      <c r="AID15" s="2">
        <v>0</v>
      </c>
      <c r="AIE15" s="2">
        <v>0</v>
      </c>
      <c r="AIF15" s="2">
        <v>0</v>
      </c>
      <c r="AIG15" s="2">
        <v>0</v>
      </c>
      <c r="AIH15" s="2">
        <v>0</v>
      </c>
      <c r="AII15" s="2">
        <v>0</v>
      </c>
      <c r="AIK15" s="1" t="s">
        <v>1923</v>
      </c>
      <c r="AIL15" s="2">
        <v>0</v>
      </c>
      <c r="AIM15" s="2">
        <v>0</v>
      </c>
      <c r="AIN15" s="2">
        <v>0</v>
      </c>
      <c r="AIO15" s="2">
        <v>0</v>
      </c>
      <c r="AIP15" s="2">
        <v>0</v>
      </c>
      <c r="AIQ15" s="2">
        <v>1</v>
      </c>
      <c r="AIR15" s="2">
        <v>0</v>
      </c>
      <c r="AIS15" s="2">
        <v>0</v>
      </c>
      <c r="AIT15" s="2">
        <v>0</v>
      </c>
      <c r="AIU15" s="2">
        <v>0</v>
      </c>
      <c r="AIV15" s="2">
        <v>0</v>
      </c>
      <c r="AIW15" s="2">
        <v>0</v>
      </c>
      <c r="AIX15" s="2">
        <v>0</v>
      </c>
      <c r="AIZ15" s="1" t="s">
        <v>1154</v>
      </c>
      <c r="AKF15" s="1" t="s">
        <v>2404</v>
      </c>
      <c r="AKG15" s="2">
        <v>0</v>
      </c>
      <c r="AKH15" s="2">
        <v>1</v>
      </c>
      <c r="AKI15" s="2">
        <v>0</v>
      </c>
      <c r="AKJ15" s="2">
        <v>1</v>
      </c>
      <c r="AKK15" s="2">
        <v>0</v>
      </c>
      <c r="AKL15" s="2">
        <v>0</v>
      </c>
      <c r="AKM15" s="2">
        <v>1</v>
      </c>
      <c r="AKN15" s="2">
        <v>1</v>
      </c>
      <c r="AKO15" s="2">
        <v>1</v>
      </c>
      <c r="AKP15" s="2">
        <v>0</v>
      </c>
      <c r="AKQ15" s="2">
        <v>0</v>
      </c>
      <c r="AKR15" s="2">
        <v>0</v>
      </c>
      <c r="AVS15" s="1">
        <v>134778766</v>
      </c>
      <c r="AVT15" s="1" t="s">
        <v>2405</v>
      </c>
      <c r="AVV15" s="1">
        <v>104</v>
      </c>
    </row>
    <row r="16" spans="1:1270" x14ac:dyDescent="0.3">
      <c r="A16" s="1" t="s">
        <v>2406</v>
      </c>
      <c r="B16" s="1" t="s">
        <v>2407</v>
      </c>
      <c r="C16" s="1" t="s">
        <v>2408</v>
      </c>
      <c r="D16" s="1" t="s">
        <v>2324</v>
      </c>
      <c r="E16" s="1" t="s">
        <v>2079</v>
      </c>
      <c r="F16" s="1" t="s">
        <v>2324</v>
      </c>
      <c r="I16" s="1" t="s">
        <v>2080</v>
      </c>
      <c r="J16" s="1" t="s">
        <v>2325</v>
      </c>
      <c r="K16" s="1" t="s">
        <v>2325</v>
      </c>
      <c r="N16" s="1" t="s">
        <v>1152</v>
      </c>
      <c r="O16" s="2">
        <v>1</v>
      </c>
      <c r="P16" s="2">
        <v>0</v>
      </c>
      <c r="Q16" s="2">
        <v>0</v>
      </c>
      <c r="R16" s="2">
        <v>0</v>
      </c>
      <c r="S16" s="2">
        <v>0</v>
      </c>
      <c r="U16" s="1" t="s">
        <v>1654</v>
      </c>
      <c r="W16" s="1" t="s">
        <v>1155</v>
      </c>
      <c r="X16" s="1" t="s">
        <v>1154</v>
      </c>
      <c r="AB16" s="1" t="s">
        <v>1186</v>
      </c>
      <c r="AC16" s="2">
        <v>1</v>
      </c>
      <c r="AD16" s="2">
        <v>0</v>
      </c>
      <c r="AE16" s="2">
        <v>0</v>
      </c>
      <c r="AF16" s="2">
        <v>0</v>
      </c>
      <c r="AG16" s="2">
        <v>0</v>
      </c>
      <c r="AH16" s="2">
        <v>0</v>
      </c>
      <c r="AI16" s="2">
        <v>0</v>
      </c>
      <c r="AJ16" s="2">
        <v>0</v>
      </c>
      <c r="AK16" s="2">
        <v>0</v>
      </c>
      <c r="AM16" s="1" t="s">
        <v>1893</v>
      </c>
      <c r="BO16" s="1" t="s">
        <v>1959</v>
      </c>
      <c r="BP16" s="2">
        <v>0</v>
      </c>
      <c r="BQ16" s="2">
        <v>0</v>
      </c>
      <c r="BR16" s="2">
        <v>0</v>
      </c>
      <c r="BS16" s="2">
        <v>1</v>
      </c>
      <c r="BT16" s="2">
        <v>0</v>
      </c>
      <c r="BU16" s="2">
        <v>0</v>
      </c>
      <c r="BV16" s="2">
        <v>0</v>
      </c>
      <c r="BW16" s="2">
        <v>0</v>
      </c>
      <c r="BX16" s="2">
        <v>0</v>
      </c>
      <c r="BY16" s="2">
        <v>0</v>
      </c>
      <c r="BZ16" s="2">
        <v>0</v>
      </c>
      <c r="CA16" s="2">
        <v>0</v>
      </c>
      <c r="FB16" s="1" t="s">
        <v>1155</v>
      </c>
      <c r="FC16" s="1" t="s">
        <v>1157</v>
      </c>
      <c r="FD16" s="2">
        <v>0</v>
      </c>
      <c r="FE16" s="2">
        <v>0</v>
      </c>
      <c r="FF16" s="2">
        <v>0</v>
      </c>
      <c r="FG16" s="2">
        <v>0</v>
      </c>
      <c r="FH16" s="2">
        <v>1</v>
      </c>
      <c r="FI16" s="2">
        <v>0</v>
      </c>
      <c r="FJ16" s="2">
        <v>0</v>
      </c>
      <c r="FL16" s="1" t="s">
        <v>1191</v>
      </c>
      <c r="FM16" s="2">
        <v>0</v>
      </c>
      <c r="FN16" s="2">
        <v>1</v>
      </c>
      <c r="FO16" s="2">
        <v>0</v>
      </c>
      <c r="FP16" s="2">
        <v>0</v>
      </c>
      <c r="FQ16" s="2">
        <v>0</v>
      </c>
      <c r="FR16" s="2">
        <v>0</v>
      </c>
      <c r="FS16" s="2">
        <v>0</v>
      </c>
      <c r="FT16" s="2">
        <v>0</v>
      </c>
      <c r="FU16" s="2">
        <v>0</v>
      </c>
      <c r="FV16" s="2">
        <v>0</v>
      </c>
      <c r="FW16" s="2">
        <v>0</v>
      </c>
      <c r="FX16" s="2">
        <v>0</v>
      </c>
      <c r="FY16" s="2">
        <v>0</v>
      </c>
      <c r="GA16" s="1" t="s">
        <v>1155</v>
      </c>
      <c r="GI16" s="1" t="s">
        <v>2327</v>
      </c>
      <c r="GJ16" s="2">
        <v>0</v>
      </c>
      <c r="GK16" s="2">
        <v>1</v>
      </c>
      <c r="GL16" s="2">
        <v>1</v>
      </c>
      <c r="GM16" s="2">
        <v>0</v>
      </c>
      <c r="GN16" s="2">
        <v>0</v>
      </c>
      <c r="GO16" s="2">
        <v>0</v>
      </c>
      <c r="GP16" s="2">
        <v>0</v>
      </c>
      <c r="GQ16" s="2">
        <v>0</v>
      </c>
      <c r="GR16" s="2">
        <v>0</v>
      </c>
      <c r="GS16" s="2">
        <v>0</v>
      </c>
      <c r="GT16" s="2">
        <v>0</v>
      </c>
      <c r="GU16" s="2">
        <v>0</v>
      </c>
      <c r="GV16" s="2">
        <v>0</v>
      </c>
      <c r="AVS16" s="1">
        <v>134774140</v>
      </c>
      <c r="AVT16" s="1" t="s">
        <v>2409</v>
      </c>
      <c r="AVV16" s="1">
        <v>105</v>
      </c>
    </row>
    <row r="17" spans="1:980 1267:1270" x14ac:dyDescent="0.3">
      <c r="A17" s="1" t="s">
        <v>2410</v>
      </c>
      <c r="B17" s="1" t="s">
        <v>2411</v>
      </c>
      <c r="C17" s="1" t="s">
        <v>2412</v>
      </c>
      <c r="D17" s="1" t="s">
        <v>2354</v>
      </c>
      <c r="E17" s="1" t="s">
        <v>2079</v>
      </c>
      <c r="F17" s="1" t="s">
        <v>2354</v>
      </c>
      <c r="I17" s="1" t="s">
        <v>2080</v>
      </c>
      <c r="J17" s="1" t="s">
        <v>2325</v>
      </c>
      <c r="K17" s="1" t="s">
        <v>2325</v>
      </c>
      <c r="N17" s="1" t="s">
        <v>1152</v>
      </c>
      <c r="O17" s="2">
        <v>1</v>
      </c>
      <c r="P17" s="2">
        <v>0</v>
      </c>
      <c r="Q17" s="2">
        <v>0</v>
      </c>
      <c r="R17" s="2">
        <v>0</v>
      </c>
      <c r="S17" s="2">
        <v>0</v>
      </c>
      <c r="U17" s="1" t="s">
        <v>1654</v>
      </c>
      <c r="W17" s="1" t="s">
        <v>1154</v>
      </c>
      <c r="X17" s="1" t="s">
        <v>1154</v>
      </c>
      <c r="AB17" s="1" t="s">
        <v>1186</v>
      </c>
      <c r="AC17" s="2">
        <v>1</v>
      </c>
      <c r="AD17" s="2">
        <v>0</v>
      </c>
      <c r="AE17" s="2">
        <v>0</v>
      </c>
      <c r="AF17" s="2">
        <v>0</v>
      </c>
      <c r="AG17" s="2">
        <v>0</v>
      </c>
      <c r="AH17" s="2">
        <v>0</v>
      </c>
      <c r="AI17" s="2">
        <v>0</v>
      </c>
      <c r="AJ17" s="2">
        <v>0</v>
      </c>
      <c r="AK17" s="2">
        <v>0</v>
      </c>
      <c r="AM17" s="1" t="s">
        <v>1637</v>
      </c>
      <c r="BO17" s="1" t="s">
        <v>1959</v>
      </c>
      <c r="BP17" s="2">
        <v>0</v>
      </c>
      <c r="BQ17" s="2">
        <v>0</v>
      </c>
      <c r="BR17" s="2">
        <v>0</v>
      </c>
      <c r="BS17" s="2">
        <v>1</v>
      </c>
      <c r="BT17" s="2">
        <v>0</v>
      </c>
      <c r="BU17" s="2">
        <v>0</v>
      </c>
      <c r="BV17" s="2">
        <v>0</v>
      </c>
      <c r="BW17" s="2">
        <v>0</v>
      </c>
      <c r="BX17" s="2">
        <v>0</v>
      </c>
      <c r="BY17" s="2">
        <v>0</v>
      </c>
      <c r="BZ17" s="2">
        <v>0</v>
      </c>
      <c r="CA17" s="2">
        <v>0</v>
      </c>
      <c r="FB17" s="1" t="s">
        <v>1154</v>
      </c>
      <c r="GI17" s="1" t="s">
        <v>2413</v>
      </c>
      <c r="GJ17" s="2">
        <v>1</v>
      </c>
      <c r="GK17" s="2">
        <v>1</v>
      </c>
      <c r="GL17" s="2">
        <v>1</v>
      </c>
      <c r="GM17" s="2">
        <v>0</v>
      </c>
      <c r="GN17" s="2">
        <v>0</v>
      </c>
      <c r="GO17" s="2">
        <v>0</v>
      </c>
      <c r="GP17" s="2">
        <v>0</v>
      </c>
      <c r="GQ17" s="2">
        <v>0</v>
      </c>
      <c r="GR17" s="2">
        <v>0</v>
      </c>
      <c r="GS17" s="2">
        <v>0</v>
      </c>
      <c r="GT17" s="2">
        <v>0</v>
      </c>
      <c r="GU17" s="2">
        <v>0</v>
      </c>
      <c r="GV17" s="2">
        <v>0</v>
      </c>
      <c r="AVS17" s="1">
        <v>134774150</v>
      </c>
      <c r="AVT17" s="1" t="s">
        <v>2414</v>
      </c>
      <c r="AVV17" s="1">
        <v>106</v>
      </c>
    </row>
    <row r="18" spans="1:980 1267:1270" x14ac:dyDescent="0.3">
      <c r="A18" s="1" t="s">
        <v>2415</v>
      </c>
      <c r="B18" s="1" t="s">
        <v>2416</v>
      </c>
      <c r="C18" s="1" t="s">
        <v>2417</v>
      </c>
      <c r="D18" s="1" t="s">
        <v>2324</v>
      </c>
      <c r="E18" s="1" t="s">
        <v>2079</v>
      </c>
      <c r="F18" s="1" t="s">
        <v>2324</v>
      </c>
      <c r="I18" s="1" t="s">
        <v>2080</v>
      </c>
      <c r="J18" s="1" t="s">
        <v>2325</v>
      </c>
      <c r="K18" s="1" t="s">
        <v>2325</v>
      </c>
      <c r="N18" s="1" t="s">
        <v>1152</v>
      </c>
      <c r="O18" s="2">
        <v>1</v>
      </c>
      <c r="P18" s="2">
        <v>0</v>
      </c>
      <c r="Q18" s="2">
        <v>0</v>
      </c>
      <c r="R18" s="2">
        <v>0</v>
      </c>
      <c r="S18" s="2">
        <v>0</v>
      </c>
      <c r="U18" s="1" t="s">
        <v>1654</v>
      </c>
      <c r="W18" s="1" t="s">
        <v>1155</v>
      </c>
      <c r="X18" s="1" t="s">
        <v>1155</v>
      </c>
      <c r="AN18" s="1" t="s">
        <v>1179</v>
      </c>
      <c r="AO18" s="2">
        <v>128</v>
      </c>
      <c r="AP18" s="1" t="s">
        <v>1871</v>
      </c>
      <c r="AR18" s="1" t="s">
        <v>1649</v>
      </c>
      <c r="AS18" s="1" t="s">
        <v>1653</v>
      </c>
      <c r="AT18" s="1" t="s">
        <v>1154</v>
      </c>
      <c r="BO18" s="1" t="s">
        <v>1959</v>
      </c>
      <c r="BP18" s="2">
        <v>0</v>
      </c>
      <c r="BQ18" s="2">
        <v>0</v>
      </c>
      <c r="BR18" s="2">
        <v>0</v>
      </c>
      <c r="BS18" s="2">
        <v>1</v>
      </c>
      <c r="BT18" s="2">
        <v>0</v>
      </c>
      <c r="BU18" s="2">
        <v>0</v>
      </c>
      <c r="BV18" s="2">
        <v>0</v>
      </c>
      <c r="BW18" s="2">
        <v>0</v>
      </c>
      <c r="BX18" s="2">
        <v>0</v>
      </c>
      <c r="BY18" s="2">
        <v>0</v>
      </c>
      <c r="BZ18" s="2">
        <v>0</v>
      </c>
      <c r="CA18" s="2">
        <v>0</v>
      </c>
      <c r="CC18" s="1" t="s">
        <v>1155</v>
      </c>
      <c r="CD18" s="1" t="s">
        <v>1979</v>
      </c>
      <c r="CF18" s="2">
        <v>100</v>
      </c>
      <c r="CG18" s="1" t="s">
        <v>1154</v>
      </c>
      <c r="CY18" s="1" t="s">
        <v>1388</v>
      </c>
      <c r="CZ18" s="2">
        <v>0</v>
      </c>
      <c r="DA18" s="2">
        <v>0</v>
      </c>
      <c r="DB18" s="2">
        <v>0</v>
      </c>
      <c r="DC18" s="2">
        <v>0</v>
      </c>
      <c r="DD18" s="2">
        <v>1</v>
      </c>
      <c r="DE18" s="2">
        <v>0</v>
      </c>
      <c r="DF18" s="2">
        <v>0</v>
      </c>
      <c r="DG18" s="2">
        <v>0</v>
      </c>
      <c r="DI18" s="1" t="s">
        <v>1154</v>
      </c>
      <c r="DQ18" s="1" t="s">
        <v>1163</v>
      </c>
      <c r="DR18" s="2">
        <v>0</v>
      </c>
      <c r="DS18" s="2">
        <v>0</v>
      </c>
      <c r="DT18" s="2">
        <v>0</v>
      </c>
      <c r="DU18" s="2">
        <v>0</v>
      </c>
      <c r="DV18" s="2">
        <v>1</v>
      </c>
      <c r="DX18" s="1" t="s">
        <v>2418</v>
      </c>
      <c r="DY18" s="2">
        <v>0</v>
      </c>
      <c r="DZ18" s="2">
        <v>0</v>
      </c>
      <c r="EA18" s="2">
        <v>0</v>
      </c>
      <c r="EB18" s="2">
        <v>0</v>
      </c>
      <c r="EC18" s="2">
        <v>0</v>
      </c>
      <c r="ED18" s="2">
        <v>1</v>
      </c>
      <c r="EE18" s="2">
        <v>0</v>
      </c>
      <c r="EF18" s="2">
        <v>0</v>
      </c>
      <c r="EG18" s="2">
        <v>0</v>
      </c>
      <c r="EH18" s="2">
        <v>0</v>
      </c>
      <c r="EI18" s="2">
        <v>0</v>
      </c>
      <c r="EJ18" s="2">
        <v>0</v>
      </c>
      <c r="EK18" s="2">
        <v>1</v>
      </c>
      <c r="EM18" s="1" t="s">
        <v>1189</v>
      </c>
      <c r="EN18" s="2">
        <v>0</v>
      </c>
      <c r="EO18" s="2">
        <v>0</v>
      </c>
      <c r="EP18" s="2">
        <v>0</v>
      </c>
      <c r="EQ18" s="2">
        <v>0</v>
      </c>
      <c r="ER18" s="2">
        <v>1</v>
      </c>
      <c r="ES18" s="2">
        <v>0</v>
      </c>
      <c r="ET18" s="2">
        <v>0</v>
      </c>
      <c r="EU18" s="2">
        <v>0</v>
      </c>
      <c r="EV18" s="2">
        <v>0</v>
      </c>
      <c r="EW18" s="2">
        <v>0</v>
      </c>
      <c r="EX18" s="2">
        <v>0</v>
      </c>
      <c r="EY18" s="2">
        <v>0</v>
      </c>
      <c r="EZ18" s="2">
        <v>0</v>
      </c>
      <c r="FB18" s="1" t="s">
        <v>1154</v>
      </c>
      <c r="GI18" s="1" t="s">
        <v>2419</v>
      </c>
      <c r="GJ18" s="2">
        <v>0</v>
      </c>
      <c r="GK18" s="2">
        <v>1</v>
      </c>
      <c r="GL18" s="2">
        <v>1</v>
      </c>
      <c r="GM18" s="2">
        <v>0</v>
      </c>
      <c r="GN18" s="2">
        <v>0</v>
      </c>
      <c r="GO18" s="2">
        <v>0</v>
      </c>
      <c r="GP18" s="2">
        <v>0</v>
      </c>
      <c r="GQ18" s="2">
        <v>1</v>
      </c>
      <c r="GR18" s="2">
        <v>0</v>
      </c>
      <c r="GS18" s="2">
        <v>0</v>
      </c>
      <c r="GT18" s="2">
        <v>0</v>
      </c>
      <c r="GU18" s="2">
        <v>0</v>
      </c>
      <c r="GV18" s="2">
        <v>0</v>
      </c>
      <c r="AVS18" s="1">
        <v>134774127</v>
      </c>
      <c r="AVT18" s="1" t="s">
        <v>2420</v>
      </c>
      <c r="AVV18" s="1">
        <v>107</v>
      </c>
    </row>
    <row r="19" spans="1:980 1267:1270" x14ac:dyDescent="0.3">
      <c r="A19" s="1" t="s">
        <v>2421</v>
      </c>
      <c r="B19" s="1" t="s">
        <v>2422</v>
      </c>
      <c r="C19" s="1" t="s">
        <v>2423</v>
      </c>
      <c r="D19" s="1" t="s">
        <v>2324</v>
      </c>
      <c r="E19" s="1" t="s">
        <v>2079</v>
      </c>
      <c r="F19" s="1" t="s">
        <v>2324</v>
      </c>
      <c r="I19" s="1" t="s">
        <v>2080</v>
      </c>
      <c r="J19" s="1" t="s">
        <v>2325</v>
      </c>
      <c r="K19" s="1" t="s">
        <v>2325</v>
      </c>
      <c r="N19" s="1" t="s">
        <v>1152</v>
      </c>
      <c r="O19" s="2">
        <v>1</v>
      </c>
      <c r="P19" s="2">
        <v>0</v>
      </c>
      <c r="Q19" s="2">
        <v>0</v>
      </c>
      <c r="R19" s="2">
        <v>0</v>
      </c>
      <c r="S19" s="2">
        <v>0</v>
      </c>
      <c r="U19" s="1" t="s">
        <v>1874</v>
      </c>
      <c r="W19" s="1" t="s">
        <v>1155</v>
      </c>
      <c r="X19" s="1" t="s">
        <v>1155</v>
      </c>
      <c r="AN19" s="1" t="s">
        <v>1179</v>
      </c>
      <c r="AO19" s="2">
        <v>75</v>
      </c>
      <c r="AP19" s="1" t="s">
        <v>1871</v>
      </c>
      <c r="AR19" s="1" t="s">
        <v>1649</v>
      </c>
      <c r="AS19" s="1" t="s">
        <v>1653</v>
      </c>
      <c r="AT19" s="1" t="s">
        <v>1154</v>
      </c>
      <c r="BO19" s="1" t="s">
        <v>1650</v>
      </c>
      <c r="BP19" s="2">
        <v>0</v>
      </c>
      <c r="BQ19" s="2">
        <v>0</v>
      </c>
      <c r="BR19" s="2">
        <v>0</v>
      </c>
      <c r="BS19" s="2">
        <v>0</v>
      </c>
      <c r="BT19" s="2">
        <v>0</v>
      </c>
      <c r="BU19" s="2">
        <v>0</v>
      </c>
      <c r="BV19" s="2">
        <v>0</v>
      </c>
      <c r="BW19" s="2">
        <v>0</v>
      </c>
      <c r="BX19" s="2">
        <v>0</v>
      </c>
      <c r="BY19" s="2">
        <v>0</v>
      </c>
      <c r="BZ19" s="2">
        <v>1</v>
      </c>
      <c r="CA19" s="2">
        <v>0</v>
      </c>
      <c r="CC19" s="1" t="s">
        <v>1154</v>
      </c>
      <c r="DQ19" s="1" t="s">
        <v>1161</v>
      </c>
      <c r="DR19" s="2">
        <v>0</v>
      </c>
      <c r="DS19" s="2">
        <v>0</v>
      </c>
      <c r="DT19" s="2">
        <v>1</v>
      </c>
      <c r="DU19" s="2">
        <v>0</v>
      </c>
      <c r="DV19" s="2">
        <v>0</v>
      </c>
      <c r="DX19" s="1" t="s">
        <v>1922</v>
      </c>
      <c r="DY19" s="2">
        <v>0</v>
      </c>
      <c r="DZ19" s="2">
        <v>1</v>
      </c>
      <c r="EA19" s="2">
        <v>0</v>
      </c>
      <c r="EB19" s="2">
        <v>0</v>
      </c>
      <c r="EC19" s="2">
        <v>0</v>
      </c>
      <c r="ED19" s="2">
        <v>0</v>
      </c>
      <c r="EE19" s="2">
        <v>0</v>
      </c>
      <c r="EF19" s="2">
        <v>0</v>
      </c>
      <c r="EG19" s="2">
        <v>0</v>
      </c>
      <c r="EH19" s="2">
        <v>0</v>
      </c>
      <c r="EI19" s="2">
        <v>0</v>
      </c>
      <c r="EJ19" s="2">
        <v>0</v>
      </c>
      <c r="EK19" s="2">
        <v>0</v>
      </c>
      <c r="EM19" s="1" t="s">
        <v>1163</v>
      </c>
      <c r="EN19" s="2">
        <v>0</v>
      </c>
      <c r="EO19" s="2">
        <v>0</v>
      </c>
      <c r="EP19" s="2">
        <v>0</v>
      </c>
      <c r="EQ19" s="2">
        <v>0</v>
      </c>
      <c r="ER19" s="2">
        <v>0</v>
      </c>
      <c r="ES19" s="2">
        <v>0</v>
      </c>
      <c r="ET19" s="2">
        <v>0</v>
      </c>
      <c r="EU19" s="2">
        <v>0</v>
      </c>
      <c r="EV19" s="2">
        <v>0</v>
      </c>
      <c r="EW19" s="2">
        <v>1</v>
      </c>
      <c r="EX19" s="2">
        <v>0</v>
      </c>
      <c r="EY19" s="2">
        <v>0</v>
      </c>
      <c r="EZ19" s="2">
        <v>0</v>
      </c>
      <c r="FB19" s="1" t="s">
        <v>1154</v>
      </c>
      <c r="GI19" s="1" t="s">
        <v>2327</v>
      </c>
      <c r="GJ19" s="2">
        <v>0</v>
      </c>
      <c r="GK19" s="2">
        <v>1</v>
      </c>
      <c r="GL19" s="2">
        <v>1</v>
      </c>
      <c r="GM19" s="2">
        <v>0</v>
      </c>
      <c r="GN19" s="2">
        <v>0</v>
      </c>
      <c r="GO19" s="2">
        <v>0</v>
      </c>
      <c r="GP19" s="2">
        <v>0</v>
      </c>
      <c r="GQ19" s="2">
        <v>0</v>
      </c>
      <c r="GR19" s="2">
        <v>0</v>
      </c>
      <c r="GS19" s="2">
        <v>0</v>
      </c>
      <c r="GT19" s="2">
        <v>0</v>
      </c>
      <c r="GU19" s="2">
        <v>0</v>
      </c>
      <c r="GV19" s="2">
        <v>0</v>
      </c>
      <c r="AVS19" s="1">
        <v>134774049</v>
      </c>
      <c r="AVT19" s="1" t="s">
        <v>2424</v>
      </c>
      <c r="AVV19" s="1">
        <v>108</v>
      </c>
    </row>
    <row r="20" spans="1:980 1267:1270" x14ac:dyDescent="0.3">
      <c r="A20" s="1" t="s">
        <v>2425</v>
      </c>
      <c r="B20" s="1" t="s">
        <v>2426</v>
      </c>
      <c r="C20" s="1" t="s">
        <v>2427</v>
      </c>
      <c r="D20" s="1" t="s">
        <v>2324</v>
      </c>
      <c r="E20" s="1" t="s">
        <v>2079</v>
      </c>
      <c r="F20" s="1" t="s">
        <v>2324</v>
      </c>
      <c r="I20" s="1" t="s">
        <v>2080</v>
      </c>
      <c r="J20" s="1" t="s">
        <v>2325</v>
      </c>
      <c r="K20" s="1" t="s">
        <v>2325</v>
      </c>
      <c r="N20" s="1" t="s">
        <v>1152</v>
      </c>
      <c r="O20" s="2">
        <v>1</v>
      </c>
      <c r="P20" s="2">
        <v>0</v>
      </c>
      <c r="Q20" s="2">
        <v>0</v>
      </c>
      <c r="R20" s="2">
        <v>0</v>
      </c>
      <c r="S20" s="2">
        <v>0</v>
      </c>
      <c r="U20" s="1" t="s">
        <v>1874</v>
      </c>
      <c r="W20" s="1" t="s">
        <v>1155</v>
      </c>
      <c r="X20" s="1" t="s">
        <v>1155</v>
      </c>
      <c r="AN20" s="1" t="s">
        <v>1179</v>
      </c>
      <c r="AO20" s="2">
        <v>95</v>
      </c>
      <c r="AP20" s="1" t="s">
        <v>1957</v>
      </c>
      <c r="AR20" s="1" t="s">
        <v>1642</v>
      </c>
      <c r="AS20" s="1" t="s">
        <v>1653</v>
      </c>
      <c r="AT20" s="1" t="s">
        <v>1154</v>
      </c>
      <c r="BO20" s="1" t="s">
        <v>1158</v>
      </c>
      <c r="BP20" s="2">
        <v>0</v>
      </c>
      <c r="BQ20" s="2">
        <v>0</v>
      </c>
      <c r="BR20" s="2">
        <v>1</v>
      </c>
      <c r="BS20" s="2">
        <v>0</v>
      </c>
      <c r="BT20" s="2">
        <v>0</v>
      </c>
      <c r="BU20" s="2">
        <v>0</v>
      </c>
      <c r="BV20" s="2">
        <v>0</v>
      </c>
      <c r="BW20" s="2">
        <v>0</v>
      </c>
      <c r="BX20" s="2">
        <v>0</v>
      </c>
      <c r="BY20" s="2">
        <v>0</v>
      </c>
      <c r="BZ20" s="2">
        <v>0</v>
      </c>
      <c r="CA20" s="2">
        <v>0</v>
      </c>
      <c r="CC20" s="1" t="s">
        <v>1154</v>
      </c>
      <c r="DQ20" s="1" t="s">
        <v>1167</v>
      </c>
      <c r="DR20" s="2">
        <v>0</v>
      </c>
      <c r="DS20" s="2">
        <v>1</v>
      </c>
      <c r="DT20" s="2">
        <v>0</v>
      </c>
      <c r="DU20" s="2">
        <v>0</v>
      </c>
      <c r="DV20" s="2">
        <v>0</v>
      </c>
      <c r="DX20" s="1" t="s">
        <v>1656</v>
      </c>
      <c r="DY20" s="2">
        <v>0</v>
      </c>
      <c r="DZ20" s="2">
        <v>0</v>
      </c>
      <c r="EA20" s="2">
        <v>0</v>
      </c>
      <c r="EB20" s="2">
        <v>0</v>
      </c>
      <c r="EC20" s="2">
        <v>0</v>
      </c>
      <c r="ED20" s="2">
        <v>0</v>
      </c>
      <c r="EE20" s="2">
        <v>0</v>
      </c>
      <c r="EF20" s="2">
        <v>0</v>
      </c>
      <c r="EG20" s="2">
        <v>0</v>
      </c>
      <c r="EH20" s="2">
        <v>0</v>
      </c>
      <c r="EI20" s="2">
        <v>0</v>
      </c>
      <c r="EJ20" s="2">
        <v>0</v>
      </c>
      <c r="EK20" s="2">
        <v>1</v>
      </c>
      <c r="EM20" s="1" t="s">
        <v>1163</v>
      </c>
      <c r="EN20" s="2">
        <v>0</v>
      </c>
      <c r="EO20" s="2">
        <v>0</v>
      </c>
      <c r="EP20" s="2">
        <v>0</v>
      </c>
      <c r="EQ20" s="2">
        <v>0</v>
      </c>
      <c r="ER20" s="2">
        <v>0</v>
      </c>
      <c r="ES20" s="2">
        <v>0</v>
      </c>
      <c r="ET20" s="2">
        <v>0</v>
      </c>
      <c r="EU20" s="2">
        <v>0</v>
      </c>
      <c r="EV20" s="2">
        <v>0</v>
      </c>
      <c r="EW20" s="2">
        <v>1</v>
      </c>
      <c r="EX20" s="2">
        <v>0</v>
      </c>
      <c r="EY20" s="2">
        <v>0</v>
      </c>
      <c r="EZ20" s="2">
        <v>0</v>
      </c>
      <c r="FB20" s="1" t="s">
        <v>1154</v>
      </c>
      <c r="GI20" s="1" t="s">
        <v>2327</v>
      </c>
      <c r="GJ20" s="2">
        <v>0</v>
      </c>
      <c r="GK20" s="2">
        <v>1</v>
      </c>
      <c r="GL20" s="2">
        <v>1</v>
      </c>
      <c r="GM20" s="2">
        <v>0</v>
      </c>
      <c r="GN20" s="2">
        <v>0</v>
      </c>
      <c r="GO20" s="2">
        <v>0</v>
      </c>
      <c r="GP20" s="2">
        <v>0</v>
      </c>
      <c r="GQ20" s="2">
        <v>0</v>
      </c>
      <c r="GR20" s="2">
        <v>0</v>
      </c>
      <c r="GS20" s="2">
        <v>0</v>
      </c>
      <c r="GT20" s="2">
        <v>0</v>
      </c>
      <c r="GU20" s="2">
        <v>0</v>
      </c>
      <c r="GV20" s="2">
        <v>0</v>
      </c>
      <c r="AVS20" s="1">
        <v>134774039</v>
      </c>
      <c r="AVT20" s="1" t="s">
        <v>2428</v>
      </c>
      <c r="AVV20" s="1">
        <v>109</v>
      </c>
    </row>
    <row r="21" spans="1:980 1267:1270" x14ac:dyDescent="0.3">
      <c r="A21" s="1" t="s">
        <v>2429</v>
      </c>
      <c r="B21" s="1" t="s">
        <v>2430</v>
      </c>
      <c r="C21" s="1" t="s">
        <v>2431</v>
      </c>
      <c r="D21" s="1" t="s">
        <v>2354</v>
      </c>
      <c r="E21" s="1" t="s">
        <v>2079</v>
      </c>
      <c r="F21" s="1" t="s">
        <v>2354</v>
      </c>
      <c r="I21" s="1" t="s">
        <v>2080</v>
      </c>
      <c r="J21" s="1" t="s">
        <v>2325</v>
      </c>
      <c r="K21" s="1" t="s">
        <v>2325</v>
      </c>
      <c r="N21" s="1" t="s">
        <v>1152</v>
      </c>
      <c r="O21" s="2">
        <v>1</v>
      </c>
      <c r="P21" s="2">
        <v>0</v>
      </c>
      <c r="Q21" s="2">
        <v>0</v>
      </c>
      <c r="R21" s="2">
        <v>0</v>
      </c>
      <c r="S21" s="2">
        <v>0</v>
      </c>
      <c r="U21" s="1" t="s">
        <v>1654</v>
      </c>
      <c r="W21" s="1" t="s">
        <v>1154</v>
      </c>
      <c r="X21" s="1" t="s">
        <v>1155</v>
      </c>
      <c r="AN21" s="1" t="s">
        <v>1179</v>
      </c>
      <c r="AO21" s="2">
        <v>92</v>
      </c>
      <c r="AP21" s="1" t="s">
        <v>1871</v>
      </c>
      <c r="AR21" s="1" t="s">
        <v>1649</v>
      </c>
      <c r="AS21" s="1" t="s">
        <v>1653</v>
      </c>
      <c r="AT21" s="1" t="s">
        <v>1154</v>
      </c>
      <c r="BO21" s="1" t="s">
        <v>1157</v>
      </c>
      <c r="BP21" s="2">
        <v>0</v>
      </c>
      <c r="BQ21" s="2">
        <v>0</v>
      </c>
      <c r="BR21" s="2">
        <v>0</v>
      </c>
      <c r="BS21" s="2">
        <v>0</v>
      </c>
      <c r="BT21" s="2">
        <v>0</v>
      </c>
      <c r="BU21" s="2">
        <v>1</v>
      </c>
      <c r="BV21" s="2">
        <v>0</v>
      </c>
      <c r="BW21" s="2">
        <v>0</v>
      </c>
      <c r="BX21" s="2">
        <v>0</v>
      </c>
      <c r="BY21" s="2">
        <v>0</v>
      </c>
      <c r="BZ21" s="2">
        <v>0</v>
      </c>
      <c r="CA21" s="2">
        <v>0</v>
      </c>
      <c r="CC21" s="1" t="s">
        <v>1154</v>
      </c>
      <c r="DQ21" s="1" t="s">
        <v>1163</v>
      </c>
      <c r="DR21" s="2">
        <v>0</v>
      </c>
      <c r="DS21" s="2">
        <v>0</v>
      </c>
      <c r="DT21" s="2">
        <v>0</v>
      </c>
      <c r="DU21" s="2">
        <v>0</v>
      </c>
      <c r="DV21" s="2">
        <v>1</v>
      </c>
      <c r="DX21" s="1" t="s">
        <v>1656</v>
      </c>
      <c r="DY21" s="2">
        <v>0</v>
      </c>
      <c r="DZ21" s="2">
        <v>0</v>
      </c>
      <c r="EA21" s="2">
        <v>0</v>
      </c>
      <c r="EB21" s="2">
        <v>0</v>
      </c>
      <c r="EC21" s="2">
        <v>0</v>
      </c>
      <c r="ED21" s="2">
        <v>0</v>
      </c>
      <c r="EE21" s="2">
        <v>0</v>
      </c>
      <c r="EF21" s="2">
        <v>0</v>
      </c>
      <c r="EG21" s="2">
        <v>0</v>
      </c>
      <c r="EH21" s="2">
        <v>0</v>
      </c>
      <c r="EI21" s="2">
        <v>0</v>
      </c>
      <c r="EJ21" s="2">
        <v>0</v>
      </c>
      <c r="EK21" s="2">
        <v>1</v>
      </c>
      <c r="EM21" s="1" t="s">
        <v>1189</v>
      </c>
      <c r="EN21" s="2">
        <v>0</v>
      </c>
      <c r="EO21" s="2">
        <v>0</v>
      </c>
      <c r="EP21" s="2">
        <v>0</v>
      </c>
      <c r="EQ21" s="2">
        <v>0</v>
      </c>
      <c r="ER21" s="2">
        <v>1</v>
      </c>
      <c r="ES21" s="2">
        <v>0</v>
      </c>
      <c r="ET21" s="2">
        <v>0</v>
      </c>
      <c r="EU21" s="2">
        <v>0</v>
      </c>
      <c r="EV21" s="2">
        <v>0</v>
      </c>
      <c r="EW21" s="2">
        <v>0</v>
      </c>
      <c r="EX21" s="2">
        <v>0</v>
      </c>
      <c r="EY21" s="2">
        <v>0</v>
      </c>
      <c r="EZ21" s="2">
        <v>0</v>
      </c>
      <c r="FB21" s="1" t="s">
        <v>1154</v>
      </c>
      <c r="GI21" s="1" t="s">
        <v>2432</v>
      </c>
      <c r="GJ21" s="2">
        <v>0</v>
      </c>
      <c r="GK21" s="2">
        <v>0</v>
      </c>
      <c r="GL21" s="2">
        <v>1</v>
      </c>
      <c r="GM21" s="2">
        <v>0</v>
      </c>
      <c r="GN21" s="2">
        <v>0</v>
      </c>
      <c r="GO21" s="2">
        <v>0</v>
      </c>
      <c r="GP21" s="2">
        <v>0</v>
      </c>
      <c r="GQ21" s="2">
        <v>0</v>
      </c>
      <c r="GR21" s="2">
        <v>0</v>
      </c>
      <c r="GS21" s="2">
        <v>1</v>
      </c>
      <c r="GT21" s="2">
        <v>1</v>
      </c>
      <c r="GU21" s="2">
        <v>0</v>
      </c>
      <c r="GV21" s="2">
        <v>0</v>
      </c>
      <c r="AVS21" s="1">
        <v>134773683</v>
      </c>
      <c r="AVT21" s="1" t="s">
        <v>2433</v>
      </c>
      <c r="AVV21" s="1">
        <v>110</v>
      </c>
    </row>
    <row r="22" spans="1:980 1267:1270" x14ac:dyDescent="0.3">
      <c r="A22" s="1" t="s">
        <v>2434</v>
      </c>
      <c r="B22" s="1" t="s">
        <v>2435</v>
      </c>
      <c r="C22" s="1" t="s">
        <v>2436</v>
      </c>
      <c r="D22" s="1" t="s">
        <v>2324</v>
      </c>
      <c r="E22" s="1" t="s">
        <v>2125</v>
      </c>
      <c r="F22" s="1" t="s">
        <v>2324</v>
      </c>
      <c r="I22" s="1" t="s">
        <v>2080</v>
      </c>
      <c r="J22" s="1" t="s">
        <v>2325</v>
      </c>
      <c r="K22" s="1" t="s">
        <v>2325</v>
      </c>
      <c r="N22" s="1" t="s">
        <v>1152</v>
      </c>
      <c r="O22" s="2">
        <v>1</v>
      </c>
      <c r="P22" s="2">
        <v>0</v>
      </c>
      <c r="Q22" s="2">
        <v>0</v>
      </c>
      <c r="R22" s="2">
        <v>0</v>
      </c>
      <c r="S22" s="2">
        <v>0</v>
      </c>
      <c r="U22" s="1" t="s">
        <v>1885</v>
      </c>
      <c r="W22" s="1" t="s">
        <v>1155</v>
      </c>
      <c r="X22" s="1" t="s">
        <v>1155</v>
      </c>
      <c r="AN22" s="1" t="s">
        <v>1187</v>
      </c>
      <c r="AO22" s="2">
        <v>25</v>
      </c>
      <c r="AP22" s="1" t="s">
        <v>1190</v>
      </c>
      <c r="AR22" s="1" t="s">
        <v>1649</v>
      </c>
      <c r="AS22" s="1" t="s">
        <v>1163</v>
      </c>
      <c r="AT22" s="1" t="s">
        <v>1155</v>
      </c>
      <c r="AU22" s="1" t="s">
        <v>1182</v>
      </c>
      <c r="AV22" s="1" t="s">
        <v>1186</v>
      </c>
      <c r="AW22" s="2">
        <v>1</v>
      </c>
      <c r="AX22" s="2">
        <v>0</v>
      </c>
      <c r="AY22" s="2">
        <v>0</v>
      </c>
      <c r="AZ22" s="2">
        <v>0</v>
      </c>
      <c r="BA22" s="2">
        <v>0</v>
      </c>
      <c r="BB22" s="2">
        <v>0</v>
      </c>
      <c r="BC22" s="2">
        <v>0</v>
      </c>
      <c r="BD22" s="2">
        <v>0</v>
      </c>
      <c r="BO22" s="1" t="s">
        <v>1157</v>
      </c>
      <c r="BP22" s="2">
        <v>0</v>
      </c>
      <c r="BQ22" s="2">
        <v>0</v>
      </c>
      <c r="BR22" s="2">
        <v>0</v>
      </c>
      <c r="BS22" s="2">
        <v>0</v>
      </c>
      <c r="BT22" s="2">
        <v>0</v>
      </c>
      <c r="BU22" s="2">
        <v>1</v>
      </c>
      <c r="BV22" s="2">
        <v>0</v>
      </c>
      <c r="BW22" s="2">
        <v>0</v>
      </c>
      <c r="BX22" s="2">
        <v>0</v>
      </c>
      <c r="BY22" s="2">
        <v>0</v>
      </c>
      <c r="BZ22" s="2">
        <v>0</v>
      </c>
      <c r="CA22" s="2">
        <v>0</v>
      </c>
      <c r="CC22" s="1" t="s">
        <v>1154</v>
      </c>
      <c r="DQ22" s="1" t="s">
        <v>1163</v>
      </c>
      <c r="DR22" s="2">
        <v>0</v>
      </c>
      <c r="DS22" s="2">
        <v>0</v>
      </c>
      <c r="DT22" s="2">
        <v>0</v>
      </c>
      <c r="DU22" s="2">
        <v>0</v>
      </c>
      <c r="DV22" s="2">
        <v>1</v>
      </c>
      <c r="DX22" s="1" t="s">
        <v>2437</v>
      </c>
      <c r="DY22" s="2">
        <v>0</v>
      </c>
      <c r="DZ22" s="2">
        <v>0</v>
      </c>
      <c r="EA22" s="2">
        <v>0</v>
      </c>
      <c r="EB22" s="2">
        <v>0</v>
      </c>
      <c r="EC22" s="2">
        <v>0</v>
      </c>
      <c r="ED22" s="2">
        <v>0</v>
      </c>
      <c r="EE22" s="2">
        <v>0</v>
      </c>
      <c r="EF22" s="2">
        <v>0</v>
      </c>
      <c r="EG22" s="2">
        <v>1</v>
      </c>
      <c r="EH22" s="2">
        <v>0</v>
      </c>
      <c r="EI22" s="2">
        <v>0</v>
      </c>
      <c r="EJ22" s="2">
        <v>0</v>
      </c>
      <c r="EK22" s="2">
        <v>1</v>
      </c>
      <c r="EM22" s="1" t="s">
        <v>1163</v>
      </c>
      <c r="EN22" s="2">
        <v>0</v>
      </c>
      <c r="EO22" s="2">
        <v>0</v>
      </c>
      <c r="EP22" s="2">
        <v>0</v>
      </c>
      <c r="EQ22" s="2">
        <v>0</v>
      </c>
      <c r="ER22" s="2">
        <v>0</v>
      </c>
      <c r="ES22" s="2">
        <v>0</v>
      </c>
      <c r="ET22" s="2">
        <v>0</v>
      </c>
      <c r="EU22" s="2">
        <v>0</v>
      </c>
      <c r="EV22" s="2">
        <v>0</v>
      </c>
      <c r="EW22" s="2">
        <v>1</v>
      </c>
      <c r="EX22" s="2">
        <v>0</v>
      </c>
      <c r="EY22" s="2">
        <v>0</v>
      </c>
      <c r="EZ22" s="2">
        <v>0</v>
      </c>
      <c r="FB22" s="1" t="s">
        <v>1154</v>
      </c>
      <c r="GI22" s="1" t="s">
        <v>1927</v>
      </c>
      <c r="GJ22" s="2">
        <v>0</v>
      </c>
      <c r="GK22" s="2">
        <v>0</v>
      </c>
      <c r="GL22" s="2">
        <v>0</v>
      </c>
      <c r="GM22" s="2">
        <v>0</v>
      </c>
      <c r="GN22" s="2">
        <v>0</v>
      </c>
      <c r="GO22" s="2">
        <v>0</v>
      </c>
      <c r="GP22" s="2">
        <v>0</v>
      </c>
      <c r="GQ22" s="2">
        <v>0</v>
      </c>
      <c r="GR22" s="2">
        <v>0</v>
      </c>
      <c r="GS22" s="2">
        <v>0</v>
      </c>
      <c r="GT22" s="2">
        <v>1</v>
      </c>
      <c r="GU22" s="2">
        <v>0</v>
      </c>
      <c r="GV22" s="2">
        <v>0</v>
      </c>
      <c r="AVS22" s="1">
        <v>134773685</v>
      </c>
      <c r="AVT22" s="1" t="s">
        <v>2438</v>
      </c>
      <c r="AVV22" s="1">
        <v>111</v>
      </c>
    </row>
    <row r="23" spans="1:980 1267:1270" x14ac:dyDescent="0.3">
      <c r="A23" s="1" t="s">
        <v>2439</v>
      </c>
      <c r="B23" s="1" t="s">
        <v>2440</v>
      </c>
      <c r="C23" s="1" t="s">
        <v>2441</v>
      </c>
      <c r="D23" s="1" t="s">
        <v>2354</v>
      </c>
      <c r="E23" s="1" t="s">
        <v>2079</v>
      </c>
      <c r="F23" s="1" t="s">
        <v>2354</v>
      </c>
      <c r="I23" s="1" t="s">
        <v>2080</v>
      </c>
      <c r="J23" s="1" t="s">
        <v>2325</v>
      </c>
      <c r="K23" s="1" t="s">
        <v>2325</v>
      </c>
      <c r="N23" s="1" t="s">
        <v>1152</v>
      </c>
      <c r="O23" s="2">
        <v>1</v>
      </c>
      <c r="P23" s="2">
        <v>0</v>
      </c>
      <c r="Q23" s="2">
        <v>0</v>
      </c>
      <c r="R23" s="2">
        <v>0</v>
      </c>
      <c r="S23" s="2">
        <v>0</v>
      </c>
      <c r="U23" s="1" t="s">
        <v>1654</v>
      </c>
      <c r="W23" s="1" t="s">
        <v>1155</v>
      </c>
      <c r="X23" s="1" t="s">
        <v>1155</v>
      </c>
      <c r="AN23" s="1" t="s">
        <v>1179</v>
      </c>
      <c r="AO23" s="2">
        <v>75</v>
      </c>
      <c r="AP23" s="1" t="s">
        <v>1871</v>
      </c>
      <c r="AR23" s="1" t="s">
        <v>1649</v>
      </c>
      <c r="AS23" s="1" t="s">
        <v>1653</v>
      </c>
      <c r="AT23" s="1" t="s">
        <v>1155</v>
      </c>
      <c r="AU23" s="1" t="s">
        <v>1182</v>
      </c>
      <c r="AV23" s="1" t="s">
        <v>1186</v>
      </c>
      <c r="AW23" s="2">
        <v>1</v>
      </c>
      <c r="AX23" s="2">
        <v>0</v>
      </c>
      <c r="AY23" s="2">
        <v>0</v>
      </c>
      <c r="AZ23" s="2">
        <v>0</v>
      </c>
      <c r="BA23" s="2">
        <v>0</v>
      </c>
      <c r="BB23" s="2">
        <v>0</v>
      </c>
      <c r="BC23" s="2">
        <v>0</v>
      </c>
      <c r="BD23" s="2">
        <v>0</v>
      </c>
      <c r="BO23" s="1" t="s">
        <v>1157</v>
      </c>
      <c r="BP23" s="2">
        <v>0</v>
      </c>
      <c r="BQ23" s="2">
        <v>0</v>
      </c>
      <c r="BR23" s="2">
        <v>0</v>
      </c>
      <c r="BS23" s="2">
        <v>0</v>
      </c>
      <c r="BT23" s="2">
        <v>0</v>
      </c>
      <c r="BU23" s="2">
        <v>1</v>
      </c>
      <c r="BV23" s="2">
        <v>0</v>
      </c>
      <c r="BW23" s="2">
        <v>0</v>
      </c>
      <c r="BX23" s="2">
        <v>0</v>
      </c>
      <c r="BY23" s="2">
        <v>0</v>
      </c>
      <c r="BZ23" s="2">
        <v>0</v>
      </c>
      <c r="CA23" s="2">
        <v>0</v>
      </c>
      <c r="CC23" s="1" t="s">
        <v>1154</v>
      </c>
      <c r="DQ23" s="1" t="s">
        <v>1163</v>
      </c>
      <c r="DR23" s="2">
        <v>0</v>
      </c>
      <c r="DS23" s="2">
        <v>0</v>
      </c>
      <c r="DT23" s="2">
        <v>0</v>
      </c>
      <c r="DU23" s="2">
        <v>0</v>
      </c>
      <c r="DV23" s="2">
        <v>1</v>
      </c>
      <c r="DX23" s="1" t="s">
        <v>1656</v>
      </c>
      <c r="DY23" s="2">
        <v>0</v>
      </c>
      <c r="DZ23" s="2">
        <v>0</v>
      </c>
      <c r="EA23" s="2">
        <v>0</v>
      </c>
      <c r="EB23" s="2">
        <v>0</v>
      </c>
      <c r="EC23" s="2">
        <v>0</v>
      </c>
      <c r="ED23" s="2">
        <v>0</v>
      </c>
      <c r="EE23" s="2">
        <v>0</v>
      </c>
      <c r="EF23" s="2">
        <v>0</v>
      </c>
      <c r="EG23" s="2">
        <v>0</v>
      </c>
      <c r="EH23" s="2">
        <v>0</v>
      </c>
      <c r="EI23" s="2">
        <v>0</v>
      </c>
      <c r="EJ23" s="2">
        <v>0</v>
      </c>
      <c r="EK23" s="2">
        <v>1</v>
      </c>
      <c r="EM23" s="1" t="s">
        <v>1923</v>
      </c>
      <c r="EN23" s="2">
        <v>0</v>
      </c>
      <c r="EO23" s="2">
        <v>0</v>
      </c>
      <c r="EP23" s="2">
        <v>0</v>
      </c>
      <c r="EQ23" s="2">
        <v>0</v>
      </c>
      <c r="ER23" s="2">
        <v>0</v>
      </c>
      <c r="ES23" s="2">
        <v>1</v>
      </c>
      <c r="ET23" s="2">
        <v>0</v>
      </c>
      <c r="EU23" s="2">
        <v>0</v>
      </c>
      <c r="EV23" s="2">
        <v>0</v>
      </c>
      <c r="EW23" s="2">
        <v>0</v>
      </c>
      <c r="EX23" s="2">
        <v>0</v>
      </c>
      <c r="EY23" s="2">
        <v>0</v>
      </c>
      <c r="EZ23" s="2">
        <v>0</v>
      </c>
      <c r="FB23" s="1" t="s">
        <v>1155</v>
      </c>
      <c r="FC23" s="1" t="s">
        <v>1938</v>
      </c>
      <c r="FD23" s="2">
        <v>1</v>
      </c>
      <c r="FE23" s="2">
        <v>0</v>
      </c>
      <c r="FF23" s="2">
        <v>0</v>
      </c>
      <c r="FG23" s="2">
        <v>0</v>
      </c>
      <c r="FH23" s="2">
        <v>0</v>
      </c>
      <c r="FI23" s="2">
        <v>0</v>
      </c>
      <c r="FJ23" s="2">
        <v>0</v>
      </c>
      <c r="FL23" s="1" t="s">
        <v>1378</v>
      </c>
      <c r="FM23" s="2">
        <v>1</v>
      </c>
      <c r="FN23" s="2">
        <v>0</v>
      </c>
      <c r="FO23" s="2">
        <v>0</v>
      </c>
      <c r="FP23" s="2">
        <v>0</v>
      </c>
      <c r="FQ23" s="2">
        <v>0</v>
      </c>
      <c r="FR23" s="2">
        <v>0</v>
      </c>
      <c r="FS23" s="2">
        <v>0</v>
      </c>
      <c r="FT23" s="2">
        <v>0</v>
      </c>
      <c r="FU23" s="2">
        <v>0</v>
      </c>
      <c r="FV23" s="2">
        <v>0</v>
      </c>
      <c r="FW23" s="2">
        <v>0</v>
      </c>
      <c r="FX23" s="2">
        <v>0</v>
      </c>
      <c r="FY23" s="2">
        <v>0</v>
      </c>
      <c r="GA23" s="1" t="s">
        <v>1155</v>
      </c>
      <c r="GI23" s="1" t="s">
        <v>2442</v>
      </c>
      <c r="GJ23" s="2">
        <v>0</v>
      </c>
      <c r="GK23" s="2">
        <v>1</v>
      </c>
      <c r="GL23" s="2">
        <v>0</v>
      </c>
      <c r="GM23" s="2">
        <v>0</v>
      </c>
      <c r="GN23" s="2">
        <v>0</v>
      </c>
      <c r="GO23" s="2">
        <v>0</v>
      </c>
      <c r="GP23" s="2">
        <v>0</v>
      </c>
      <c r="GQ23" s="2">
        <v>1</v>
      </c>
      <c r="GR23" s="2">
        <v>0</v>
      </c>
      <c r="GS23" s="2">
        <v>0</v>
      </c>
      <c r="GT23" s="2">
        <v>1</v>
      </c>
      <c r="GU23" s="2">
        <v>0</v>
      </c>
      <c r="GV23" s="2">
        <v>0</v>
      </c>
      <c r="AVS23" s="1">
        <v>134773582</v>
      </c>
      <c r="AVT23" s="1" t="s">
        <v>2443</v>
      </c>
      <c r="AVV23" s="1">
        <v>112</v>
      </c>
    </row>
    <row r="24" spans="1:980 1267:1270" x14ac:dyDescent="0.3">
      <c r="A24" s="1" t="s">
        <v>2444</v>
      </c>
      <c r="B24" s="1" t="s">
        <v>2445</v>
      </c>
      <c r="C24" s="1" t="s">
        <v>2446</v>
      </c>
      <c r="D24" s="1" t="s">
        <v>2354</v>
      </c>
      <c r="E24" s="1" t="s">
        <v>2125</v>
      </c>
      <c r="F24" s="1" t="s">
        <v>2354</v>
      </c>
      <c r="I24" s="1" t="s">
        <v>2080</v>
      </c>
      <c r="J24" s="1" t="s">
        <v>2325</v>
      </c>
      <c r="K24" s="1" t="s">
        <v>2325</v>
      </c>
      <c r="N24" s="1" t="s">
        <v>1152</v>
      </c>
      <c r="O24" s="2">
        <v>1</v>
      </c>
      <c r="P24" s="2">
        <v>0</v>
      </c>
      <c r="Q24" s="2">
        <v>0</v>
      </c>
      <c r="R24" s="2">
        <v>0</v>
      </c>
      <c r="S24" s="2">
        <v>0</v>
      </c>
      <c r="U24" s="1" t="s">
        <v>1654</v>
      </c>
      <c r="W24" s="1" t="s">
        <v>1155</v>
      </c>
      <c r="X24" s="1" t="s">
        <v>1155</v>
      </c>
      <c r="AN24" s="1" t="s">
        <v>1179</v>
      </c>
      <c r="AO24" s="2">
        <v>12</v>
      </c>
      <c r="AP24" s="1" t="s">
        <v>1190</v>
      </c>
      <c r="AR24" s="1" t="s">
        <v>1649</v>
      </c>
      <c r="AS24" s="1" t="s">
        <v>1653</v>
      </c>
      <c r="AT24" s="1" t="s">
        <v>1155</v>
      </c>
      <c r="AU24" s="1" t="s">
        <v>1156</v>
      </c>
      <c r="AV24" s="1" t="s">
        <v>1186</v>
      </c>
      <c r="AW24" s="2">
        <v>1</v>
      </c>
      <c r="AX24" s="2">
        <v>0</v>
      </c>
      <c r="AY24" s="2">
        <v>0</v>
      </c>
      <c r="AZ24" s="2">
        <v>0</v>
      </c>
      <c r="BA24" s="2">
        <v>0</v>
      </c>
      <c r="BB24" s="2">
        <v>0</v>
      </c>
      <c r="BC24" s="2">
        <v>0</v>
      </c>
      <c r="BD24" s="2">
        <v>0</v>
      </c>
      <c r="BO24" s="1" t="s">
        <v>1157</v>
      </c>
      <c r="BP24" s="2">
        <v>0</v>
      </c>
      <c r="BQ24" s="2">
        <v>0</v>
      </c>
      <c r="BR24" s="2">
        <v>0</v>
      </c>
      <c r="BS24" s="2">
        <v>0</v>
      </c>
      <c r="BT24" s="2">
        <v>0</v>
      </c>
      <c r="BU24" s="2">
        <v>1</v>
      </c>
      <c r="BV24" s="2">
        <v>0</v>
      </c>
      <c r="BW24" s="2">
        <v>0</v>
      </c>
      <c r="BX24" s="2">
        <v>0</v>
      </c>
      <c r="BY24" s="2">
        <v>0</v>
      </c>
      <c r="BZ24" s="2">
        <v>0</v>
      </c>
      <c r="CA24" s="2">
        <v>0</v>
      </c>
      <c r="CC24" s="1" t="s">
        <v>1154</v>
      </c>
      <c r="DQ24" s="1" t="s">
        <v>1167</v>
      </c>
      <c r="DR24" s="2">
        <v>0</v>
      </c>
      <c r="DS24" s="2">
        <v>1</v>
      </c>
      <c r="DT24" s="2">
        <v>0</v>
      </c>
      <c r="DU24" s="2">
        <v>0</v>
      </c>
      <c r="DV24" s="2">
        <v>0</v>
      </c>
      <c r="DX24" s="1" t="s">
        <v>2447</v>
      </c>
      <c r="DY24" s="2">
        <v>0</v>
      </c>
      <c r="DZ24" s="2">
        <v>0</v>
      </c>
      <c r="EA24" s="2">
        <v>0</v>
      </c>
      <c r="EB24" s="2">
        <v>0</v>
      </c>
      <c r="EC24" s="2">
        <v>1</v>
      </c>
      <c r="ED24" s="2">
        <v>0</v>
      </c>
      <c r="EE24" s="2">
        <v>0</v>
      </c>
      <c r="EF24" s="2">
        <v>0</v>
      </c>
      <c r="EG24" s="2">
        <v>0</v>
      </c>
      <c r="EH24" s="2">
        <v>0</v>
      </c>
      <c r="EI24" s="2">
        <v>0</v>
      </c>
      <c r="EJ24" s="2">
        <v>0</v>
      </c>
      <c r="EK24" s="2">
        <v>1</v>
      </c>
      <c r="EM24" s="1" t="s">
        <v>1923</v>
      </c>
      <c r="EN24" s="2">
        <v>0</v>
      </c>
      <c r="EO24" s="2">
        <v>0</v>
      </c>
      <c r="EP24" s="2">
        <v>0</v>
      </c>
      <c r="EQ24" s="2">
        <v>0</v>
      </c>
      <c r="ER24" s="2">
        <v>0</v>
      </c>
      <c r="ES24" s="2">
        <v>1</v>
      </c>
      <c r="ET24" s="2">
        <v>0</v>
      </c>
      <c r="EU24" s="2">
        <v>0</v>
      </c>
      <c r="EV24" s="2">
        <v>0</v>
      </c>
      <c r="EW24" s="2">
        <v>0</v>
      </c>
      <c r="EX24" s="2">
        <v>0</v>
      </c>
      <c r="EY24" s="2">
        <v>0</v>
      </c>
      <c r="EZ24" s="2">
        <v>0</v>
      </c>
      <c r="FB24" s="1" t="s">
        <v>1155</v>
      </c>
      <c r="FC24" s="1" t="s">
        <v>1157</v>
      </c>
      <c r="FD24" s="2">
        <v>0</v>
      </c>
      <c r="FE24" s="2">
        <v>0</v>
      </c>
      <c r="FF24" s="2">
        <v>0</v>
      </c>
      <c r="FG24" s="2">
        <v>0</v>
      </c>
      <c r="FH24" s="2">
        <v>1</v>
      </c>
      <c r="FI24" s="2">
        <v>0</v>
      </c>
      <c r="FJ24" s="2">
        <v>0</v>
      </c>
      <c r="FL24" s="1" t="s">
        <v>2386</v>
      </c>
      <c r="FM24" s="2">
        <v>0</v>
      </c>
      <c r="FN24" s="2">
        <v>1</v>
      </c>
      <c r="FO24" s="2">
        <v>0</v>
      </c>
      <c r="FP24" s="2">
        <v>0</v>
      </c>
      <c r="FQ24" s="2">
        <v>0</v>
      </c>
      <c r="FR24" s="2">
        <v>1</v>
      </c>
      <c r="FS24" s="2">
        <v>0</v>
      </c>
      <c r="FT24" s="2">
        <v>0</v>
      </c>
      <c r="FU24" s="2">
        <v>0</v>
      </c>
      <c r="FV24" s="2">
        <v>0</v>
      </c>
      <c r="FW24" s="2">
        <v>0</v>
      </c>
      <c r="FX24" s="2">
        <v>0</v>
      </c>
      <c r="FY24" s="2">
        <v>0</v>
      </c>
      <c r="GA24" s="1" t="s">
        <v>1154</v>
      </c>
      <c r="GB24" s="1" t="s">
        <v>1178</v>
      </c>
      <c r="GC24" s="2">
        <v>1</v>
      </c>
      <c r="GD24" s="2">
        <v>0</v>
      </c>
      <c r="GE24" s="2">
        <v>0</v>
      </c>
      <c r="GF24" s="2">
        <v>0</v>
      </c>
      <c r="GG24" s="2">
        <v>0</v>
      </c>
      <c r="GI24" s="1" t="s">
        <v>2448</v>
      </c>
      <c r="GJ24" s="2">
        <v>0</v>
      </c>
      <c r="GK24" s="2">
        <v>1</v>
      </c>
      <c r="GL24" s="2">
        <v>0</v>
      </c>
      <c r="GM24" s="2">
        <v>1</v>
      </c>
      <c r="GN24" s="2">
        <v>0</v>
      </c>
      <c r="GO24" s="2">
        <v>0</v>
      </c>
      <c r="GP24" s="2">
        <v>0</v>
      </c>
      <c r="GQ24" s="2">
        <v>0</v>
      </c>
      <c r="GR24" s="2">
        <v>0</v>
      </c>
      <c r="GS24" s="2">
        <v>1</v>
      </c>
      <c r="GT24" s="2">
        <v>0</v>
      </c>
      <c r="GU24" s="2">
        <v>0</v>
      </c>
      <c r="GV24" s="2">
        <v>0</v>
      </c>
      <c r="AVS24" s="1">
        <v>134773526</v>
      </c>
      <c r="AVT24" s="1" t="s">
        <v>2449</v>
      </c>
      <c r="AVV24" s="1">
        <v>113</v>
      </c>
    </row>
    <row r="25" spans="1:980 1267:1270" x14ac:dyDescent="0.3">
      <c r="A25" s="1" t="s">
        <v>2450</v>
      </c>
      <c r="B25" s="1" t="s">
        <v>2451</v>
      </c>
      <c r="C25" s="1" t="s">
        <v>2452</v>
      </c>
      <c r="D25" s="1" t="s">
        <v>2354</v>
      </c>
      <c r="E25" s="1" t="s">
        <v>2211</v>
      </c>
      <c r="F25" s="1" t="s">
        <v>2354</v>
      </c>
      <c r="I25" s="1" t="s">
        <v>2080</v>
      </c>
      <c r="J25" s="1" t="s">
        <v>2325</v>
      </c>
      <c r="K25" s="1" t="s">
        <v>2325</v>
      </c>
      <c r="N25" s="1" t="s">
        <v>1168</v>
      </c>
      <c r="O25" s="2">
        <v>0</v>
      </c>
      <c r="P25" s="2">
        <v>0</v>
      </c>
      <c r="Q25" s="2">
        <v>1</v>
      </c>
      <c r="R25" s="2">
        <v>0</v>
      </c>
      <c r="S25" s="2">
        <v>0</v>
      </c>
      <c r="ZS25" s="1" t="s">
        <v>2314</v>
      </c>
      <c r="ZT25" s="1" t="s">
        <v>2103</v>
      </c>
      <c r="ZV25" s="1" t="s">
        <v>1170</v>
      </c>
      <c r="ZX25" s="1" t="s">
        <v>1155</v>
      </c>
      <c r="ABD25" s="2"/>
      <c r="ABE25" s="1" t="s">
        <v>1171</v>
      </c>
      <c r="ABF25" s="2">
        <v>1</v>
      </c>
      <c r="ABG25" s="2">
        <v>0</v>
      </c>
      <c r="ABH25" s="2">
        <v>0</v>
      </c>
      <c r="ABI25" s="2">
        <v>0</v>
      </c>
      <c r="ABJ25" s="2">
        <v>0</v>
      </c>
      <c r="ABL25" s="1" t="s">
        <v>1175</v>
      </c>
      <c r="ABM25" s="2">
        <v>0</v>
      </c>
      <c r="ABN25" s="2">
        <v>0</v>
      </c>
      <c r="ABO25" s="2">
        <v>0</v>
      </c>
      <c r="ABP25" s="2">
        <v>0</v>
      </c>
      <c r="ABQ25" s="2">
        <v>0</v>
      </c>
      <c r="ABR25" s="2">
        <v>0</v>
      </c>
      <c r="ABS25" s="2">
        <v>0</v>
      </c>
      <c r="ABT25" s="2">
        <v>0</v>
      </c>
      <c r="ABU25" s="2">
        <v>0</v>
      </c>
      <c r="ABV25" s="2">
        <v>0</v>
      </c>
      <c r="ABW25" s="2">
        <v>0</v>
      </c>
      <c r="ABX25" s="2">
        <v>1</v>
      </c>
      <c r="ABZ25" s="2">
        <v>10</v>
      </c>
      <c r="ACA25" s="1" t="s">
        <v>1155</v>
      </c>
      <c r="ACB25" s="57">
        <v>10</v>
      </c>
      <c r="ACC25" s="1" t="s">
        <v>1155</v>
      </c>
      <c r="ACD25" s="2">
        <v>5</v>
      </c>
      <c r="ACE25" s="2">
        <v>6</v>
      </c>
      <c r="ACF25" s="2">
        <v>5</v>
      </c>
      <c r="ACG25" s="2">
        <v>10</v>
      </c>
      <c r="ACI25" s="1" t="s">
        <v>1155</v>
      </c>
      <c r="ACJ25" s="1" t="s">
        <v>1155</v>
      </c>
      <c r="ACK25" s="1" t="s">
        <v>1654</v>
      </c>
      <c r="ACM25" s="1" t="s">
        <v>1872</v>
      </c>
      <c r="ACN25" s="2">
        <v>780</v>
      </c>
      <c r="ACO25" s="2">
        <v>0</v>
      </c>
      <c r="ACP25" s="2">
        <v>780</v>
      </c>
      <c r="ACQ25" s="2">
        <v>0</v>
      </c>
      <c r="ACR25" s="2">
        <v>0</v>
      </c>
      <c r="ACT25" s="2">
        <v>6</v>
      </c>
      <c r="ACU25" s="2">
        <v>16</v>
      </c>
      <c r="ACV25" s="1" t="s">
        <v>1155</v>
      </c>
      <c r="ACW25" s="1" t="s">
        <v>1156</v>
      </c>
      <c r="ACX25" s="1" t="s">
        <v>2453</v>
      </c>
      <c r="ACY25" s="2">
        <v>1</v>
      </c>
      <c r="ACZ25" s="2">
        <v>0</v>
      </c>
      <c r="ADA25" s="2">
        <v>1</v>
      </c>
      <c r="ADB25" s="2">
        <v>0</v>
      </c>
      <c r="ADC25" s="2">
        <v>0</v>
      </c>
      <c r="ADD25" s="2">
        <v>0</v>
      </c>
      <c r="ADE25" s="2">
        <v>1</v>
      </c>
      <c r="ADQ25" s="2">
        <v>7</v>
      </c>
      <c r="ADR25" s="2">
        <v>1</v>
      </c>
      <c r="ADS25" s="2">
        <v>6</v>
      </c>
      <c r="ADT25" s="2">
        <v>6</v>
      </c>
      <c r="ADU25" s="2">
        <v>7</v>
      </c>
      <c r="ADW25" s="1" t="s">
        <v>1154</v>
      </c>
      <c r="AEO25" s="2">
        <v>0</v>
      </c>
      <c r="AEP25" s="2">
        <v>0</v>
      </c>
      <c r="AEQ25" s="2">
        <v>0</v>
      </c>
      <c r="AER25" s="2">
        <v>0</v>
      </c>
      <c r="AES25" s="2">
        <v>0</v>
      </c>
      <c r="AEU25" s="1" t="s">
        <v>1154</v>
      </c>
      <c r="AFL25" s="2">
        <v>7</v>
      </c>
      <c r="AFM25" s="2">
        <v>7</v>
      </c>
      <c r="AFN25" s="2">
        <v>0</v>
      </c>
      <c r="AFO25" s="2">
        <v>0</v>
      </c>
      <c r="AFP25" s="2">
        <v>7</v>
      </c>
      <c r="AFR25" s="1" t="s">
        <v>1154</v>
      </c>
      <c r="AGH25" s="1" t="s">
        <v>1172</v>
      </c>
      <c r="AGI25" s="1" t="s">
        <v>1172</v>
      </c>
      <c r="AGJ25" s="1" t="s">
        <v>1155</v>
      </c>
      <c r="AGK25" s="85">
        <v>10000</v>
      </c>
      <c r="AGL25" s="1" t="s">
        <v>1176</v>
      </c>
      <c r="AGM25" s="2">
        <v>1</v>
      </c>
      <c r="AGN25" s="2">
        <v>1</v>
      </c>
      <c r="AGO25" s="2">
        <v>0</v>
      </c>
      <c r="AGP25" s="2">
        <v>0</v>
      </c>
      <c r="AGQ25" s="2">
        <v>0</v>
      </c>
      <c r="AGR25" s="2">
        <v>0</v>
      </c>
      <c r="AGT25" s="1" t="s">
        <v>1154</v>
      </c>
      <c r="AHQ25" s="1" t="s">
        <v>1163</v>
      </c>
      <c r="AHR25" s="2">
        <v>0</v>
      </c>
      <c r="AHS25" s="2">
        <v>0</v>
      </c>
      <c r="AHT25" s="2">
        <v>0</v>
      </c>
      <c r="AHU25" s="2">
        <v>0</v>
      </c>
      <c r="AHV25" s="2">
        <v>1</v>
      </c>
      <c r="AHX25" s="1" t="s">
        <v>1873</v>
      </c>
      <c r="AHY25" s="2">
        <v>1</v>
      </c>
      <c r="AHZ25" s="2">
        <v>1</v>
      </c>
      <c r="AIA25" s="2">
        <v>1</v>
      </c>
      <c r="AIB25" s="2">
        <v>1</v>
      </c>
      <c r="AIC25" s="2">
        <v>0</v>
      </c>
      <c r="AID25" s="2">
        <v>0</v>
      </c>
      <c r="AIE25" s="2">
        <v>0</v>
      </c>
      <c r="AIF25" s="2">
        <v>0</v>
      </c>
      <c r="AIG25" s="2">
        <v>0</v>
      </c>
      <c r="AIH25" s="2">
        <v>0</v>
      </c>
      <c r="AII25" s="2">
        <v>0</v>
      </c>
      <c r="AIK25" s="1" t="s">
        <v>1189</v>
      </c>
      <c r="AIL25" s="2">
        <v>0</v>
      </c>
      <c r="AIM25" s="2">
        <v>0</v>
      </c>
      <c r="AIN25" s="2">
        <v>0</v>
      </c>
      <c r="AIO25" s="2">
        <v>0</v>
      </c>
      <c r="AIP25" s="2">
        <v>1</v>
      </c>
      <c r="AIQ25" s="2">
        <v>0</v>
      </c>
      <c r="AIR25" s="2">
        <v>0</v>
      </c>
      <c r="AIS25" s="2">
        <v>0</v>
      </c>
      <c r="AIT25" s="2">
        <v>0</v>
      </c>
      <c r="AIU25" s="2">
        <v>0</v>
      </c>
      <c r="AIV25" s="2">
        <v>0</v>
      </c>
      <c r="AIW25" s="2">
        <v>0</v>
      </c>
      <c r="AIX25" s="2">
        <v>0</v>
      </c>
      <c r="AIZ25" s="1" t="s">
        <v>1155</v>
      </c>
      <c r="AJA25" s="1" t="s">
        <v>1157</v>
      </c>
      <c r="AJB25" s="2">
        <v>0</v>
      </c>
      <c r="AJC25" s="2">
        <v>0</v>
      </c>
      <c r="AJD25" s="2">
        <v>0</v>
      </c>
      <c r="AJE25" s="2">
        <v>0</v>
      </c>
      <c r="AJF25" s="2">
        <v>1</v>
      </c>
      <c r="AJG25" s="2">
        <v>0</v>
      </c>
      <c r="AJH25" s="2">
        <v>0</v>
      </c>
      <c r="AJJ25" s="1" t="s">
        <v>2454</v>
      </c>
      <c r="AJK25" s="2">
        <v>1</v>
      </c>
      <c r="AJL25" s="2">
        <v>1</v>
      </c>
      <c r="AJM25" s="2">
        <v>0</v>
      </c>
      <c r="AJN25" s="2">
        <v>0</v>
      </c>
      <c r="AJO25" s="2">
        <v>0</v>
      </c>
      <c r="AJP25" s="2">
        <v>1</v>
      </c>
      <c r="AJQ25" s="2">
        <v>1</v>
      </c>
      <c r="AJR25" s="2">
        <v>1</v>
      </c>
      <c r="AJS25" s="2">
        <v>0</v>
      </c>
      <c r="AJT25" s="2">
        <v>0</v>
      </c>
      <c r="AJU25" s="2">
        <v>0</v>
      </c>
      <c r="AJV25" s="2">
        <v>0</v>
      </c>
      <c r="AJX25" s="1" t="s">
        <v>1154</v>
      </c>
      <c r="AJY25" s="1" t="s">
        <v>1917</v>
      </c>
      <c r="AJZ25" s="2">
        <v>0</v>
      </c>
      <c r="AKA25" s="2">
        <v>1</v>
      </c>
      <c r="AKB25" s="2">
        <v>0</v>
      </c>
      <c r="AKC25" s="2">
        <v>0</v>
      </c>
      <c r="AKD25" s="2">
        <v>0</v>
      </c>
      <c r="AKF25" s="1" t="s">
        <v>1513</v>
      </c>
      <c r="AKG25" s="2">
        <v>1</v>
      </c>
      <c r="AKH25" s="2">
        <v>1</v>
      </c>
      <c r="AKI25" s="2">
        <v>1</v>
      </c>
      <c r="AKJ25" s="2">
        <v>1</v>
      </c>
      <c r="AKK25" s="2">
        <v>1</v>
      </c>
      <c r="AKL25" s="2">
        <v>1</v>
      </c>
      <c r="AKM25" s="2">
        <v>1</v>
      </c>
      <c r="AKN25" s="2">
        <v>1</v>
      </c>
      <c r="AKO25" s="2">
        <v>1</v>
      </c>
      <c r="AKP25" s="2">
        <v>1</v>
      </c>
      <c r="AKQ25" s="2">
        <v>0</v>
      </c>
      <c r="AKR25" s="2">
        <v>0</v>
      </c>
      <c r="AVS25" s="1">
        <v>134777834</v>
      </c>
      <c r="AVT25" s="1" t="s">
        <v>2455</v>
      </c>
      <c r="AVV25" s="1">
        <v>114</v>
      </c>
    </row>
    <row r="26" spans="1:980 1267:1270" x14ac:dyDescent="0.3">
      <c r="A26" s="1" t="s">
        <v>2456</v>
      </c>
      <c r="B26" s="1" t="s">
        <v>2457</v>
      </c>
      <c r="C26" s="1" t="s">
        <v>2458</v>
      </c>
      <c r="D26" s="1" t="s">
        <v>2324</v>
      </c>
      <c r="E26" s="1" t="s">
        <v>2211</v>
      </c>
      <c r="F26" s="1" t="s">
        <v>2324</v>
      </c>
      <c r="I26" s="1" t="s">
        <v>2080</v>
      </c>
      <c r="J26" s="1" t="s">
        <v>2325</v>
      </c>
      <c r="K26" s="1" t="s">
        <v>2325</v>
      </c>
      <c r="N26" s="1" t="s">
        <v>1152</v>
      </c>
      <c r="O26" s="2">
        <v>1</v>
      </c>
      <c r="P26" s="2">
        <v>0</v>
      </c>
      <c r="Q26" s="2">
        <v>0</v>
      </c>
      <c r="R26" s="2">
        <v>0</v>
      </c>
      <c r="S26" s="2">
        <v>0</v>
      </c>
      <c r="U26" s="1" t="s">
        <v>1885</v>
      </c>
      <c r="W26" s="1" t="s">
        <v>1154</v>
      </c>
      <c r="X26" s="1" t="s">
        <v>1155</v>
      </c>
      <c r="AN26" s="1" t="s">
        <v>1179</v>
      </c>
      <c r="AO26" s="2">
        <v>50</v>
      </c>
      <c r="AP26" s="1" t="s">
        <v>1957</v>
      </c>
      <c r="AR26" s="1" t="s">
        <v>1649</v>
      </c>
      <c r="AS26" s="1" t="s">
        <v>1653</v>
      </c>
      <c r="AT26" s="1" t="s">
        <v>1154</v>
      </c>
      <c r="BO26" s="1" t="s">
        <v>1959</v>
      </c>
      <c r="BP26" s="2">
        <v>0</v>
      </c>
      <c r="BQ26" s="2">
        <v>0</v>
      </c>
      <c r="BR26" s="2">
        <v>0</v>
      </c>
      <c r="BS26" s="2">
        <v>1</v>
      </c>
      <c r="BT26" s="2">
        <v>0</v>
      </c>
      <c r="BU26" s="2">
        <v>0</v>
      </c>
      <c r="BV26" s="2">
        <v>0</v>
      </c>
      <c r="BW26" s="2">
        <v>0</v>
      </c>
      <c r="BX26" s="2">
        <v>0</v>
      </c>
      <c r="BY26" s="2">
        <v>0</v>
      </c>
      <c r="BZ26" s="2">
        <v>0</v>
      </c>
      <c r="CA26" s="2">
        <v>0</v>
      </c>
      <c r="CC26" s="1" t="s">
        <v>1154</v>
      </c>
      <c r="DQ26" s="1" t="s">
        <v>1163</v>
      </c>
      <c r="DR26" s="2">
        <v>0</v>
      </c>
      <c r="DS26" s="2">
        <v>0</v>
      </c>
      <c r="DT26" s="2">
        <v>0</v>
      </c>
      <c r="DU26" s="2">
        <v>0</v>
      </c>
      <c r="DV26" s="2">
        <v>1</v>
      </c>
      <c r="DX26" s="1" t="s">
        <v>1922</v>
      </c>
      <c r="DY26" s="2">
        <v>0</v>
      </c>
      <c r="DZ26" s="2">
        <v>1</v>
      </c>
      <c r="EA26" s="2">
        <v>0</v>
      </c>
      <c r="EB26" s="2">
        <v>0</v>
      </c>
      <c r="EC26" s="2">
        <v>0</v>
      </c>
      <c r="ED26" s="2">
        <v>0</v>
      </c>
      <c r="EE26" s="2">
        <v>0</v>
      </c>
      <c r="EF26" s="2">
        <v>0</v>
      </c>
      <c r="EG26" s="2">
        <v>0</v>
      </c>
      <c r="EH26" s="2">
        <v>0</v>
      </c>
      <c r="EI26" s="2">
        <v>0</v>
      </c>
      <c r="EJ26" s="2">
        <v>0</v>
      </c>
      <c r="EK26" s="2">
        <v>0</v>
      </c>
      <c r="EM26" s="1" t="s">
        <v>1163</v>
      </c>
      <c r="EN26" s="2">
        <v>0</v>
      </c>
      <c r="EO26" s="2">
        <v>0</v>
      </c>
      <c r="EP26" s="2">
        <v>0</v>
      </c>
      <c r="EQ26" s="2">
        <v>0</v>
      </c>
      <c r="ER26" s="2">
        <v>0</v>
      </c>
      <c r="ES26" s="2">
        <v>0</v>
      </c>
      <c r="ET26" s="2">
        <v>0</v>
      </c>
      <c r="EU26" s="2">
        <v>0</v>
      </c>
      <c r="EV26" s="2">
        <v>0</v>
      </c>
      <c r="EW26" s="2">
        <v>1</v>
      </c>
      <c r="EX26" s="2">
        <v>0</v>
      </c>
      <c r="EY26" s="2">
        <v>0</v>
      </c>
      <c r="EZ26" s="2">
        <v>0</v>
      </c>
      <c r="FB26" s="1" t="s">
        <v>1154</v>
      </c>
      <c r="GI26" s="1" t="s">
        <v>2459</v>
      </c>
      <c r="GJ26" s="2">
        <v>0</v>
      </c>
      <c r="GK26" s="2">
        <v>1</v>
      </c>
      <c r="GL26" s="2">
        <v>1</v>
      </c>
      <c r="GM26" s="2">
        <v>0</v>
      </c>
      <c r="GN26" s="2">
        <v>1</v>
      </c>
      <c r="GO26" s="2">
        <v>0</v>
      </c>
      <c r="GP26" s="2">
        <v>0</v>
      </c>
      <c r="GQ26" s="2">
        <v>0</v>
      </c>
      <c r="GR26" s="2">
        <v>0</v>
      </c>
      <c r="GS26" s="2">
        <v>0</v>
      </c>
      <c r="GT26" s="2">
        <v>0</v>
      </c>
      <c r="GU26" s="2">
        <v>0</v>
      </c>
      <c r="GV26" s="2">
        <v>0</v>
      </c>
      <c r="AVS26" s="1">
        <v>134777719</v>
      </c>
      <c r="AVT26" s="1" t="s">
        <v>2460</v>
      </c>
      <c r="AVV26" s="1">
        <v>115</v>
      </c>
    </row>
    <row r="27" spans="1:980 1267:1270" x14ac:dyDescent="0.3">
      <c r="A27" s="1" t="s">
        <v>2461</v>
      </c>
      <c r="B27" s="1" t="s">
        <v>2462</v>
      </c>
      <c r="C27" s="1" t="s">
        <v>2463</v>
      </c>
      <c r="D27" s="1" t="s">
        <v>2324</v>
      </c>
      <c r="E27" s="1" t="s">
        <v>2211</v>
      </c>
      <c r="F27" s="1" t="s">
        <v>2324</v>
      </c>
      <c r="I27" s="1" t="s">
        <v>2080</v>
      </c>
      <c r="J27" s="1" t="s">
        <v>2325</v>
      </c>
      <c r="K27" s="1" t="s">
        <v>2325</v>
      </c>
      <c r="N27" s="1" t="s">
        <v>1152</v>
      </c>
      <c r="O27" s="2">
        <v>1</v>
      </c>
      <c r="P27" s="2">
        <v>0</v>
      </c>
      <c r="Q27" s="2">
        <v>0</v>
      </c>
      <c r="R27" s="2">
        <v>0</v>
      </c>
      <c r="S27" s="2">
        <v>0</v>
      </c>
      <c r="U27" s="1" t="s">
        <v>1654</v>
      </c>
      <c r="W27" s="1" t="s">
        <v>1154</v>
      </c>
      <c r="X27" s="1" t="s">
        <v>1154</v>
      </c>
      <c r="AB27" s="1" t="s">
        <v>1955</v>
      </c>
      <c r="AC27" s="2">
        <v>0</v>
      </c>
      <c r="AD27" s="2">
        <v>0</v>
      </c>
      <c r="AE27" s="2">
        <v>0</v>
      </c>
      <c r="AF27" s="2">
        <v>0</v>
      </c>
      <c r="AG27" s="2">
        <v>0</v>
      </c>
      <c r="AH27" s="2">
        <v>1</v>
      </c>
      <c r="AI27" s="2">
        <v>0</v>
      </c>
      <c r="AJ27" s="2">
        <v>0</v>
      </c>
      <c r="AK27" s="2">
        <v>0</v>
      </c>
      <c r="AM27" s="1" t="s">
        <v>1915</v>
      </c>
      <c r="BO27" s="1" t="s">
        <v>1157</v>
      </c>
      <c r="BP27" s="2">
        <v>0</v>
      </c>
      <c r="BQ27" s="2">
        <v>0</v>
      </c>
      <c r="BR27" s="2">
        <v>0</v>
      </c>
      <c r="BS27" s="2">
        <v>0</v>
      </c>
      <c r="BT27" s="2">
        <v>0</v>
      </c>
      <c r="BU27" s="2">
        <v>1</v>
      </c>
      <c r="BV27" s="2">
        <v>0</v>
      </c>
      <c r="BW27" s="2">
        <v>0</v>
      </c>
      <c r="BX27" s="2">
        <v>0</v>
      </c>
      <c r="BY27" s="2">
        <v>0</v>
      </c>
      <c r="BZ27" s="2">
        <v>0</v>
      </c>
      <c r="CA27" s="2">
        <v>0</v>
      </c>
      <c r="FB27" s="1" t="s">
        <v>1154</v>
      </c>
      <c r="GI27" s="1" t="s">
        <v>2464</v>
      </c>
      <c r="GJ27" s="2">
        <v>1</v>
      </c>
      <c r="GK27" s="2">
        <v>1</v>
      </c>
      <c r="GL27" s="2">
        <v>1</v>
      </c>
      <c r="GM27" s="2">
        <v>1</v>
      </c>
      <c r="GN27" s="2">
        <v>0</v>
      </c>
      <c r="GO27" s="2">
        <v>0</v>
      </c>
      <c r="GP27" s="2">
        <v>0</v>
      </c>
      <c r="GQ27" s="2">
        <v>0</v>
      </c>
      <c r="GR27" s="2">
        <v>0</v>
      </c>
      <c r="GS27" s="2">
        <v>0</v>
      </c>
      <c r="GT27" s="2">
        <v>0</v>
      </c>
      <c r="GU27" s="2">
        <v>0</v>
      </c>
      <c r="GV27" s="2">
        <v>0</v>
      </c>
      <c r="AVS27" s="1">
        <v>134777663</v>
      </c>
      <c r="AVT27" s="1" t="s">
        <v>2465</v>
      </c>
      <c r="AVV27" s="1">
        <v>116</v>
      </c>
    </row>
    <row r="28" spans="1:980 1267:1270" x14ac:dyDescent="0.3">
      <c r="A28" s="1" t="s">
        <v>2466</v>
      </c>
      <c r="B28" s="1" t="s">
        <v>2467</v>
      </c>
      <c r="C28" s="1" t="s">
        <v>2468</v>
      </c>
      <c r="D28" s="1" t="s">
        <v>2354</v>
      </c>
      <c r="E28" s="1" t="s">
        <v>2125</v>
      </c>
      <c r="F28" s="1" t="s">
        <v>2354</v>
      </c>
      <c r="I28" s="1" t="s">
        <v>2080</v>
      </c>
      <c r="J28" s="1" t="s">
        <v>2325</v>
      </c>
      <c r="K28" s="1" t="s">
        <v>2325</v>
      </c>
      <c r="N28" s="1" t="s">
        <v>1152</v>
      </c>
      <c r="O28" s="2">
        <v>1</v>
      </c>
      <c r="P28" s="2">
        <v>0</v>
      </c>
      <c r="Q28" s="2">
        <v>0</v>
      </c>
      <c r="R28" s="2">
        <v>0</v>
      </c>
      <c r="S28" s="2">
        <v>0</v>
      </c>
      <c r="U28" s="1" t="s">
        <v>1654</v>
      </c>
      <c r="W28" s="1" t="s">
        <v>1155</v>
      </c>
      <c r="X28" s="1" t="s">
        <v>1155</v>
      </c>
      <c r="AN28" s="1" t="s">
        <v>1187</v>
      </c>
      <c r="AO28" s="2">
        <v>17</v>
      </c>
      <c r="AP28" s="1" t="s">
        <v>1190</v>
      </c>
      <c r="AR28" s="1" t="s">
        <v>1649</v>
      </c>
      <c r="AS28" s="1" t="s">
        <v>1653</v>
      </c>
      <c r="AT28" s="1" t="s">
        <v>1155</v>
      </c>
      <c r="AU28" s="1" t="s">
        <v>1182</v>
      </c>
      <c r="AV28" s="1" t="s">
        <v>1186</v>
      </c>
      <c r="AW28" s="2">
        <v>1</v>
      </c>
      <c r="AX28" s="2">
        <v>0</v>
      </c>
      <c r="AY28" s="2">
        <v>0</v>
      </c>
      <c r="AZ28" s="2">
        <v>0</v>
      </c>
      <c r="BA28" s="2">
        <v>0</v>
      </c>
      <c r="BB28" s="2">
        <v>0</v>
      </c>
      <c r="BC28" s="2">
        <v>0</v>
      </c>
      <c r="BD28" s="2">
        <v>0</v>
      </c>
      <c r="BO28" s="1" t="s">
        <v>1157</v>
      </c>
      <c r="BP28" s="2">
        <v>0</v>
      </c>
      <c r="BQ28" s="2">
        <v>0</v>
      </c>
      <c r="BR28" s="2">
        <v>0</v>
      </c>
      <c r="BS28" s="2">
        <v>0</v>
      </c>
      <c r="BT28" s="2">
        <v>0</v>
      </c>
      <c r="BU28" s="2">
        <v>1</v>
      </c>
      <c r="BV28" s="2">
        <v>0</v>
      </c>
      <c r="BW28" s="2">
        <v>0</v>
      </c>
      <c r="BX28" s="2">
        <v>0</v>
      </c>
      <c r="BY28" s="2">
        <v>0</v>
      </c>
      <c r="BZ28" s="2">
        <v>0</v>
      </c>
      <c r="CA28" s="2">
        <v>0</v>
      </c>
      <c r="CC28" s="1" t="s">
        <v>1154</v>
      </c>
      <c r="DQ28" s="1" t="s">
        <v>1167</v>
      </c>
      <c r="DR28" s="2">
        <v>0</v>
      </c>
      <c r="DS28" s="2">
        <v>1</v>
      </c>
      <c r="DT28" s="2">
        <v>0</v>
      </c>
      <c r="DU28" s="2">
        <v>0</v>
      </c>
      <c r="DV28" s="2">
        <v>0</v>
      </c>
      <c r="DX28" s="1" t="s">
        <v>1651</v>
      </c>
      <c r="DY28" s="2">
        <v>0</v>
      </c>
      <c r="DZ28" s="2">
        <v>0</v>
      </c>
      <c r="EA28" s="2">
        <v>0</v>
      </c>
      <c r="EB28" s="2">
        <v>0</v>
      </c>
      <c r="EC28" s="2">
        <v>0</v>
      </c>
      <c r="ED28" s="2">
        <v>0</v>
      </c>
      <c r="EE28" s="2">
        <v>0</v>
      </c>
      <c r="EF28" s="2">
        <v>1</v>
      </c>
      <c r="EG28" s="2">
        <v>0</v>
      </c>
      <c r="EH28" s="2">
        <v>0</v>
      </c>
      <c r="EI28" s="2">
        <v>0</v>
      </c>
      <c r="EJ28" s="2">
        <v>0</v>
      </c>
      <c r="EK28" s="2">
        <v>1</v>
      </c>
      <c r="EM28" s="1" t="s">
        <v>1189</v>
      </c>
      <c r="EN28" s="2">
        <v>0</v>
      </c>
      <c r="EO28" s="2">
        <v>0</v>
      </c>
      <c r="EP28" s="2">
        <v>0</v>
      </c>
      <c r="EQ28" s="2">
        <v>0</v>
      </c>
      <c r="ER28" s="2">
        <v>1</v>
      </c>
      <c r="ES28" s="2">
        <v>0</v>
      </c>
      <c r="ET28" s="2">
        <v>0</v>
      </c>
      <c r="EU28" s="2">
        <v>0</v>
      </c>
      <c r="EV28" s="2">
        <v>0</v>
      </c>
      <c r="EW28" s="2">
        <v>0</v>
      </c>
      <c r="EX28" s="2">
        <v>0</v>
      </c>
      <c r="EY28" s="2">
        <v>0</v>
      </c>
      <c r="EZ28" s="2">
        <v>0</v>
      </c>
      <c r="FB28" s="1" t="s">
        <v>1155</v>
      </c>
      <c r="FC28" s="1" t="s">
        <v>1157</v>
      </c>
      <c r="FD28" s="2">
        <v>0</v>
      </c>
      <c r="FE28" s="2">
        <v>0</v>
      </c>
      <c r="FF28" s="2">
        <v>0</v>
      </c>
      <c r="FG28" s="2">
        <v>0</v>
      </c>
      <c r="FH28" s="2">
        <v>1</v>
      </c>
      <c r="FI28" s="2">
        <v>0</v>
      </c>
      <c r="FJ28" s="2">
        <v>0</v>
      </c>
      <c r="FL28" s="1" t="s">
        <v>1954</v>
      </c>
      <c r="FM28" s="2">
        <v>0</v>
      </c>
      <c r="FN28" s="2">
        <v>0</v>
      </c>
      <c r="FO28" s="2">
        <v>0</v>
      </c>
      <c r="FP28" s="2">
        <v>0</v>
      </c>
      <c r="FQ28" s="2">
        <v>0</v>
      </c>
      <c r="FR28" s="2">
        <v>1</v>
      </c>
      <c r="FS28" s="2">
        <v>0</v>
      </c>
      <c r="FT28" s="2">
        <v>0</v>
      </c>
      <c r="FU28" s="2">
        <v>0</v>
      </c>
      <c r="FV28" s="2">
        <v>0</v>
      </c>
      <c r="FW28" s="2">
        <v>0</v>
      </c>
      <c r="FX28" s="2">
        <v>0</v>
      </c>
      <c r="FY28" s="2">
        <v>0</v>
      </c>
      <c r="GA28" s="1" t="s">
        <v>1154</v>
      </c>
      <c r="GB28" s="1" t="s">
        <v>1178</v>
      </c>
      <c r="GC28" s="2">
        <v>1</v>
      </c>
      <c r="GD28" s="2">
        <v>0</v>
      </c>
      <c r="GE28" s="2">
        <v>0</v>
      </c>
      <c r="GF28" s="2">
        <v>0</v>
      </c>
      <c r="GG28" s="2">
        <v>0</v>
      </c>
      <c r="GI28" s="1" t="s">
        <v>2469</v>
      </c>
      <c r="GJ28" s="2">
        <v>0</v>
      </c>
      <c r="GK28" s="2">
        <v>1</v>
      </c>
      <c r="GL28" s="2">
        <v>0</v>
      </c>
      <c r="GM28" s="2">
        <v>0</v>
      </c>
      <c r="GN28" s="2">
        <v>0</v>
      </c>
      <c r="GO28" s="2">
        <v>0</v>
      </c>
      <c r="GP28" s="2">
        <v>1</v>
      </c>
      <c r="GQ28" s="2">
        <v>0</v>
      </c>
      <c r="GR28" s="2">
        <v>0</v>
      </c>
      <c r="GS28" s="2">
        <v>0</v>
      </c>
      <c r="GT28" s="2">
        <v>1</v>
      </c>
      <c r="GU28" s="2">
        <v>0</v>
      </c>
      <c r="GV28" s="2">
        <v>0</v>
      </c>
      <c r="AVS28" s="1">
        <v>134772901</v>
      </c>
      <c r="AVT28" s="1" t="s">
        <v>2470</v>
      </c>
      <c r="AVV28" s="1">
        <v>117</v>
      </c>
    </row>
    <row r="29" spans="1:980 1267:1270" x14ac:dyDescent="0.3">
      <c r="A29" s="1" t="s">
        <v>2471</v>
      </c>
      <c r="B29" s="1" t="s">
        <v>2472</v>
      </c>
      <c r="C29" s="1" t="s">
        <v>2473</v>
      </c>
      <c r="D29" s="1" t="s">
        <v>2354</v>
      </c>
      <c r="E29" s="1" t="s">
        <v>2079</v>
      </c>
      <c r="F29" s="1" t="s">
        <v>2354</v>
      </c>
      <c r="I29" s="1" t="s">
        <v>2080</v>
      </c>
      <c r="J29" s="1" t="s">
        <v>2325</v>
      </c>
      <c r="K29" s="1" t="s">
        <v>2325</v>
      </c>
      <c r="N29" s="1" t="s">
        <v>1152</v>
      </c>
      <c r="O29" s="2">
        <v>1</v>
      </c>
      <c r="P29" s="2">
        <v>0</v>
      </c>
      <c r="Q29" s="2">
        <v>0</v>
      </c>
      <c r="R29" s="2">
        <v>0</v>
      </c>
      <c r="S29" s="2">
        <v>0</v>
      </c>
      <c r="U29" s="1" t="s">
        <v>1654</v>
      </c>
      <c r="W29" s="1" t="s">
        <v>1154</v>
      </c>
      <c r="X29" s="1" t="s">
        <v>1155</v>
      </c>
      <c r="AN29" s="1" t="s">
        <v>1179</v>
      </c>
      <c r="AO29" s="2">
        <v>152</v>
      </c>
      <c r="AP29" s="1" t="s">
        <v>1871</v>
      </c>
      <c r="AR29" s="1" t="s">
        <v>1649</v>
      </c>
      <c r="AS29" s="1" t="s">
        <v>1653</v>
      </c>
      <c r="AT29" s="1" t="s">
        <v>1154</v>
      </c>
      <c r="BO29" s="1" t="s">
        <v>1157</v>
      </c>
      <c r="BP29" s="2">
        <v>0</v>
      </c>
      <c r="BQ29" s="2">
        <v>0</v>
      </c>
      <c r="BR29" s="2">
        <v>0</v>
      </c>
      <c r="BS29" s="2">
        <v>0</v>
      </c>
      <c r="BT29" s="2">
        <v>0</v>
      </c>
      <c r="BU29" s="2">
        <v>1</v>
      </c>
      <c r="BV29" s="2">
        <v>0</v>
      </c>
      <c r="BW29" s="2">
        <v>0</v>
      </c>
      <c r="BX29" s="2">
        <v>0</v>
      </c>
      <c r="BY29" s="2">
        <v>0</v>
      </c>
      <c r="BZ29" s="2">
        <v>0</v>
      </c>
      <c r="CA29" s="2">
        <v>0</v>
      </c>
      <c r="CC29" s="1" t="s">
        <v>1154</v>
      </c>
      <c r="DQ29" s="1" t="s">
        <v>1163</v>
      </c>
      <c r="DR29" s="2">
        <v>0</v>
      </c>
      <c r="DS29" s="2">
        <v>0</v>
      </c>
      <c r="DT29" s="2">
        <v>0</v>
      </c>
      <c r="DU29" s="2">
        <v>0</v>
      </c>
      <c r="DV29" s="2">
        <v>1</v>
      </c>
      <c r="DX29" s="1" t="s">
        <v>1656</v>
      </c>
      <c r="DY29" s="2">
        <v>0</v>
      </c>
      <c r="DZ29" s="2">
        <v>0</v>
      </c>
      <c r="EA29" s="2">
        <v>0</v>
      </c>
      <c r="EB29" s="2">
        <v>0</v>
      </c>
      <c r="EC29" s="2">
        <v>0</v>
      </c>
      <c r="ED29" s="2">
        <v>0</v>
      </c>
      <c r="EE29" s="2">
        <v>0</v>
      </c>
      <c r="EF29" s="2">
        <v>0</v>
      </c>
      <c r="EG29" s="2">
        <v>0</v>
      </c>
      <c r="EH29" s="2">
        <v>0</v>
      </c>
      <c r="EI29" s="2">
        <v>0</v>
      </c>
      <c r="EJ29" s="2">
        <v>0</v>
      </c>
      <c r="EK29" s="2">
        <v>1</v>
      </c>
      <c r="EM29" s="1" t="s">
        <v>1189</v>
      </c>
      <c r="EN29" s="2">
        <v>0</v>
      </c>
      <c r="EO29" s="2">
        <v>0</v>
      </c>
      <c r="EP29" s="2">
        <v>0</v>
      </c>
      <c r="EQ29" s="2">
        <v>0</v>
      </c>
      <c r="ER29" s="2">
        <v>1</v>
      </c>
      <c r="ES29" s="2">
        <v>0</v>
      </c>
      <c r="ET29" s="2">
        <v>0</v>
      </c>
      <c r="EU29" s="2">
        <v>0</v>
      </c>
      <c r="EV29" s="2">
        <v>0</v>
      </c>
      <c r="EW29" s="2">
        <v>0</v>
      </c>
      <c r="EX29" s="2">
        <v>0</v>
      </c>
      <c r="EY29" s="2">
        <v>0</v>
      </c>
      <c r="EZ29" s="2">
        <v>0</v>
      </c>
      <c r="FB29" s="1" t="s">
        <v>1154</v>
      </c>
      <c r="GI29" s="1" t="s">
        <v>2327</v>
      </c>
      <c r="GJ29" s="2">
        <v>0</v>
      </c>
      <c r="GK29" s="2">
        <v>1</v>
      </c>
      <c r="GL29" s="2">
        <v>1</v>
      </c>
      <c r="GM29" s="2">
        <v>0</v>
      </c>
      <c r="GN29" s="2">
        <v>0</v>
      </c>
      <c r="GO29" s="2">
        <v>0</v>
      </c>
      <c r="GP29" s="2">
        <v>0</v>
      </c>
      <c r="GQ29" s="2">
        <v>0</v>
      </c>
      <c r="GR29" s="2">
        <v>0</v>
      </c>
      <c r="GS29" s="2">
        <v>0</v>
      </c>
      <c r="GT29" s="2">
        <v>0</v>
      </c>
      <c r="GU29" s="2">
        <v>0</v>
      </c>
      <c r="GV29" s="2">
        <v>0</v>
      </c>
      <c r="AVS29" s="1">
        <v>134772891</v>
      </c>
      <c r="AVT29" s="1" t="s">
        <v>2474</v>
      </c>
      <c r="AVV29" s="1">
        <v>118</v>
      </c>
    </row>
    <row r="30" spans="1:980 1267:1270" x14ac:dyDescent="0.3">
      <c r="A30" s="1" t="s">
        <v>2475</v>
      </c>
      <c r="B30" s="1" t="s">
        <v>2476</v>
      </c>
      <c r="C30" s="1" t="s">
        <v>2477</v>
      </c>
      <c r="D30" s="1" t="s">
        <v>2354</v>
      </c>
      <c r="E30" s="1" t="s">
        <v>2125</v>
      </c>
      <c r="F30" s="1" t="s">
        <v>2354</v>
      </c>
      <c r="I30" s="1" t="s">
        <v>2080</v>
      </c>
      <c r="J30" s="1" t="s">
        <v>2325</v>
      </c>
      <c r="K30" s="1" t="s">
        <v>2325</v>
      </c>
      <c r="N30" s="1" t="s">
        <v>1152</v>
      </c>
      <c r="O30" s="2">
        <v>1</v>
      </c>
      <c r="P30" s="2">
        <v>0</v>
      </c>
      <c r="Q30" s="2">
        <v>0</v>
      </c>
      <c r="R30" s="2">
        <v>0</v>
      </c>
      <c r="S30" s="2">
        <v>0</v>
      </c>
      <c r="U30" s="1" t="s">
        <v>1654</v>
      </c>
      <c r="W30" s="1" t="s">
        <v>1155</v>
      </c>
      <c r="X30" s="1" t="s">
        <v>1155</v>
      </c>
      <c r="AN30" s="1" t="s">
        <v>1179</v>
      </c>
      <c r="AO30" s="2">
        <v>75</v>
      </c>
      <c r="AP30" s="1" t="s">
        <v>1871</v>
      </c>
      <c r="AR30" s="1" t="s">
        <v>1649</v>
      </c>
      <c r="AS30" s="1" t="s">
        <v>1653</v>
      </c>
      <c r="AT30" s="1" t="s">
        <v>1155</v>
      </c>
      <c r="AU30" s="1" t="s">
        <v>1156</v>
      </c>
      <c r="AV30" s="1" t="s">
        <v>1887</v>
      </c>
      <c r="AW30" s="2">
        <v>1</v>
      </c>
      <c r="AX30" s="2">
        <v>0</v>
      </c>
      <c r="AY30" s="2">
        <v>0</v>
      </c>
      <c r="AZ30" s="2">
        <v>0</v>
      </c>
      <c r="BA30" s="2">
        <v>0</v>
      </c>
      <c r="BB30" s="2">
        <v>1</v>
      </c>
      <c r="BC30" s="2">
        <v>0</v>
      </c>
      <c r="BD30" s="2">
        <v>0</v>
      </c>
      <c r="BO30" s="1" t="s">
        <v>1157</v>
      </c>
      <c r="BP30" s="2">
        <v>0</v>
      </c>
      <c r="BQ30" s="2">
        <v>0</v>
      </c>
      <c r="BR30" s="2">
        <v>0</v>
      </c>
      <c r="BS30" s="2">
        <v>0</v>
      </c>
      <c r="BT30" s="2">
        <v>0</v>
      </c>
      <c r="BU30" s="2">
        <v>1</v>
      </c>
      <c r="BV30" s="2">
        <v>0</v>
      </c>
      <c r="BW30" s="2">
        <v>0</v>
      </c>
      <c r="BX30" s="2">
        <v>0</v>
      </c>
      <c r="BY30" s="2">
        <v>0</v>
      </c>
      <c r="BZ30" s="2">
        <v>0</v>
      </c>
      <c r="CA30" s="2">
        <v>0</v>
      </c>
      <c r="CC30" s="1" t="s">
        <v>1154</v>
      </c>
      <c r="DQ30" s="1" t="s">
        <v>1167</v>
      </c>
      <c r="DR30" s="2">
        <v>0</v>
      </c>
      <c r="DS30" s="2">
        <v>1</v>
      </c>
      <c r="DT30" s="2">
        <v>0</v>
      </c>
      <c r="DU30" s="2">
        <v>0</v>
      </c>
      <c r="DV30" s="2">
        <v>0</v>
      </c>
      <c r="DX30" s="1" t="s">
        <v>1926</v>
      </c>
      <c r="DY30" s="2">
        <v>0</v>
      </c>
      <c r="DZ30" s="2">
        <v>0</v>
      </c>
      <c r="EA30" s="2">
        <v>0</v>
      </c>
      <c r="EB30" s="2">
        <v>0</v>
      </c>
      <c r="EC30" s="2">
        <v>0</v>
      </c>
      <c r="ED30" s="2">
        <v>1</v>
      </c>
      <c r="EE30" s="2">
        <v>0</v>
      </c>
      <c r="EF30" s="2">
        <v>0</v>
      </c>
      <c r="EG30" s="2">
        <v>0</v>
      </c>
      <c r="EH30" s="2">
        <v>0</v>
      </c>
      <c r="EI30" s="2">
        <v>0</v>
      </c>
      <c r="EJ30" s="2">
        <v>0</v>
      </c>
      <c r="EK30" s="2">
        <v>0</v>
      </c>
      <c r="EM30" s="1" t="s">
        <v>1189</v>
      </c>
      <c r="EN30" s="2">
        <v>0</v>
      </c>
      <c r="EO30" s="2">
        <v>0</v>
      </c>
      <c r="EP30" s="2">
        <v>0</v>
      </c>
      <c r="EQ30" s="2">
        <v>0</v>
      </c>
      <c r="ER30" s="2">
        <v>1</v>
      </c>
      <c r="ES30" s="2">
        <v>0</v>
      </c>
      <c r="ET30" s="2">
        <v>0</v>
      </c>
      <c r="EU30" s="2">
        <v>0</v>
      </c>
      <c r="EV30" s="2">
        <v>0</v>
      </c>
      <c r="EW30" s="2">
        <v>0</v>
      </c>
      <c r="EX30" s="2">
        <v>0</v>
      </c>
      <c r="EY30" s="2">
        <v>0</v>
      </c>
      <c r="EZ30" s="2">
        <v>0</v>
      </c>
      <c r="FB30" s="1" t="s">
        <v>1154</v>
      </c>
      <c r="GI30" s="1" t="s">
        <v>2386</v>
      </c>
      <c r="GJ30" s="2">
        <v>0</v>
      </c>
      <c r="GK30" s="2">
        <v>1</v>
      </c>
      <c r="GL30" s="2">
        <v>0</v>
      </c>
      <c r="GM30" s="2">
        <v>0</v>
      </c>
      <c r="GN30" s="2">
        <v>0</v>
      </c>
      <c r="GO30" s="2">
        <v>1</v>
      </c>
      <c r="GP30" s="2">
        <v>0</v>
      </c>
      <c r="GQ30" s="2">
        <v>0</v>
      </c>
      <c r="GR30" s="2">
        <v>0</v>
      </c>
      <c r="GS30" s="2">
        <v>0</v>
      </c>
      <c r="GT30" s="2">
        <v>0</v>
      </c>
      <c r="GU30" s="2">
        <v>0</v>
      </c>
      <c r="GV30" s="2">
        <v>0</v>
      </c>
      <c r="AVS30" s="1">
        <v>134772639</v>
      </c>
      <c r="AVT30" s="1" t="s">
        <v>2478</v>
      </c>
      <c r="AVV30" s="1">
        <v>119</v>
      </c>
    </row>
    <row r="31" spans="1:980 1267:1270" x14ac:dyDescent="0.3">
      <c r="A31" s="1" t="s">
        <v>2479</v>
      </c>
      <c r="B31" s="1" t="s">
        <v>2480</v>
      </c>
      <c r="C31" s="1" t="s">
        <v>2481</v>
      </c>
      <c r="D31" s="1" t="s">
        <v>2354</v>
      </c>
      <c r="E31" s="1" t="s">
        <v>2079</v>
      </c>
      <c r="F31" s="1" t="s">
        <v>2354</v>
      </c>
      <c r="I31" s="1" t="s">
        <v>2080</v>
      </c>
      <c r="J31" s="1" t="s">
        <v>2325</v>
      </c>
      <c r="K31" s="1" t="s">
        <v>2325</v>
      </c>
      <c r="N31" s="1" t="s">
        <v>1168</v>
      </c>
      <c r="O31" s="2">
        <v>0</v>
      </c>
      <c r="P31" s="2">
        <v>0</v>
      </c>
      <c r="Q31" s="2">
        <v>1</v>
      </c>
      <c r="R31" s="2">
        <v>0</v>
      </c>
      <c r="S31" s="2">
        <v>0</v>
      </c>
      <c r="ZS31" s="1" t="s">
        <v>2482</v>
      </c>
      <c r="ZT31" s="1" t="s">
        <v>1169</v>
      </c>
      <c r="ZV31" s="1" t="s">
        <v>1170</v>
      </c>
      <c r="ZX31" s="1" t="s">
        <v>1155</v>
      </c>
      <c r="ABE31" s="1" t="s">
        <v>1171</v>
      </c>
      <c r="ABF31" s="2">
        <v>1</v>
      </c>
      <c r="ABG31" s="2">
        <v>0</v>
      </c>
      <c r="ABH31" s="2">
        <v>0</v>
      </c>
      <c r="ABI31" s="2">
        <v>0</v>
      </c>
      <c r="ABJ31" s="2">
        <v>0</v>
      </c>
      <c r="ABL31" s="1" t="s">
        <v>1184</v>
      </c>
      <c r="ABM31" s="2">
        <v>1</v>
      </c>
      <c r="ABN31" s="2">
        <v>0</v>
      </c>
      <c r="ABO31" s="2">
        <v>0</v>
      </c>
      <c r="ABP31" s="2">
        <v>0</v>
      </c>
      <c r="ABQ31" s="2">
        <v>0</v>
      </c>
      <c r="ABR31" s="2">
        <v>0</v>
      </c>
      <c r="ABS31" s="2">
        <v>0</v>
      </c>
      <c r="ABT31" s="2">
        <v>0</v>
      </c>
      <c r="ABU31" s="2">
        <v>0</v>
      </c>
      <c r="ABV31" s="2">
        <v>0</v>
      </c>
      <c r="ABW31" s="2">
        <v>0</v>
      </c>
      <c r="ABX31" s="2">
        <v>0</v>
      </c>
      <c r="ABZ31" s="2">
        <v>8</v>
      </c>
      <c r="ACA31" s="1" t="s">
        <v>1155</v>
      </c>
      <c r="ACB31" s="57">
        <v>6</v>
      </c>
      <c r="ACC31" s="1" t="s">
        <v>1155</v>
      </c>
      <c r="ACD31" s="2">
        <v>3</v>
      </c>
      <c r="ACE31" s="2">
        <v>13</v>
      </c>
      <c r="ACF31" s="2">
        <v>3</v>
      </c>
      <c r="ACG31" s="2">
        <v>6</v>
      </c>
      <c r="ACI31" s="1" t="s">
        <v>1155</v>
      </c>
      <c r="ACJ31" s="1" t="s">
        <v>1154</v>
      </c>
      <c r="ACM31" s="1" t="s">
        <v>1872</v>
      </c>
      <c r="ACN31" s="2">
        <v>520</v>
      </c>
      <c r="ACO31" s="2">
        <v>520</v>
      </c>
      <c r="ACP31" s="2">
        <v>0</v>
      </c>
      <c r="ACQ31" s="2">
        <v>0</v>
      </c>
      <c r="ACR31" s="2">
        <v>520</v>
      </c>
      <c r="ACT31" s="2">
        <v>3</v>
      </c>
      <c r="ACU31" s="2">
        <v>5</v>
      </c>
      <c r="ACV31" s="1" t="s">
        <v>1155</v>
      </c>
      <c r="ACW31" s="1" t="s">
        <v>1164</v>
      </c>
      <c r="ADG31" s="1" t="s">
        <v>1516</v>
      </c>
      <c r="ADH31" s="2">
        <v>0</v>
      </c>
      <c r="ADI31" s="2">
        <v>0</v>
      </c>
      <c r="ADJ31" s="2">
        <v>0</v>
      </c>
      <c r="ADK31" s="2">
        <v>0</v>
      </c>
      <c r="ADL31" s="2">
        <v>0</v>
      </c>
      <c r="ADM31" s="2">
        <v>0</v>
      </c>
      <c r="ADN31" s="2">
        <v>0</v>
      </c>
      <c r="ADO31" s="2">
        <v>1</v>
      </c>
      <c r="ADQ31" s="2">
        <v>0</v>
      </c>
      <c r="ADR31" s="2">
        <v>0</v>
      </c>
      <c r="ADS31" s="2">
        <v>0</v>
      </c>
      <c r="ADT31" s="2">
        <v>0</v>
      </c>
      <c r="ADU31" s="2">
        <v>0</v>
      </c>
      <c r="ADW31" s="1" t="s">
        <v>1154</v>
      </c>
      <c r="AEO31" s="2">
        <v>6</v>
      </c>
      <c r="AEP31" s="2">
        <v>2</v>
      </c>
      <c r="AEQ31" s="2">
        <v>4</v>
      </c>
      <c r="AER31" s="2">
        <v>4</v>
      </c>
      <c r="AES31" s="2">
        <v>6</v>
      </c>
      <c r="AEU31" s="1" t="s">
        <v>1154</v>
      </c>
      <c r="AFL31" s="2">
        <v>6</v>
      </c>
      <c r="AFM31" s="2">
        <v>2</v>
      </c>
      <c r="AFN31" s="2">
        <v>4</v>
      </c>
      <c r="AFO31" s="2">
        <v>4</v>
      </c>
      <c r="AFP31" s="2">
        <v>6</v>
      </c>
      <c r="AFR31" s="1" t="s">
        <v>1154</v>
      </c>
      <c r="AGH31" s="1" t="s">
        <v>1172</v>
      </c>
      <c r="AGI31" s="1" t="s">
        <v>1172</v>
      </c>
      <c r="AGJ31" s="1" t="s">
        <v>1155</v>
      </c>
      <c r="AGK31" s="85">
        <v>5000</v>
      </c>
      <c r="AGL31" s="1" t="s">
        <v>1980</v>
      </c>
      <c r="AGM31" s="2">
        <v>1</v>
      </c>
      <c r="AGN31" s="2">
        <v>0</v>
      </c>
      <c r="AGO31" s="2">
        <v>0</v>
      </c>
      <c r="AGP31" s="2">
        <v>0</v>
      </c>
      <c r="AGQ31" s="2">
        <v>0</v>
      </c>
      <c r="AGR31" s="2">
        <v>0</v>
      </c>
      <c r="AGT31" s="1" t="s">
        <v>1154</v>
      </c>
      <c r="AHQ31" s="1" t="s">
        <v>1161</v>
      </c>
      <c r="AHR31" s="2">
        <v>0</v>
      </c>
      <c r="AHS31" s="2">
        <v>0</v>
      </c>
      <c r="AHT31" s="2">
        <v>1</v>
      </c>
      <c r="AHU31" s="2">
        <v>0</v>
      </c>
      <c r="AHV31" s="2">
        <v>0</v>
      </c>
      <c r="AHX31" s="1" t="s">
        <v>2483</v>
      </c>
      <c r="AHY31" s="2">
        <v>1</v>
      </c>
      <c r="AHZ31" s="2">
        <v>0</v>
      </c>
      <c r="AIA31" s="2">
        <v>0</v>
      </c>
      <c r="AIB31" s="2">
        <v>0</v>
      </c>
      <c r="AIC31" s="2">
        <v>0</v>
      </c>
      <c r="AID31" s="2">
        <v>0</v>
      </c>
      <c r="AIE31" s="2">
        <v>0</v>
      </c>
      <c r="AIF31" s="2">
        <v>0</v>
      </c>
      <c r="AIG31" s="2">
        <v>0</v>
      </c>
      <c r="AIH31" s="2">
        <v>0</v>
      </c>
      <c r="AII31" s="2">
        <v>1</v>
      </c>
      <c r="AIJ31" s="1" t="s">
        <v>2484</v>
      </c>
      <c r="AIK31" s="1" t="s">
        <v>1189</v>
      </c>
      <c r="AIL31" s="2">
        <v>0</v>
      </c>
      <c r="AIM31" s="2">
        <v>0</v>
      </c>
      <c r="AIN31" s="2">
        <v>0</v>
      </c>
      <c r="AIO31" s="2">
        <v>0</v>
      </c>
      <c r="AIP31" s="2">
        <v>1</v>
      </c>
      <c r="AIQ31" s="2">
        <v>0</v>
      </c>
      <c r="AIR31" s="2">
        <v>0</v>
      </c>
      <c r="AIS31" s="2">
        <v>0</v>
      </c>
      <c r="AIT31" s="2">
        <v>0</v>
      </c>
      <c r="AIU31" s="2">
        <v>0</v>
      </c>
      <c r="AIV31" s="2">
        <v>0</v>
      </c>
      <c r="AIW31" s="2">
        <v>0</v>
      </c>
      <c r="AIX31" s="2">
        <v>0</v>
      </c>
      <c r="AIZ31" s="1" t="s">
        <v>1155</v>
      </c>
      <c r="AJA31" s="1" t="s">
        <v>1157</v>
      </c>
      <c r="AJB31" s="2">
        <v>0</v>
      </c>
      <c r="AJC31" s="2">
        <v>0</v>
      </c>
      <c r="AJD31" s="2">
        <v>0</v>
      </c>
      <c r="AJE31" s="2">
        <v>0</v>
      </c>
      <c r="AJF31" s="2">
        <v>1</v>
      </c>
      <c r="AJG31" s="2">
        <v>0</v>
      </c>
      <c r="AJH31" s="2">
        <v>0</v>
      </c>
      <c r="AJJ31" s="1" t="s">
        <v>1992</v>
      </c>
      <c r="AJK31" s="2">
        <v>1</v>
      </c>
      <c r="AJL31" s="2">
        <v>0</v>
      </c>
      <c r="AJM31" s="2">
        <v>0</v>
      </c>
      <c r="AJN31" s="2">
        <v>0</v>
      </c>
      <c r="AJO31" s="2">
        <v>0</v>
      </c>
      <c r="AJP31" s="2">
        <v>0</v>
      </c>
      <c r="AJQ31" s="2">
        <v>1</v>
      </c>
      <c r="AJR31" s="2">
        <v>0</v>
      </c>
      <c r="AJS31" s="2">
        <v>0</v>
      </c>
      <c r="AJT31" s="2">
        <v>0</v>
      </c>
      <c r="AJU31" s="2">
        <v>0</v>
      </c>
      <c r="AJV31" s="2">
        <v>0</v>
      </c>
      <c r="AJX31" s="1" t="s">
        <v>1155</v>
      </c>
      <c r="AKF31" s="1" t="s">
        <v>2485</v>
      </c>
      <c r="AKG31" s="2">
        <v>1</v>
      </c>
      <c r="AKH31" s="2">
        <v>0</v>
      </c>
      <c r="AKI31" s="2">
        <v>0</v>
      </c>
      <c r="AKJ31" s="2">
        <v>1</v>
      </c>
      <c r="AKK31" s="2">
        <v>0</v>
      </c>
      <c r="AKL31" s="2">
        <v>0</v>
      </c>
      <c r="AKM31" s="2">
        <v>1</v>
      </c>
      <c r="AKN31" s="2">
        <v>0</v>
      </c>
      <c r="AKO31" s="2">
        <v>0</v>
      </c>
      <c r="AKP31" s="2">
        <v>0</v>
      </c>
      <c r="AKQ31" s="2">
        <v>0</v>
      </c>
      <c r="AKR31" s="2">
        <v>0</v>
      </c>
      <c r="AVS31" s="1">
        <v>134772529</v>
      </c>
      <c r="AVT31" s="1" t="s">
        <v>2486</v>
      </c>
      <c r="AVV31" s="1">
        <v>120</v>
      </c>
    </row>
    <row r="32" spans="1:980 1267:1270" x14ac:dyDescent="0.3">
      <c r="A32" s="1" t="s">
        <v>2487</v>
      </c>
      <c r="B32" s="1" t="s">
        <v>2488</v>
      </c>
      <c r="C32" s="1" t="s">
        <v>2489</v>
      </c>
      <c r="D32" s="1" t="s">
        <v>2354</v>
      </c>
      <c r="E32" s="1" t="s">
        <v>2125</v>
      </c>
      <c r="F32" s="1" t="s">
        <v>2354</v>
      </c>
      <c r="I32" s="1" t="s">
        <v>2080</v>
      </c>
      <c r="J32" s="1" t="s">
        <v>2325</v>
      </c>
      <c r="K32" s="1" t="s">
        <v>2325</v>
      </c>
      <c r="N32" s="1" t="s">
        <v>1152</v>
      </c>
      <c r="O32" s="2">
        <v>1</v>
      </c>
      <c r="P32" s="2">
        <v>0</v>
      </c>
      <c r="Q32" s="2">
        <v>0</v>
      </c>
      <c r="R32" s="2">
        <v>0</v>
      </c>
      <c r="S32" s="2">
        <v>0</v>
      </c>
      <c r="U32" s="1" t="s">
        <v>1654</v>
      </c>
      <c r="W32" s="1" t="s">
        <v>1155</v>
      </c>
      <c r="X32" s="1" t="s">
        <v>1155</v>
      </c>
      <c r="AN32" s="1" t="s">
        <v>1179</v>
      </c>
      <c r="AO32" s="2">
        <v>251</v>
      </c>
      <c r="AP32" s="1" t="s">
        <v>1871</v>
      </c>
      <c r="AR32" s="1" t="s">
        <v>1649</v>
      </c>
      <c r="AS32" s="1" t="s">
        <v>1653</v>
      </c>
      <c r="AT32" s="1" t="s">
        <v>1155</v>
      </c>
      <c r="AU32" s="1" t="s">
        <v>1156</v>
      </c>
      <c r="AV32" s="1" t="s">
        <v>1186</v>
      </c>
      <c r="AW32" s="2">
        <v>1</v>
      </c>
      <c r="AX32" s="2">
        <v>0</v>
      </c>
      <c r="AY32" s="2">
        <v>0</v>
      </c>
      <c r="AZ32" s="2">
        <v>0</v>
      </c>
      <c r="BA32" s="2">
        <v>0</v>
      </c>
      <c r="BB32" s="2">
        <v>0</v>
      </c>
      <c r="BC32" s="2">
        <v>0</v>
      </c>
      <c r="BD32" s="2">
        <v>0</v>
      </c>
      <c r="BO32" s="1" t="s">
        <v>1157</v>
      </c>
      <c r="BP32" s="2">
        <v>0</v>
      </c>
      <c r="BQ32" s="2">
        <v>0</v>
      </c>
      <c r="BR32" s="2">
        <v>0</v>
      </c>
      <c r="BS32" s="2">
        <v>0</v>
      </c>
      <c r="BT32" s="2">
        <v>0</v>
      </c>
      <c r="BU32" s="2">
        <v>1</v>
      </c>
      <c r="BV32" s="2">
        <v>0</v>
      </c>
      <c r="BW32" s="2">
        <v>0</v>
      </c>
      <c r="BX32" s="2">
        <v>0</v>
      </c>
      <c r="BY32" s="2">
        <v>0</v>
      </c>
      <c r="BZ32" s="2">
        <v>0</v>
      </c>
      <c r="CA32" s="2">
        <v>0</v>
      </c>
      <c r="CC32" s="1" t="s">
        <v>1154</v>
      </c>
      <c r="DQ32" s="1" t="s">
        <v>1163</v>
      </c>
      <c r="DR32" s="2">
        <v>0</v>
      </c>
      <c r="DS32" s="2">
        <v>0</v>
      </c>
      <c r="DT32" s="2">
        <v>0</v>
      </c>
      <c r="DU32" s="2">
        <v>0</v>
      </c>
      <c r="DV32" s="2">
        <v>1</v>
      </c>
      <c r="DX32" s="1" t="s">
        <v>1656</v>
      </c>
      <c r="DY32" s="2">
        <v>0</v>
      </c>
      <c r="DZ32" s="2">
        <v>0</v>
      </c>
      <c r="EA32" s="2">
        <v>0</v>
      </c>
      <c r="EB32" s="2">
        <v>0</v>
      </c>
      <c r="EC32" s="2">
        <v>0</v>
      </c>
      <c r="ED32" s="2">
        <v>0</v>
      </c>
      <c r="EE32" s="2">
        <v>0</v>
      </c>
      <c r="EF32" s="2">
        <v>0</v>
      </c>
      <c r="EG32" s="2">
        <v>0</v>
      </c>
      <c r="EH32" s="2">
        <v>0</v>
      </c>
      <c r="EI32" s="2">
        <v>0</v>
      </c>
      <c r="EJ32" s="2">
        <v>0</v>
      </c>
      <c r="EK32" s="2">
        <v>1</v>
      </c>
      <c r="EM32" s="1" t="s">
        <v>1189</v>
      </c>
      <c r="EN32" s="2">
        <v>0</v>
      </c>
      <c r="EO32" s="2">
        <v>0</v>
      </c>
      <c r="EP32" s="2">
        <v>0</v>
      </c>
      <c r="EQ32" s="2">
        <v>0</v>
      </c>
      <c r="ER32" s="2">
        <v>1</v>
      </c>
      <c r="ES32" s="2">
        <v>0</v>
      </c>
      <c r="ET32" s="2">
        <v>0</v>
      </c>
      <c r="EU32" s="2">
        <v>0</v>
      </c>
      <c r="EV32" s="2">
        <v>0</v>
      </c>
      <c r="EW32" s="2">
        <v>0</v>
      </c>
      <c r="EX32" s="2">
        <v>0</v>
      </c>
      <c r="EY32" s="2">
        <v>0</v>
      </c>
      <c r="EZ32" s="2">
        <v>0</v>
      </c>
      <c r="FB32" s="1" t="s">
        <v>1154</v>
      </c>
      <c r="GI32" s="1" t="s">
        <v>2386</v>
      </c>
      <c r="GJ32" s="2">
        <v>0</v>
      </c>
      <c r="GK32" s="2">
        <v>1</v>
      </c>
      <c r="GL32" s="2">
        <v>0</v>
      </c>
      <c r="GM32" s="2">
        <v>0</v>
      </c>
      <c r="GN32" s="2">
        <v>0</v>
      </c>
      <c r="GO32" s="2">
        <v>1</v>
      </c>
      <c r="GP32" s="2">
        <v>0</v>
      </c>
      <c r="GQ32" s="2">
        <v>0</v>
      </c>
      <c r="GR32" s="2">
        <v>0</v>
      </c>
      <c r="GS32" s="2">
        <v>0</v>
      </c>
      <c r="GT32" s="2">
        <v>0</v>
      </c>
      <c r="GU32" s="2">
        <v>0</v>
      </c>
      <c r="GV32" s="2">
        <v>0</v>
      </c>
      <c r="AVS32" s="1">
        <v>134772448</v>
      </c>
      <c r="AVT32" s="1" t="s">
        <v>2490</v>
      </c>
      <c r="AVV32" s="1">
        <v>121</v>
      </c>
    </row>
    <row r="33" spans="1:980 1267:1270" x14ac:dyDescent="0.3">
      <c r="A33" s="1" t="s">
        <v>2491</v>
      </c>
      <c r="B33" s="1" t="s">
        <v>2492</v>
      </c>
      <c r="C33" s="1" t="s">
        <v>2493</v>
      </c>
      <c r="D33" s="1" t="s">
        <v>2354</v>
      </c>
      <c r="E33" s="1" t="s">
        <v>2125</v>
      </c>
      <c r="F33" s="1" t="s">
        <v>2354</v>
      </c>
      <c r="I33" s="1" t="s">
        <v>2080</v>
      </c>
      <c r="J33" s="1" t="s">
        <v>2325</v>
      </c>
      <c r="K33" s="1" t="s">
        <v>2325</v>
      </c>
      <c r="N33" s="1" t="s">
        <v>1168</v>
      </c>
      <c r="O33" s="2">
        <v>0</v>
      </c>
      <c r="P33" s="2">
        <v>0</v>
      </c>
      <c r="Q33" s="2">
        <v>1</v>
      </c>
      <c r="R33" s="2">
        <v>0</v>
      </c>
      <c r="S33" s="2">
        <v>0</v>
      </c>
      <c r="ZS33" s="1" t="s">
        <v>2494</v>
      </c>
      <c r="ZT33" s="1" t="s">
        <v>1169</v>
      </c>
      <c r="ZV33" s="1" t="s">
        <v>1170</v>
      </c>
      <c r="ZX33" s="1" t="s">
        <v>1155</v>
      </c>
      <c r="ABE33" s="1" t="s">
        <v>1171</v>
      </c>
      <c r="ABF33" s="2">
        <v>1</v>
      </c>
      <c r="ABG33" s="2">
        <v>0</v>
      </c>
      <c r="ABH33" s="2">
        <v>0</v>
      </c>
      <c r="ABI33" s="2">
        <v>0</v>
      </c>
      <c r="ABJ33" s="2">
        <v>0</v>
      </c>
      <c r="ABL33" s="1" t="s">
        <v>1184</v>
      </c>
      <c r="ABM33" s="2">
        <v>1</v>
      </c>
      <c r="ABN33" s="2">
        <v>0</v>
      </c>
      <c r="ABO33" s="2">
        <v>0</v>
      </c>
      <c r="ABP33" s="2">
        <v>0</v>
      </c>
      <c r="ABQ33" s="2">
        <v>0</v>
      </c>
      <c r="ABR33" s="2">
        <v>0</v>
      </c>
      <c r="ABS33" s="2">
        <v>0</v>
      </c>
      <c r="ABT33" s="2">
        <v>0</v>
      </c>
      <c r="ABU33" s="2">
        <v>0</v>
      </c>
      <c r="ABV33" s="2">
        <v>0</v>
      </c>
      <c r="ABW33" s="2">
        <v>0</v>
      </c>
      <c r="ABX33" s="2">
        <v>0</v>
      </c>
      <c r="ABZ33" s="2">
        <v>6</v>
      </c>
      <c r="ACA33" s="1" t="s">
        <v>1155</v>
      </c>
      <c r="ACB33" s="57">
        <v>2</v>
      </c>
      <c r="ACC33" s="1" t="s">
        <v>1155</v>
      </c>
      <c r="ACD33" s="2">
        <v>1</v>
      </c>
      <c r="ACE33" s="2">
        <v>2</v>
      </c>
      <c r="ACF33" s="2">
        <v>1</v>
      </c>
      <c r="ACG33" s="2">
        <v>2</v>
      </c>
      <c r="ACI33" s="1" t="s">
        <v>1155</v>
      </c>
      <c r="ACJ33" s="1" t="s">
        <v>1155</v>
      </c>
      <c r="ACK33" s="1" t="s">
        <v>1885</v>
      </c>
      <c r="ACM33" s="1" t="s">
        <v>1155</v>
      </c>
      <c r="ACN33" s="2">
        <v>332</v>
      </c>
      <c r="ACO33" s="2">
        <v>0</v>
      </c>
      <c r="ACP33" s="2">
        <v>332</v>
      </c>
      <c r="ACQ33" s="2">
        <v>332</v>
      </c>
      <c r="ACR33" s="2">
        <v>332</v>
      </c>
      <c r="ACT33" s="2" t="s">
        <v>1161</v>
      </c>
      <c r="ACU33" s="2" t="s">
        <v>1161</v>
      </c>
      <c r="ACV33" s="1" t="s">
        <v>1155</v>
      </c>
      <c r="ACW33" s="1" t="s">
        <v>1182</v>
      </c>
      <c r="ACX33" s="1" t="s">
        <v>1657</v>
      </c>
      <c r="ACY33" s="2">
        <v>0</v>
      </c>
      <c r="ACZ33" s="2">
        <v>0</v>
      </c>
      <c r="ADA33" s="2">
        <v>0</v>
      </c>
      <c r="ADB33" s="2">
        <v>0</v>
      </c>
      <c r="ADC33" s="2">
        <v>0</v>
      </c>
      <c r="ADD33" s="2">
        <v>0</v>
      </c>
      <c r="ADE33" s="2">
        <v>1</v>
      </c>
      <c r="ADQ33" s="2">
        <v>1</v>
      </c>
      <c r="ADR33" s="2">
        <v>0</v>
      </c>
      <c r="ADS33" s="2">
        <v>1</v>
      </c>
      <c r="ADT33" s="2">
        <v>1</v>
      </c>
      <c r="ADU33" s="2">
        <v>1</v>
      </c>
      <c r="ADW33" s="1" t="s">
        <v>1154</v>
      </c>
      <c r="AEO33" s="2">
        <v>5</v>
      </c>
      <c r="AEP33" s="2">
        <v>1</v>
      </c>
      <c r="AEQ33" s="2">
        <v>4</v>
      </c>
      <c r="AER33" s="2">
        <v>4</v>
      </c>
      <c r="AES33" s="2">
        <v>5</v>
      </c>
      <c r="AEU33" s="1" t="s">
        <v>1155</v>
      </c>
      <c r="AEV33" s="1" t="s">
        <v>1164</v>
      </c>
      <c r="AFD33" s="1" t="s">
        <v>1961</v>
      </c>
      <c r="AFE33" s="2">
        <v>1</v>
      </c>
      <c r="AFF33" s="2">
        <v>0</v>
      </c>
      <c r="AFG33" s="2">
        <v>0</v>
      </c>
      <c r="AFH33" s="2">
        <v>0</v>
      </c>
      <c r="AFI33" s="2">
        <v>0</v>
      </c>
      <c r="AFJ33" s="2">
        <v>0</v>
      </c>
      <c r="AFL33" s="2">
        <v>5</v>
      </c>
      <c r="AFM33" s="2">
        <v>1</v>
      </c>
      <c r="AFN33" s="2">
        <v>4</v>
      </c>
      <c r="AFO33" s="2">
        <v>4</v>
      </c>
      <c r="AFP33" s="2">
        <v>5</v>
      </c>
      <c r="AFR33" s="1" t="s">
        <v>1155</v>
      </c>
      <c r="AFS33" s="1" t="s">
        <v>1164</v>
      </c>
      <c r="AGA33" s="1" t="s">
        <v>1960</v>
      </c>
      <c r="AGB33" s="2">
        <v>1</v>
      </c>
      <c r="AGC33" s="2">
        <v>0</v>
      </c>
      <c r="AGD33" s="2">
        <v>0</v>
      </c>
      <c r="AGE33" s="2">
        <v>0</v>
      </c>
      <c r="AGF33" s="2">
        <v>0</v>
      </c>
      <c r="AGH33" s="1" t="s">
        <v>1155</v>
      </c>
      <c r="AGI33" s="1" t="s">
        <v>1155</v>
      </c>
      <c r="AGJ33" s="1" t="s">
        <v>1155</v>
      </c>
      <c r="AGK33" s="85">
        <v>5000</v>
      </c>
      <c r="AGL33" s="1" t="s">
        <v>1980</v>
      </c>
      <c r="AGM33" s="2">
        <v>1</v>
      </c>
      <c r="AGN33" s="2">
        <v>0</v>
      </c>
      <c r="AGO33" s="2">
        <v>0</v>
      </c>
      <c r="AGP33" s="2">
        <v>0</v>
      </c>
      <c r="AGQ33" s="2">
        <v>0</v>
      </c>
      <c r="AGR33" s="2">
        <v>0</v>
      </c>
      <c r="AGT33" s="1" t="s">
        <v>1154</v>
      </c>
      <c r="AHQ33" s="1" t="s">
        <v>1167</v>
      </c>
      <c r="AHR33" s="2">
        <v>0</v>
      </c>
      <c r="AHS33" s="2">
        <v>1</v>
      </c>
      <c r="AHT33" s="2">
        <v>0</v>
      </c>
      <c r="AHU33" s="2">
        <v>0</v>
      </c>
      <c r="AHV33" s="2">
        <v>0</v>
      </c>
      <c r="AHX33" s="1" t="s">
        <v>1894</v>
      </c>
      <c r="AHY33" s="2">
        <v>1</v>
      </c>
      <c r="AHZ33" s="2">
        <v>1</v>
      </c>
      <c r="AIA33" s="2">
        <v>1</v>
      </c>
      <c r="AIB33" s="2">
        <v>0</v>
      </c>
      <c r="AIC33" s="2">
        <v>0</v>
      </c>
      <c r="AID33" s="2">
        <v>0</v>
      </c>
      <c r="AIE33" s="2">
        <v>0</v>
      </c>
      <c r="AIF33" s="2">
        <v>0</v>
      </c>
      <c r="AIG33" s="2">
        <v>0</v>
      </c>
      <c r="AIH33" s="2">
        <v>0</v>
      </c>
      <c r="AII33" s="2">
        <v>0</v>
      </c>
      <c r="AIK33" s="1" t="s">
        <v>1933</v>
      </c>
      <c r="AIL33" s="2">
        <v>0</v>
      </c>
      <c r="AIM33" s="2">
        <v>0</v>
      </c>
      <c r="AIN33" s="2">
        <v>0</v>
      </c>
      <c r="AIO33" s="2">
        <v>0</v>
      </c>
      <c r="AIP33" s="2">
        <v>0</v>
      </c>
      <c r="AIQ33" s="2">
        <v>0</v>
      </c>
      <c r="AIR33" s="2">
        <v>0</v>
      </c>
      <c r="AIS33" s="2">
        <v>0</v>
      </c>
      <c r="AIT33" s="2">
        <v>0</v>
      </c>
      <c r="AIU33" s="2">
        <v>0</v>
      </c>
      <c r="AIV33" s="2">
        <v>0</v>
      </c>
      <c r="AIW33" s="2">
        <v>0</v>
      </c>
      <c r="AIX33" s="2">
        <v>1</v>
      </c>
      <c r="AIZ33" s="1" t="s">
        <v>1155</v>
      </c>
      <c r="AJA33" s="1" t="s">
        <v>1157</v>
      </c>
      <c r="AJB33" s="2">
        <v>0</v>
      </c>
      <c r="AJC33" s="2">
        <v>0</v>
      </c>
      <c r="AJD33" s="2">
        <v>0</v>
      </c>
      <c r="AJE33" s="2">
        <v>0</v>
      </c>
      <c r="AJF33" s="2">
        <v>1</v>
      </c>
      <c r="AJG33" s="2">
        <v>0</v>
      </c>
      <c r="AJH33" s="2">
        <v>0</v>
      </c>
      <c r="AJJ33" s="1" t="s">
        <v>2495</v>
      </c>
      <c r="AJK33" s="2">
        <v>1</v>
      </c>
      <c r="AJL33" s="2">
        <v>1</v>
      </c>
      <c r="AJM33" s="2">
        <v>1</v>
      </c>
      <c r="AJN33" s="2">
        <v>0</v>
      </c>
      <c r="AJO33" s="2">
        <v>1</v>
      </c>
      <c r="AJP33" s="2">
        <v>0</v>
      </c>
      <c r="AJQ33" s="2">
        <v>0</v>
      </c>
      <c r="AJR33" s="2">
        <v>0</v>
      </c>
      <c r="AJS33" s="2">
        <v>0</v>
      </c>
      <c r="AJT33" s="2">
        <v>0</v>
      </c>
      <c r="AJU33" s="2">
        <v>0</v>
      </c>
      <c r="AJV33" s="2">
        <v>0</v>
      </c>
      <c r="AJX33" s="1" t="s">
        <v>1154</v>
      </c>
      <c r="AJY33" s="1" t="s">
        <v>1173</v>
      </c>
      <c r="AJZ33" s="2">
        <v>1</v>
      </c>
      <c r="AKA33" s="2">
        <v>1</v>
      </c>
      <c r="AKB33" s="2">
        <v>0</v>
      </c>
      <c r="AKC33" s="2">
        <v>0</v>
      </c>
      <c r="AKD33" s="2">
        <v>0</v>
      </c>
      <c r="AKF33" s="1" t="s">
        <v>2496</v>
      </c>
      <c r="AKG33" s="2">
        <v>1</v>
      </c>
      <c r="AKH33" s="2">
        <v>1</v>
      </c>
      <c r="AKI33" s="2">
        <v>0</v>
      </c>
      <c r="AKJ33" s="2">
        <v>1</v>
      </c>
      <c r="AKK33" s="2">
        <v>0</v>
      </c>
      <c r="AKL33" s="2">
        <v>0</v>
      </c>
      <c r="AKM33" s="2">
        <v>1</v>
      </c>
      <c r="AKN33" s="2">
        <v>0</v>
      </c>
      <c r="AKO33" s="2">
        <v>0</v>
      </c>
      <c r="AKP33" s="2">
        <v>0</v>
      </c>
      <c r="AKQ33" s="2">
        <v>0</v>
      </c>
      <c r="AKR33" s="2">
        <v>0</v>
      </c>
      <c r="AVS33" s="1">
        <v>134771129</v>
      </c>
      <c r="AVT33" s="1" t="s">
        <v>2497</v>
      </c>
      <c r="AVV33" s="1">
        <v>122</v>
      </c>
    </row>
    <row r="34" spans="1:980 1267:1270" x14ac:dyDescent="0.3">
      <c r="A34" s="1" t="s">
        <v>2498</v>
      </c>
      <c r="B34" s="1" t="s">
        <v>2499</v>
      </c>
      <c r="C34" s="1" t="s">
        <v>2500</v>
      </c>
      <c r="D34" s="1" t="s">
        <v>2501</v>
      </c>
      <c r="E34" s="1" t="s">
        <v>2125</v>
      </c>
      <c r="F34" s="1" t="s">
        <v>2501</v>
      </c>
      <c r="I34" s="1" t="s">
        <v>2080</v>
      </c>
      <c r="J34" s="1" t="s">
        <v>2325</v>
      </c>
      <c r="K34" s="1" t="s">
        <v>2325</v>
      </c>
      <c r="N34" s="1" t="s">
        <v>1152</v>
      </c>
      <c r="O34" s="2">
        <v>1</v>
      </c>
      <c r="P34" s="2">
        <v>0</v>
      </c>
      <c r="Q34" s="2">
        <v>0</v>
      </c>
      <c r="R34" s="2">
        <v>0</v>
      </c>
      <c r="S34" s="2">
        <v>0</v>
      </c>
      <c r="U34" s="1" t="s">
        <v>2502</v>
      </c>
      <c r="W34" s="1" t="s">
        <v>1155</v>
      </c>
      <c r="X34" s="1" t="s">
        <v>1155</v>
      </c>
      <c r="AN34" s="1" t="s">
        <v>1179</v>
      </c>
      <c r="AO34" s="2">
        <v>120</v>
      </c>
      <c r="AP34" s="1" t="s">
        <v>1957</v>
      </c>
      <c r="AR34" s="1" t="s">
        <v>1649</v>
      </c>
      <c r="AS34" s="1" t="s">
        <v>1653</v>
      </c>
      <c r="AT34" s="1" t="s">
        <v>1155</v>
      </c>
      <c r="AU34" s="1" t="s">
        <v>1182</v>
      </c>
      <c r="AV34" s="1" t="s">
        <v>1186</v>
      </c>
      <c r="AW34" s="2">
        <v>1</v>
      </c>
      <c r="AX34" s="2">
        <v>0</v>
      </c>
      <c r="AY34" s="2">
        <v>0</v>
      </c>
      <c r="AZ34" s="2">
        <v>0</v>
      </c>
      <c r="BA34" s="2">
        <v>0</v>
      </c>
      <c r="BB34" s="2">
        <v>0</v>
      </c>
      <c r="BC34" s="2">
        <v>0</v>
      </c>
      <c r="BD34" s="2">
        <v>0</v>
      </c>
      <c r="BO34" s="1" t="s">
        <v>1175</v>
      </c>
      <c r="BP34" s="2">
        <v>0</v>
      </c>
      <c r="BQ34" s="2">
        <v>0</v>
      </c>
      <c r="BR34" s="2">
        <v>0</v>
      </c>
      <c r="BS34" s="2">
        <v>0</v>
      </c>
      <c r="BT34" s="2">
        <v>0</v>
      </c>
      <c r="BU34" s="2">
        <v>0</v>
      </c>
      <c r="BV34" s="2">
        <v>0</v>
      </c>
      <c r="BW34" s="2">
        <v>0</v>
      </c>
      <c r="BX34" s="2">
        <v>0</v>
      </c>
      <c r="BY34" s="2">
        <v>0</v>
      </c>
      <c r="BZ34" s="2">
        <v>0</v>
      </c>
      <c r="CA34" s="2">
        <v>1</v>
      </c>
      <c r="CC34" s="1" t="s">
        <v>1154</v>
      </c>
      <c r="DQ34" s="1" t="s">
        <v>1385</v>
      </c>
      <c r="DR34" s="2">
        <v>1</v>
      </c>
      <c r="DS34" s="2">
        <v>0</v>
      </c>
      <c r="DT34" s="2">
        <v>0</v>
      </c>
      <c r="DU34" s="2">
        <v>0</v>
      </c>
      <c r="DV34" s="2">
        <v>0</v>
      </c>
      <c r="DX34" s="1" t="s">
        <v>2326</v>
      </c>
      <c r="DY34" s="2">
        <v>1</v>
      </c>
      <c r="DZ34" s="2">
        <v>1</v>
      </c>
      <c r="EA34" s="2">
        <v>0</v>
      </c>
      <c r="EB34" s="2">
        <v>0</v>
      </c>
      <c r="EC34" s="2">
        <v>0</v>
      </c>
      <c r="ED34" s="2">
        <v>0</v>
      </c>
      <c r="EE34" s="2">
        <v>0</v>
      </c>
      <c r="EF34" s="2">
        <v>0</v>
      </c>
      <c r="EG34" s="2">
        <v>0</v>
      </c>
      <c r="EH34" s="2">
        <v>0</v>
      </c>
      <c r="EI34" s="2">
        <v>0</v>
      </c>
      <c r="EJ34" s="2">
        <v>0</v>
      </c>
      <c r="EK34" s="2">
        <v>0</v>
      </c>
      <c r="EM34" s="1" t="s">
        <v>1936</v>
      </c>
      <c r="EN34" s="2">
        <v>0</v>
      </c>
      <c r="EO34" s="2">
        <v>0</v>
      </c>
      <c r="EP34" s="2">
        <v>0</v>
      </c>
      <c r="EQ34" s="2">
        <v>0</v>
      </c>
      <c r="ER34" s="2">
        <v>0</v>
      </c>
      <c r="ES34" s="2">
        <v>0</v>
      </c>
      <c r="ET34" s="2">
        <v>0</v>
      </c>
      <c r="EU34" s="2">
        <v>0</v>
      </c>
      <c r="EV34" s="2">
        <v>1</v>
      </c>
      <c r="EW34" s="2">
        <v>0</v>
      </c>
      <c r="EX34" s="2">
        <v>0</v>
      </c>
      <c r="EY34" s="2">
        <v>0</v>
      </c>
      <c r="EZ34" s="2">
        <v>0</v>
      </c>
      <c r="FB34" s="1" t="s">
        <v>1155</v>
      </c>
      <c r="FC34" s="1" t="s">
        <v>1157</v>
      </c>
      <c r="FD34" s="2">
        <v>0</v>
      </c>
      <c r="FE34" s="2">
        <v>0</v>
      </c>
      <c r="FF34" s="2">
        <v>0</v>
      </c>
      <c r="FG34" s="2">
        <v>0</v>
      </c>
      <c r="FH34" s="2">
        <v>1</v>
      </c>
      <c r="FI34" s="2">
        <v>0</v>
      </c>
      <c r="FJ34" s="2">
        <v>0</v>
      </c>
      <c r="FL34" s="1" t="s">
        <v>2386</v>
      </c>
      <c r="FM34" s="2">
        <v>0</v>
      </c>
      <c r="FN34" s="2">
        <v>1</v>
      </c>
      <c r="FO34" s="2">
        <v>0</v>
      </c>
      <c r="FP34" s="2">
        <v>0</v>
      </c>
      <c r="FQ34" s="2">
        <v>0</v>
      </c>
      <c r="FR34" s="2">
        <v>1</v>
      </c>
      <c r="FS34" s="2">
        <v>0</v>
      </c>
      <c r="FT34" s="2">
        <v>0</v>
      </c>
      <c r="FU34" s="2">
        <v>0</v>
      </c>
      <c r="FV34" s="2">
        <v>0</v>
      </c>
      <c r="FW34" s="2">
        <v>0</v>
      </c>
      <c r="FX34" s="2">
        <v>0</v>
      </c>
      <c r="FY34" s="2">
        <v>0</v>
      </c>
      <c r="GA34" s="1" t="s">
        <v>1154</v>
      </c>
      <c r="GB34" s="1" t="s">
        <v>1178</v>
      </c>
      <c r="GC34" s="2">
        <v>1</v>
      </c>
      <c r="GD34" s="2">
        <v>0</v>
      </c>
      <c r="GE34" s="2">
        <v>0</v>
      </c>
      <c r="GF34" s="2">
        <v>0</v>
      </c>
      <c r="GG34" s="2">
        <v>0</v>
      </c>
      <c r="GI34" s="1" t="s">
        <v>2503</v>
      </c>
      <c r="GJ34" s="2">
        <v>0</v>
      </c>
      <c r="GK34" s="2">
        <v>1</v>
      </c>
      <c r="GL34" s="2">
        <v>0</v>
      </c>
      <c r="GM34" s="2">
        <v>0</v>
      </c>
      <c r="GN34" s="2">
        <v>0</v>
      </c>
      <c r="GO34" s="2">
        <v>0</v>
      </c>
      <c r="GP34" s="2">
        <v>0</v>
      </c>
      <c r="GQ34" s="2">
        <v>1</v>
      </c>
      <c r="GR34" s="2">
        <v>0</v>
      </c>
      <c r="GS34" s="2">
        <v>1</v>
      </c>
      <c r="GT34" s="2">
        <v>0</v>
      </c>
      <c r="GU34" s="2">
        <v>0</v>
      </c>
      <c r="GV34" s="2">
        <v>0</v>
      </c>
      <c r="AVS34" s="1">
        <v>134225067</v>
      </c>
      <c r="AVT34" s="1" t="s">
        <v>2504</v>
      </c>
      <c r="AVV34" s="1">
        <v>179</v>
      </c>
    </row>
    <row r="35" spans="1:980 1267:1270" x14ac:dyDescent="0.3">
      <c r="A35" s="1" t="s">
        <v>2505</v>
      </c>
      <c r="B35" s="1" t="s">
        <v>2506</v>
      </c>
      <c r="C35" s="1" t="s">
        <v>2507</v>
      </c>
      <c r="D35" s="1" t="s">
        <v>2508</v>
      </c>
      <c r="E35" s="1" t="s">
        <v>2125</v>
      </c>
      <c r="F35" s="1" t="s">
        <v>2508</v>
      </c>
      <c r="I35" s="1" t="s">
        <v>2080</v>
      </c>
      <c r="J35" s="1" t="s">
        <v>2325</v>
      </c>
      <c r="K35" s="1" t="s">
        <v>2325</v>
      </c>
      <c r="N35" s="1" t="s">
        <v>1152</v>
      </c>
      <c r="O35" s="2">
        <v>1</v>
      </c>
      <c r="P35" s="2">
        <v>0</v>
      </c>
      <c r="Q35" s="2">
        <v>0</v>
      </c>
      <c r="R35" s="2">
        <v>0</v>
      </c>
      <c r="S35" s="2">
        <v>0</v>
      </c>
      <c r="U35" s="1" t="s">
        <v>1180</v>
      </c>
      <c r="W35" s="1" t="s">
        <v>1154</v>
      </c>
      <c r="X35" s="1" t="s">
        <v>1640</v>
      </c>
      <c r="Y35" s="1" t="s">
        <v>1181</v>
      </c>
      <c r="AA35" s="1" t="s">
        <v>1641</v>
      </c>
      <c r="AN35" s="1" t="s">
        <v>1179</v>
      </c>
      <c r="AO35" s="2">
        <v>300</v>
      </c>
      <c r="AP35" s="1" t="s">
        <v>1871</v>
      </c>
      <c r="AR35" s="1" t="s">
        <v>1642</v>
      </c>
      <c r="AS35" s="1" t="s">
        <v>1653</v>
      </c>
      <c r="AT35" s="1" t="s">
        <v>1154</v>
      </c>
      <c r="BO35" s="1" t="s">
        <v>1157</v>
      </c>
      <c r="BP35" s="2">
        <v>0</v>
      </c>
      <c r="BQ35" s="2">
        <v>0</v>
      </c>
      <c r="BR35" s="2">
        <v>0</v>
      </c>
      <c r="BS35" s="2">
        <v>0</v>
      </c>
      <c r="BT35" s="2">
        <v>0</v>
      </c>
      <c r="BU35" s="2">
        <v>1</v>
      </c>
      <c r="BV35" s="2">
        <v>0</v>
      </c>
      <c r="BW35" s="2">
        <v>0</v>
      </c>
      <c r="BX35" s="2">
        <v>0</v>
      </c>
      <c r="BY35" s="2">
        <v>0</v>
      </c>
      <c r="BZ35" s="2">
        <v>0</v>
      </c>
      <c r="CA35" s="2">
        <v>0</v>
      </c>
      <c r="CC35" s="1" t="s">
        <v>1154</v>
      </c>
      <c r="DQ35" s="1" t="s">
        <v>1163</v>
      </c>
      <c r="DR35" s="2">
        <v>0</v>
      </c>
      <c r="DS35" s="2">
        <v>0</v>
      </c>
      <c r="DT35" s="2">
        <v>0</v>
      </c>
      <c r="DU35" s="2">
        <v>0</v>
      </c>
      <c r="DV35" s="2">
        <v>1</v>
      </c>
      <c r="DX35" s="1" t="s">
        <v>1956</v>
      </c>
      <c r="DY35" s="2">
        <v>0</v>
      </c>
      <c r="DZ35" s="2">
        <v>1</v>
      </c>
      <c r="EA35" s="2">
        <v>1</v>
      </c>
      <c r="EB35" s="2">
        <v>0</v>
      </c>
      <c r="EC35" s="2">
        <v>0</v>
      </c>
      <c r="ED35" s="2">
        <v>0</v>
      </c>
      <c r="EE35" s="2">
        <v>0</v>
      </c>
      <c r="EF35" s="2">
        <v>0</v>
      </c>
      <c r="EG35" s="2">
        <v>1</v>
      </c>
      <c r="EH35" s="2">
        <v>0</v>
      </c>
      <c r="EI35" s="2">
        <v>0</v>
      </c>
      <c r="EJ35" s="2">
        <v>0</v>
      </c>
      <c r="EK35" s="2">
        <v>0</v>
      </c>
      <c r="EM35" s="1" t="s">
        <v>1647</v>
      </c>
      <c r="EN35" s="2">
        <v>0</v>
      </c>
      <c r="EO35" s="2">
        <v>0</v>
      </c>
      <c r="EP35" s="2">
        <v>0</v>
      </c>
      <c r="EQ35" s="2">
        <v>0</v>
      </c>
      <c r="ER35" s="2">
        <v>0</v>
      </c>
      <c r="ES35" s="2">
        <v>0</v>
      </c>
      <c r="ET35" s="2">
        <v>1</v>
      </c>
      <c r="EU35" s="2">
        <v>1</v>
      </c>
      <c r="EV35" s="2">
        <v>0</v>
      </c>
      <c r="EW35" s="2">
        <v>0</v>
      </c>
      <c r="EX35" s="2">
        <v>0</v>
      </c>
      <c r="EY35" s="2">
        <v>0</v>
      </c>
      <c r="EZ35" s="2">
        <v>0</v>
      </c>
      <c r="FB35" s="1" t="s">
        <v>1154</v>
      </c>
      <c r="GI35" s="1" t="s">
        <v>2509</v>
      </c>
      <c r="GJ35" s="2">
        <v>0</v>
      </c>
      <c r="GK35" s="2">
        <v>0</v>
      </c>
      <c r="GL35" s="2">
        <v>1</v>
      </c>
      <c r="GM35" s="2">
        <v>1</v>
      </c>
      <c r="GN35" s="2">
        <v>1</v>
      </c>
      <c r="GO35" s="2">
        <v>0</v>
      </c>
      <c r="GP35" s="2">
        <v>0</v>
      </c>
      <c r="GQ35" s="2">
        <v>0</v>
      </c>
      <c r="GR35" s="2">
        <v>0</v>
      </c>
      <c r="GS35" s="2">
        <v>0</v>
      </c>
      <c r="GT35" s="2">
        <v>0</v>
      </c>
      <c r="GU35" s="2">
        <v>0</v>
      </c>
      <c r="GV35" s="2">
        <v>0</v>
      </c>
      <c r="AVS35" s="1">
        <v>134225078</v>
      </c>
      <c r="AVT35" s="1" t="s">
        <v>2510</v>
      </c>
      <c r="AVV35" s="1">
        <v>180</v>
      </c>
    </row>
    <row r="36" spans="1:980 1267:1270" x14ac:dyDescent="0.3">
      <c r="A36" s="1" t="s">
        <v>2511</v>
      </c>
      <c r="B36" s="1" t="s">
        <v>2512</v>
      </c>
      <c r="C36" s="1" t="s">
        <v>2513</v>
      </c>
      <c r="D36" s="1" t="s">
        <v>2508</v>
      </c>
      <c r="E36" s="1" t="s">
        <v>2125</v>
      </c>
      <c r="F36" s="1" t="s">
        <v>2508</v>
      </c>
      <c r="I36" s="1" t="s">
        <v>2080</v>
      </c>
      <c r="J36" s="1" t="s">
        <v>2325</v>
      </c>
      <c r="K36" s="1" t="s">
        <v>2325</v>
      </c>
      <c r="N36" s="1" t="s">
        <v>1152</v>
      </c>
      <c r="O36" s="2">
        <v>1</v>
      </c>
      <c r="P36" s="2">
        <v>0</v>
      </c>
      <c r="Q36" s="2">
        <v>0</v>
      </c>
      <c r="R36" s="2">
        <v>0</v>
      </c>
      <c r="S36" s="2">
        <v>0</v>
      </c>
      <c r="U36" s="1" t="s">
        <v>1654</v>
      </c>
      <c r="W36" s="1" t="s">
        <v>1155</v>
      </c>
      <c r="X36" s="1" t="s">
        <v>1154</v>
      </c>
      <c r="AB36" s="1" t="s">
        <v>1153</v>
      </c>
      <c r="AC36" s="2">
        <v>0</v>
      </c>
      <c r="AD36" s="2">
        <v>0</v>
      </c>
      <c r="AE36" s="2">
        <v>0</v>
      </c>
      <c r="AF36" s="2">
        <v>0</v>
      </c>
      <c r="AG36" s="2">
        <v>0</v>
      </c>
      <c r="AH36" s="2">
        <v>0</v>
      </c>
      <c r="AI36" s="2">
        <v>0</v>
      </c>
      <c r="AJ36" s="2">
        <v>0</v>
      </c>
      <c r="AK36" s="2">
        <v>1</v>
      </c>
      <c r="AL36" s="1" t="s">
        <v>2514</v>
      </c>
      <c r="AM36" s="1" t="s">
        <v>1893</v>
      </c>
      <c r="BO36" s="1" t="s">
        <v>1184</v>
      </c>
      <c r="BP36" s="2">
        <v>1</v>
      </c>
      <c r="BQ36" s="2">
        <v>0</v>
      </c>
      <c r="BR36" s="2">
        <v>0</v>
      </c>
      <c r="BS36" s="2">
        <v>0</v>
      </c>
      <c r="BT36" s="2">
        <v>0</v>
      </c>
      <c r="BU36" s="2">
        <v>0</v>
      </c>
      <c r="BV36" s="2">
        <v>0</v>
      </c>
      <c r="BW36" s="2">
        <v>0</v>
      </c>
      <c r="BX36" s="2">
        <v>0</v>
      </c>
      <c r="BY36" s="2">
        <v>0</v>
      </c>
      <c r="BZ36" s="2">
        <v>0</v>
      </c>
      <c r="CA36" s="2">
        <v>0</v>
      </c>
      <c r="FB36" s="1" t="s">
        <v>1154</v>
      </c>
      <c r="GI36" s="1" t="s">
        <v>2668</v>
      </c>
      <c r="GJ36" s="2">
        <v>0</v>
      </c>
      <c r="GK36" s="2">
        <v>0</v>
      </c>
      <c r="GL36" s="2">
        <v>0</v>
      </c>
      <c r="GM36" s="2">
        <v>0</v>
      </c>
      <c r="GN36" s="2">
        <v>1</v>
      </c>
      <c r="GO36" s="2">
        <v>0</v>
      </c>
      <c r="GP36" s="2">
        <v>1</v>
      </c>
      <c r="GQ36" s="2">
        <v>0</v>
      </c>
      <c r="GR36" s="2">
        <v>0</v>
      </c>
      <c r="GS36" s="2">
        <v>1</v>
      </c>
      <c r="GT36" s="2">
        <v>1</v>
      </c>
      <c r="GU36" s="2">
        <v>0</v>
      </c>
      <c r="GV36" s="2">
        <v>0</v>
      </c>
      <c r="GW36" s="1" t="s">
        <v>2515</v>
      </c>
      <c r="AVS36" s="1">
        <v>134225097</v>
      </c>
      <c r="AVT36" s="1" t="s">
        <v>2516</v>
      </c>
      <c r="AVV36" s="1">
        <v>181</v>
      </c>
    </row>
    <row r="37" spans="1:980 1267:1270" x14ac:dyDescent="0.3">
      <c r="A37" s="1" t="s">
        <v>2517</v>
      </c>
      <c r="B37" s="1" t="s">
        <v>2518</v>
      </c>
      <c r="C37" s="1" t="s">
        <v>2519</v>
      </c>
      <c r="D37" s="1" t="s">
        <v>2508</v>
      </c>
      <c r="E37" s="1" t="s">
        <v>2125</v>
      </c>
      <c r="F37" s="1" t="s">
        <v>2508</v>
      </c>
      <c r="I37" s="1" t="s">
        <v>2080</v>
      </c>
      <c r="J37" s="1" t="s">
        <v>2325</v>
      </c>
      <c r="K37" s="1" t="s">
        <v>2325</v>
      </c>
      <c r="N37" s="1" t="s">
        <v>1152</v>
      </c>
      <c r="O37" s="2">
        <v>1</v>
      </c>
      <c r="P37" s="2">
        <v>0</v>
      </c>
      <c r="Q37" s="2">
        <v>0</v>
      </c>
      <c r="R37" s="2">
        <v>0</v>
      </c>
      <c r="S37" s="2">
        <v>0</v>
      </c>
      <c r="U37" s="1" t="s">
        <v>1654</v>
      </c>
      <c r="W37" s="1" t="s">
        <v>1155</v>
      </c>
      <c r="X37" s="1" t="s">
        <v>1640</v>
      </c>
      <c r="Y37" s="1" t="s">
        <v>1892</v>
      </c>
      <c r="AA37" s="1" t="s">
        <v>1893</v>
      </c>
      <c r="AN37" s="1" t="s">
        <v>1179</v>
      </c>
      <c r="AO37" s="2">
        <v>100</v>
      </c>
      <c r="AP37" s="1" t="s">
        <v>1871</v>
      </c>
      <c r="AR37" s="1" t="s">
        <v>1649</v>
      </c>
      <c r="AS37" s="1" t="s">
        <v>1653</v>
      </c>
      <c r="AT37" s="1" t="s">
        <v>1154</v>
      </c>
      <c r="BO37" s="1" t="s">
        <v>1184</v>
      </c>
      <c r="BP37" s="2">
        <v>1</v>
      </c>
      <c r="BQ37" s="2">
        <v>0</v>
      </c>
      <c r="BR37" s="2">
        <v>0</v>
      </c>
      <c r="BS37" s="2">
        <v>0</v>
      </c>
      <c r="BT37" s="2">
        <v>0</v>
      </c>
      <c r="BU37" s="2">
        <v>0</v>
      </c>
      <c r="BV37" s="2">
        <v>0</v>
      </c>
      <c r="BW37" s="2">
        <v>0</v>
      </c>
      <c r="BX37" s="2">
        <v>0</v>
      </c>
      <c r="BY37" s="2">
        <v>0</v>
      </c>
      <c r="BZ37" s="2">
        <v>0</v>
      </c>
      <c r="CA37" s="2">
        <v>0</v>
      </c>
      <c r="CC37" s="1" t="s">
        <v>1154</v>
      </c>
      <c r="DQ37" s="1" t="s">
        <v>1385</v>
      </c>
      <c r="DR37" s="2">
        <v>1</v>
      </c>
      <c r="DS37" s="2">
        <v>0</v>
      </c>
      <c r="DT37" s="2">
        <v>0</v>
      </c>
      <c r="DU37" s="2">
        <v>0</v>
      </c>
      <c r="DV37" s="2">
        <v>0</v>
      </c>
      <c r="DX37" s="1" t="s">
        <v>1985</v>
      </c>
      <c r="DY37" s="2">
        <v>0</v>
      </c>
      <c r="DZ37" s="2">
        <v>1</v>
      </c>
      <c r="EA37" s="2">
        <v>0</v>
      </c>
      <c r="EB37" s="2">
        <v>0</v>
      </c>
      <c r="EC37" s="2">
        <v>0</v>
      </c>
      <c r="ED37" s="2">
        <v>0</v>
      </c>
      <c r="EE37" s="2">
        <v>0</v>
      </c>
      <c r="EF37" s="2">
        <v>0</v>
      </c>
      <c r="EG37" s="2">
        <v>1</v>
      </c>
      <c r="EH37" s="2">
        <v>0</v>
      </c>
      <c r="EI37" s="2">
        <v>0</v>
      </c>
      <c r="EJ37" s="2">
        <v>0</v>
      </c>
      <c r="EK37" s="2">
        <v>0</v>
      </c>
      <c r="EM37" s="1" t="s">
        <v>2097</v>
      </c>
      <c r="EN37" s="2">
        <v>0</v>
      </c>
      <c r="EO37" s="2">
        <v>0</v>
      </c>
      <c r="EP37" s="2">
        <v>0</v>
      </c>
      <c r="EQ37" s="2">
        <v>0</v>
      </c>
      <c r="ER37" s="2">
        <v>1</v>
      </c>
      <c r="ES37" s="2">
        <v>0</v>
      </c>
      <c r="ET37" s="2">
        <v>1</v>
      </c>
      <c r="EU37" s="2">
        <v>0</v>
      </c>
      <c r="EV37" s="2">
        <v>0</v>
      </c>
      <c r="EW37" s="2">
        <v>0</v>
      </c>
      <c r="EX37" s="2">
        <v>0</v>
      </c>
      <c r="EY37" s="2">
        <v>0</v>
      </c>
      <c r="EZ37" s="2">
        <v>0</v>
      </c>
      <c r="FB37" s="1" t="s">
        <v>1154</v>
      </c>
      <c r="GI37" s="1" t="s">
        <v>2520</v>
      </c>
      <c r="GJ37" s="2">
        <v>0</v>
      </c>
      <c r="GK37" s="2">
        <v>0</v>
      </c>
      <c r="GL37" s="2">
        <v>1</v>
      </c>
      <c r="GM37" s="2">
        <v>0</v>
      </c>
      <c r="GN37" s="2">
        <v>0</v>
      </c>
      <c r="GO37" s="2">
        <v>0</v>
      </c>
      <c r="GP37" s="2">
        <v>0</v>
      </c>
      <c r="GQ37" s="2">
        <v>0</v>
      </c>
      <c r="GR37" s="2">
        <v>0</v>
      </c>
      <c r="GS37" s="2">
        <v>0</v>
      </c>
      <c r="GT37" s="2">
        <v>1</v>
      </c>
      <c r="GU37" s="2">
        <v>0</v>
      </c>
      <c r="GV37" s="2">
        <v>0</v>
      </c>
      <c r="AVS37" s="1">
        <v>134225128</v>
      </c>
      <c r="AVT37" s="1" t="s">
        <v>2521</v>
      </c>
      <c r="AVV37" s="1">
        <v>182</v>
      </c>
    </row>
    <row r="38" spans="1:980 1267:1270" x14ac:dyDescent="0.3">
      <c r="A38" s="1" t="s">
        <v>2522</v>
      </c>
      <c r="B38" s="1" t="s">
        <v>2523</v>
      </c>
      <c r="C38" s="1" t="s">
        <v>2524</v>
      </c>
      <c r="D38" s="1" t="s">
        <v>2508</v>
      </c>
      <c r="E38" s="1" t="s">
        <v>2125</v>
      </c>
      <c r="F38" s="1" t="s">
        <v>2508</v>
      </c>
      <c r="I38" s="1" t="s">
        <v>2080</v>
      </c>
      <c r="J38" s="1" t="s">
        <v>2325</v>
      </c>
      <c r="K38" s="1" t="s">
        <v>2325</v>
      </c>
      <c r="N38" s="1" t="s">
        <v>1152</v>
      </c>
      <c r="O38" s="2">
        <v>1</v>
      </c>
      <c r="P38" s="2">
        <v>0</v>
      </c>
      <c r="Q38" s="2">
        <v>0</v>
      </c>
      <c r="R38" s="2">
        <v>0</v>
      </c>
      <c r="S38" s="2">
        <v>0</v>
      </c>
      <c r="U38" s="1" t="s">
        <v>1885</v>
      </c>
      <c r="W38" s="1" t="s">
        <v>1161</v>
      </c>
      <c r="X38" s="1" t="s">
        <v>1640</v>
      </c>
      <c r="Y38" s="1" t="s">
        <v>1892</v>
      </c>
      <c r="AA38" s="1" t="s">
        <v>1641</v>
      </c>
      <c r="AN38" s="1" t="s">
        <v>1179</v>
      </c>
      <c r="AO38" s="2">
        <v>50</v>
      </c>
      <c r="AP38" s="1" t="s">
        <v>1871</v>
      </c>
      <c r="AR38" s="1" t="s">
        <v>1649</v>
      </c>
      <c r="AS38" s="1" t="s">
        <v>1163</v>
      </c>
      <c r="AT38" s="1" t="s">
        <v>1155</v>
      </c>
      <c r="AU38" s="1" t="s">
        <v>1182</v>
      </c>
      <c r="AV38" s="1" t="s">
        <v>2525</v>
      </c>
      <c r="AW38" s="2">
        <v>0</v>
      </c>
      <c r="AX38" s="2">
        <v>0</v>
      </c>
      <c r="AY38" s="2">
        <v>0</v>
      </c>
      <c r="AZ38" s="2">
        <v>0</v>
      </c>
      <c r="BA38" s="2">
        <v>1</v>
      </c>
      <c r="BB38" s="2">
        <v>0</v>
      </c>
      <c r="BC38" s="2">
        <v>0</v>
      </c>
      <c r="BD38" s="2">
        <v>0</v>
      </c>
      <c r="BO38" s="1" t="s">
        <v>1161</v>
      </c>
      <c r="BP38" s="2">
        <v>0</v>
      </c>
      <c r="BQ38" s="2">
        <v>0</v>
      </c>
      <c r="BR38" s="2">
        <v>0</v>
      </c>
      <c r="BS38" s="2">
        <v>0</v>
      </c>
      <c r="BT38" s="2">
        <v>0</v>
      </c>
      <c r="BU38" s="2">
        <v>0</v>
      </c>
      <c r="BV38" s="2">
        <v>0</v>
      </c>
      <c r="BW38" s="2">
        <v>1</v>
      </c>
      <c r="BX38" s="2">
        <v>0</v>
      </c>
      <c r="BY38" s="2">
        <v>0</v>
      </c>
      <c r="BZ38" s="2">
        <v>0</v>
      </c>
      <c r="CA38" s="2">
        <v>0</v>
      </c>
      <c r="CC38" s="1" t="s">
        <v>1154</v>
      </c>
      <c r="DQ38" s="1" t="s">
        <v>1385</v>
      </c>
      <c r="DR38" s="2">
        <v>1</v>
      </c>
      <c r="DS38" s="2">
        <v>0</v>
      </c>
      <c r="DT38" s="2">
        <v>0</v>
      </c>
      <c r="DU38" s="2">
        <v>0</v>
      </c>
      <c r="DV38" s="2">
        <v>0</v>
      </c>
      <c r="DX38" s="1" t="s">
        <v>2526</v>
      </c>
      <c r="DY38" s="2">
        <v>1</v>
      </c>
      <c r="DZ38" s="2">
        <v>0</v>
      </c>
      <c r="EA38" s="2">
        <v>0</v>
      </c>
      <c r="EB38" s="2">
        <v>0</v>
      </c>
      <c r="EC38" s="2">
        <v>0</v>
      </c>
      <c r="ED38" s="2">
        <v>0</v>
      </c>
      <c r="EE38" s="2">
        <v>0</v>
      </c>
      <c r="EF38" s="2">
        <v>0</v>
      </c>
      <c r="EG38" s="2">
        <v>1</v>
      </c>
      <c r="EH38" s="2">
        <v>0</v>
      </c>
      <c r="EI38" s="2">
        <v>0</v>
      </c>
      <c r="EJ38" s="2">
        <v>0</v>
      </c>
      <c r="EK38" s="2">
        <v>1</v>
      </c>
      <c r="EM38" s="1" t="s">
        <v>1153</v>
      </c>
      <c r="EN38" s="2">
        <v>0</v>
      </c>
      <c r="EO38" s="2">
        <v>0</v>
      </c>
      <c r="EP38" s="2">
        <v>0</v>
      </c>
      <c r="EQ38" s="2">
        <v>0</v>
      </c>
      <c r="ER38" s="2">
        <v>0</v>
      </c>
      <c r="ES38" s="2">
        <v>0</v>
      </c>
      <c r="ET38" s="2">
        <v>0</v>
      </c>
      <c r="EU38" s="2">
        <v>0</v>
      </c>
      <c r="EV38" s="2">
        <v>0</v>
      </c>
      <c r="EW38" s="2">
        <v>0</v>
      </c>
      <c r="EX38" s="2">
        <v>0</v>
      </c>
      <c r="EY38" s="2">
        <v>1</v>
      </c>
      <c r="EZ38" s="2">
        <v>0</v>
      </c>
      <c r="FA38" s="1" t="s">
        <v>2527</v>
      </c>
      <c r="FB38" s="1" t="s">
        <v>1154</v>
      </c>
      <c r="GI38" s="1" t="s">
        <v>1503</v>
      </c>
      <c r="GJ38" s="2">
        <v>0</v>
      </c>
      <c r="GK38" s="2">
        <v>0</v>
      </c>
      <c r="GL38" s="2">
        <v>0</v>
      </c>
      <c r="GM38" s="2">
        <v>0</v>
      </c>
      <c r="GN38" s="2">
        <v>0</v>
      </c>
      <c r="GO38" s="2">
        <v>0</v>
      </c>
      <c r="GP38" s="2">
        <v>1</v>
      </c>
      <c r="GQ38" s="2">
        <v>0</v>
      </c>
      <c r="GR38" s="2">
        <v>0</v>
      </c>
      <c r="GS38" s="2">
        <v>1</v>
      </c>
      <c r="GT38" s="2">
        <v>0</v>
      </c>
      <c r="GU38" s="2">
        <v>0</v>
      </c>
      <c r="GV38" s="2">
        <v>0</v>
      </c>
      <c r="AVS38" s="1">
        <v>134225142</v>
      </c>
      <c r="AVT38" s="1" t="s">
        <v>2528</v>
      </c>
      <c r="AVV38" s="1">
        <v>183</v>
      </c>
    </row>
    <row r="39" spans="1:980 1267:1270" x14ac:dyDescent="0.3">
      <c r="A39" s="1" t="s">
        <v>2529</v>
      </c>
      <c r="B39" s="1" t="s">
        <v>2530</v>
      </c>
      <c r="C39" s="1" t="s">
        <v>2531</v>
      </c>
      <c r="D39" s="1" t="s">
        <v>2508</v>
      </c>
      <c r="E39" s="1" t="s">
        <v>2125</v>
      </c>
      <c r="F39" s="1" t="s">
        <v>2508</v>
      </c>
      <c r="I39" s="1" t="s">
        <v>2080</v>
      </c>
      <c r="J39" s="1" t="s">
        <v>2325</v>
      </c>
      <c r="K39" s="1" t="s">
        <v>2325</v>
      </c>
      <c r="N39" s="1" t="s">
        <v>1152</v>
      </c>
      <c r="O39" s="2">
        <v>1</v>
      </c>
      <c r="P39" s="2">
        <v>0</v>
      </c>
      <c r="Q39" s="2">
        <v>0</v>
      </c>
      <c r="R39" s="2">
        <v>0</v>
      </c>
      <c r="S39" s="2">
        <v>0</v>
      </c>
      <c r="U39" s="1" t="s">
        <v>1654</v>
      </c>
      <c r="W39" s="1" t="s">
        <v>1155</v>
      </c>
      <c r="X39" s="1" t="s">
        <v>1155</v>
      </c>
      <c r="AN39" s="1" t="s">
        <v>1179</v>
      </c>
      <c r="AO39" s="2">
        <v>75</v>
      </c>
      <c r="AP39" s="1" t="s">
        <v>1871</v>
      </c>
      <c r="AR39" s="1" t="s">
        <v>1649</v>
      </c>
      <c r="AS39" s="1" t="s">
        <v>1653</v>
      </c>
      <c r="AT39" s="1" t="s">
        <v>1154</v>
      </c>
      <c r="BO39" s="1" t="s">
        <v>1184</v>
      </c>
      <c r="BP39" s="2">
        <v>1</v>
      </c>
      <c r="BQ39" s="2">
        <v>0</v>
      </c>
      <c r="BR39" s="2">
        <v>0</v>
      </c>
      <c r="BS39" s="2">
        <v>0</v>
      </c>
      <c r="BT39" s="2">
        <v>0</v>
      </c>
      <c r="BU39" s="2">
        <v>0</v>
      </c>
      <c r="BV39" s="2">
        <v>0</v>
      </c>
      <c r="BW39" s="2">
        <v>0</v>
      </c>
      <c r="BX39" s="2">
        <v>0</v>
      </c>
      <c r="BY39" s="2">
        <v>0</v>
      </c>
      <c r="BZ39" s="2">
        <v>0</v>
      </c>
      <c r="CA39" s="2">
        <v>0</v>
      </c>
      <c r="CC39" s="1" t="s">
        <v>1154</v>
      </c>
      <c r="DQ39" s="1" t="s">
        <v>1385</v>
      </c>
      <c r="DR39" s="2">
        <v>1</v>
      </c>
      <c r="DS39" s="2">
        <v>0</v>
      </c>
      <c r="DT39" s="2">
        <v>0</v>
      </c>
      <c r="DU39" s="2">
        <v>0</v>
      </c>
      <c r="DV39" s="2">
        <v>0</v>
      </c>
      <c r="DX39" s="1" t="s">
        <v>2096</v>
      </c>
      <c r="DY39" s="2">
        <v>0</v>
      </c>
      <c r="DZ39" s="2">
        <v>0</v>
      </c>
      <c r="EA39" s="2">
        <v>0</v>
      </c>
      <c r="EB39" s="2">
        <v>0</v>
      </c>
      <c r="EC39" s="2">
        <v>0</v>
      </c>
      <c r="ED39" s="2">
        <v>1</v>
      </c>
      <c r="EE39" s="2">
        <v>0</v>
      </c>
      <c r="EF39" s="2">
        <v>0</v>
      </c>
      <c r="EG39" s="2">
        <v>1</v>
      </c>
      <c r="EH39" s="2">
        <v>0</v>
      </c>
      <c r="EI39" s="2">
        <v>0</v>
      </c>
      <c r="EJ39" s="2">
        <v>0</v>
      </c>
      <c r="EK39" s="2">
        <v>1</v>
      </c>
      <c r="EM39" s="1" t="s">
        <v>1163</v>
      </c>
      <c r="EN39" s="2">
        <v>0</v>
      </c>
      <c r="EO39" s="2">
        <v>0</v>
      </c>
      <c r="EP39" s="2">
        <v>0</v>
      </c>
      <c r="EQ39" s="2">
        <v>0</v>
      </c>
      <c r="ER39" s="2">
        <v>0</v>
      </c>
      <c r="ES39" s="2">
        <v>0</v>
      </c>
      <c r="ET39" s="2">
        <v>0</v>
      </c>
      <c r="EU39" s="2">
        <v>0</v>
      </c>
      <c r="EV39" s="2">
        <v>0</v>
      </c>
      <c r="EW39" s="2">
        <v>1</v>
      </c>
      <c r="EX39" s="2">
        <v>0</v>
      </c>
      <c r="EY39" s="2">
        <v>0</v>
      </c>
      <c r="EZ39" s="2">
        <v>0</v>
      </c>
      <c r="FB39" s="1" t="s">
        <v>1154</v>
      </c>
      <c r="GI39" s="1" t="s">
        <v>2532</v>
      </c>
      <c r="GJ39" s="2">
        <v>0</v>
      </c>
      <c r="GK39" s="2">
        <v>0</v>
      </c>
      <c r="GL39" s="2">
        <v>1</v>
      </c>
      <c r="GM39" s="2">
        <v>0</v>
      </c>
      <c r="GN39" s="2">
        <v>1</v>
      </c>
      <c r="GO39" s="2">
        <v>0</v>
      </c>
      <c r="GP39" s="2">
        <v>0</v>
      </c>
      <c r="GQ39" s="2">
        <v>0</v>
      </c>
      <c r="GR39" s="2">
        <v>0</v>
      </c>
      <c r="GS39" s="2">
        <v>1</v>
      </c>
      <c r="GT39" s="2">
        <v>1</v>
      </c>
      <c r="GU39" s="2">
        <v>0</v>
      </c>
      <c r="GV39" s="2">
        <v>0</v>
      </c>
      <c r="AVS39" s="1">
        <v>134225151</v>
      </c>
      <c r="AVT39" s="1" t="s">
        <v>2533</v>
      </c>
      <c r="AVV39" s="1">
        <v>184</v>
      </c>
    </row>
    <row r="40" spans="1:980 1267:1270" x14ac:dyDescent="0.3">
      <c r="A40" s="1" t="s">
        <v>2534</v>
      </c>
      <c r="B40" s="1" t="s">
        <v>2535</v>
      </c>
      <c r="C40" s="1" t="s">
        <v>2536</v>
      </c>
      <c r="D40" s="1" t="s">
        <v>2508</v>
      </c>
      <c r="E40" s="1" t="s">
        <v>2125</v>
      </c>
      <c r="F40" s="1" t="s">
        <v>2508</v>
      </c>
      <c r="I40" s="1" t="s">
        <v>2080</v>
      </c>
      <c r="J40" s="1" t="s">
        <v>2325</v>
      </c>
      <c r="K40" s="1" t="s">
        <v>2325</v>
      </c>
      <c r="N40" s="1" t="s">
        <v>1152</v>
      </c>
      <c r="O40" s="2">
        <v>1</v>
      </c>
      <c r="P40" s="2">
        <v>0</v>
      </c>
      <c r="Q40" s="2">
        <v>0</v>
      </c>
      <c r="R40" s="2">
        <v>0</v>
      </c>
      <c r="S40" s="2">
        <v>0</v>
      </c>
      <c r="U40" s="1" t="s">
        <v>1654</v>
      </c>
      <c r="W40" s="1" t="s">
        <v>1154</v>
      </c>
      <c r="X40" s="1" t="s">
        <v>1154</v>
      </c>
      <c r="AB40" s="1" t="s">
        <v>2242</v>
      </c>
      <c r="AC40" s="2">
        <v>0</v>
      </c>
      <c r="AD40" s="2">
        <v>0</v>
      </c>
      <c r="AE40" s="2">
        <v>0</v>
      </c>
      <c r="AF40" s="2">
        <v>0</v>
      </c>
      <c r="AG40" s="2">
        <v>0</v>
      </c>
      <c r="AH40" s="2">
        <v>0</v>
      </c>
      <c r="AI40" s="2">
        <v>1</v>
      </c>
      <c r="AJ40" s="2">
        <v>0</v>
      </c>
      <c r="AK40" s="2">
        <v>0</v>
      </c>
      <c r="AM40" s="1" t="s">
        <v>1893</v>
      </c>
      <c r="BO40" s="1" t="s">
        <v>1951</v>
      </c>
      <c r="BP40" s="2">
        <v>0</v>
      </c>
      <c r="BQ40" s="2">
        <v>0</v>
      </c>
      <c r="BR40" s="2">
        <v>0</v>
      </c>
      <c r="BS40" s="2">
        <v>0</v>
      </c>
      <c r="BT40" s="2">
        <v>1</v>
      </c>
      <c r="BU40" s="2">
        <v>0</v>
      </c>
      <c r="BV40" s="2">
        <v>0</v>
      </c>
      <c r="BW40" s="2">
        <v>0</v>
      </c>
      <c r="BX40" s="2">
        <v>0</v>
      </c>
      <c r="BY40" s="2">
        <v>0</v>
      </c>
      <c r="BZ40" s="2">
        <v>0</v>
      </c>
      <c r="CA40" s="2">
        <v>0</v>
      </c>
      <c r="FB40" s="1" t="s">
        <v>1154</v>
      </c>
      <c r="GI40" s="1" t="s">
        <v>1921</v>
      </c>
      <c r="GJ40" s="2">
        <v>0</v>
      </c>
      <c r="GK40" s="2">
        <v>0</v>
      </c>
      <c r="GL40" s="2">
        <v>0</v>
      </c>
      <c r="GM40" s="2">
        <v>0</v>
      </c>
      <c r="GN40" s="2">
        <v>0</v>
      </c>
      <c r="GO40" s="2">
        <v>0</v>
      </c>
      <c r="GP40" s="2">
        <v>1</v>
      </c>
      <c r="GQ40" s="2">
        <v>0</v>
      </c>
      <c r="GR40" s="2">
        <v>0</v>
      </c>
      <c r="GS40" s="2">
        <v>0</v>
      </c>
      <c r="GT40" s="2">
        <v>0</v>
      </c>
      <c r="GU40" s="2">
        <v>0</v>
      </c>
      <c r="GV40" s="2">
        <v>0</v>
      </c>
      <c r="AVS40" s="1">
        <v>134225165</v>
      </c>
      <c r="AVT40" s="1" t="s">
        <v>2537</v>
      </c>
      <c r="AVV40" s="1">
        <v>185</v>
      </c>
    </row>
    <row r="41" spans="1:980 1267:1270" x14ac:dyDescent="0.3">
      <c r="A41" s="1" t="s">
        <v>2538</v>
      </c>
      <c r="B41" s="1" t="s">
        <v>2539</v>
      </c>
      <c r="C41" s="1" t="s">
        <v>2540</v>
      </c>
      <c r="D41" s="1" t="s">
        <v>2508</v>
      </c>
      <c r="E41" s="1" t="s">
        <v>2125</v>
      </c>
      <c r="F41" s="1" t="s">
        <v>2508</v>
      </c>
      <c r="I41" s="1" t="s">
        <v>2080</v>
      </c>
      <c r="J41" s="1" t="s">
        <v>2325</v>
      </c>
      <c r="K41" s="1" t="s">
        <v>2325</v>
      </c>
      <c r="N41" s="1" t="s">
        <v>1152</v>
      </c>
      <c r="O41" s="2">
        <v>1</v>
      </c>
      <c r="P41" s="2">
        <v>0</v>
      </c>
      <c r="Q41" s="2">
        <v>0</v>
      </c>
      <c r="R41" s="2">
        <v>0</v>
      </c>
      <c r="S41" s="2">
        <v>0</v>
      </c>
      <c r="U41" s="1" t="s">
        <v>1654</v>
      </c>
      <c r="W41" s="1" t="s">
        <v>1155</v>
      </c>
      <c r="X41" s="1" t="s">
        <v>1640</v>
      </c>
      <c r="Y41" s="1" t="s">
        <v>1181</v>
      </c>
      <c r="AA41" s="1" t="s">
        <v>1915</v>
      </c>
      <c r="AN41" s="1" t="s">
        <v>1179</v>
      </c>
      <c r="AO41" s="2">
        <v>150</v>
      </c>
      <c r="AP41" s="1" t="s">
        <v>1871</v>
      </c>
      <c r="AR41" s="1" t="s">
        <v>1642</v>
      </c>
      <c r="AS41" s="1" t="s">
        <v>1655</v>
      </c>
      <c r="AT41" s="1" t="s">
        <v>1155</v>
      </c>
      <c r="AU41" s="1" t="s">
        <v>1156</v>
      </c>
      <c r="AV41" s="1" t="s">
        <v>2541</v>
      </c>
      <c r="AW41" s="2">
        <v>0</v>
      </c>
      <c r="AX41" s="2">
        <v>0</v>
      </c>
      <c r="AY41" s="2">
        <v>0</v>
      </c>
      <c r="AZ41" s="2">
        <v>1</v>
      </c>
      <c r="BA41" s="2">
        <v>1</v>
      </c>
      <c r="BB41" s="2">
        <v>0</v>
      </c>
      <c r="BC41" s="2">
        <v>0</v>
      </c>
      <c r="BD41" s="2">
        <v>0</v>
      </c>
      <c r="BO41" s="1" t="s">
        <v>1157</v>
      </c>
      <c r="BP41" s="2">
        <v>0</v>
      </c>
      <c r="BQ41" s="2">
        <v>0</v>
      </c>
      <c r="BR41" s="2">
        <v>0</v>
      </c>
      <c r="BS41" s="2">
        <v>0</v>
      </c>
      <c r="BT41" s="2">
        <v>0</v>
      </c>
      <c r="BU41" s="2">
        <v>1</v>
      </c>
      <c r="BV41" s="2">
        <v>0</v>
      </c>
      <c r="BW41" s="2">
        <v>0</v>
      </c>
      <c r="BX41" s="2">
        <v>0</v>
      </c>
      <c r="BY41" s="2">
        <v>0</v>
      </c>
      <c r="BZ41" s="2">
        <v>0</v>
      </c>
      <c r="CA41" s="2">
        <v>0</v>
      </c>
      <c r="CC41" s="1" t="s">
        <v>1154</v>
      </c>
      <c r="DQ41" s="1" t="s">
        <v>1163</v>
      </c>
      <c r="DR41" s="2">
        <v>0</v>
      </c>
      <c r="DS41" s="2">
        <v>0</v>
      </c>
      <c r="DT41" s="2">
        <v>0</v>
      </c>
      <c r="DU41" s="2">
        <v>0</v>
      </c>
      <c r="DV41" s="2">
        <v>1</v>
      </c>
      <c r="DX41" s="1" t="s">
        <v>2096</v>
      </c>
      <c r="DY41" s="2">
        <v>0</v>
      </c>
      <c r="DZ41" s="2">
        <v>0</v>
      </c>
      <c r="EA41" s="2">
        <v>0</v>
      </c>
      <c r="EB41" s="2">
        <v>0</v>
      </c>
      <c r="EC41" s="2">
        <v>0</v>
      </c>
      <c r="ED41" s="2">
        <v>1</v>
      </c>
      <c r="EE41" s="2">
        <v>0</v>
      </c>
      <c r="EF41" s="2">
        <v>0</v>
      </c>
      <c r="EG41" s="2">
        <v>1</v>
      </c>
      <c r="EH41" s="2">
        <v>0</v>
      </c>
      <c r="EI41" s="2">
        <v>0</v>
      </c>
      <c r="EJ41" s="2">
        <v>0</v>
      </c>
      <c r="EK41" s="2">
        <v>1</v>
      </c>
      <c r="EM41" s="1" t="s">
        <v>1189</v>
      </c>
      <c r="EN41" s="2">
        <v>0</v>
      </c>
      <c r="EO41" s="2">
        <v>0</v>
      </c>
      <c r="EP41" s="2">
        <v>0</v>
      </c>
      <c r="EQ41" s="2">
        <v>0</v>
      </c>
      <c r="ER41" s="2">
        <v>1</v>
      </c>
      <c r="ES41" s="2">
        <v>0</v>
      </c>
      <c r="ET41" s="2">
        <v>0</v>
      </c>
      <c r="EU41" s="2">
        <v>0</v>
      </c>
      <c r="EV41" s="2">
        <v>0</v>
      </c>
      <c r="EW41" s="2">
        <v>0</v>
      </c>
      <c r="EX41" s="2">
        <v>0</v>
      </c>
      <c r="EY41" s="2">
        <v>0</v>
      </c>
      <c r="EZ41" s="2">
        <v>0</v>
      </c>
      <c r="FB41" s="1" t="s">
        <v>1154</v>
      </c>
      <c r="GI41" s="1" t="s">
        <v>2542</v>
      </c>
      <c r="GJ41" s="2">
        <v>0</v>
      </c>
      <c r="GK41" s="2">
        <v>0</v>
      </c>
      <c r="GL41" s="2">
        <v>0</v>
      </c>
      <c r="GM41" s="2">
        <v>0</v>
      </c>
      <c r="GN41" s="2">
        <v>0</v>
      </c>
      <c r="GO41" s="2">
        <v>0</v>
      </c>
      <c r="GP41" s="2">
        <v>1</v>
      </c>
      <c r="GQ41" s="2">
        <v>0</v>
      </c>
      <c r="GR41" s="2">
        <v>0</v>
      </c>
      <c r="GS41" s="2">
        <v>1</v>
      </c>
      <c r="GT41" s="2">
        <v>1</v>
      </c>
      <c r="GU41" s="2">
        <v>0</v>
      </c>
      <c r="GV41" s="2">
        <v>0</v>
      </c>
      <c r="AVS41" s="1">
        <v>134225175</v>
      </c>
      <c r="AVT41" s="1" t="s">
        <v>2543</v>
      </c>
      <c r="AVV41" s="1">
        <v>186</v>
      </c>
    </row>
    <row r="42" spans="1:980 1267:1270" x14ac:dyDescent="0.3">
      <c r="A42" s="1" t="s">
        <v>2544</v>
      </c>
      <c r="B42" s="1" t="s">
        <v>2545</v>
      </c>
      <c r="C42" s="1" t="s">
        <v>2546</v>
      </c>
      <c r="D42" s="1" t="s">
        <v>2501</v>
      </c>
      <c r="E42" s="1" t="s">
        <v>2211</v>
      </c>
      <c r="F42" s="1" t="s">
        <v>2501</v>
      </c>
      <c r="I42" s="1" t="s">
        <v>2080</v>
      </c>
      <c r="J42" s="1" t="s">
        <v>2325</v>
      </c>
      <c r="K42" s="1" t="s">
        <v>2325</v>
      </c>
      <c r="N42" s="1" t="s">
        <v>1152</v>
      </c>
      <c r="O42" s="2">
        <v>1</v>
      </c>
      <c r="P42" s="2">
        <v>0</v>
      </c>
      <c r="Q42" s="2">
        <v>0</v>
      </c>
      <c r="R42" s="2">
        <v>0</v>
      </c>
      <c r="S42" s="2">
        <v>0</v>
      </c>
      <c r="U42" s="1" t="s">
        <v>1654</v>
      </c>
      <c r="W42" s="1" t="s">
        <v>1155</v>
      </c>
      <c r="X42" s="1" t="s">
        <v>1155</v>
      </c>
      <c r="AN42" s="1" t="s">
        <v>1179</v>
      </c>
      <c r="AO42" s="2">
        <v>30</v>
      </c>
      <c r="AP42" s="1" t="s">
        <v>1957</v>
      </c>
      <c r="AR42" s="1" t="s">
        <v>1649</v>
      </c>
      <c r="AS42" s="1" t="s">
        <v>1653</v>
      </c>
      <c r="AT42" s="1" t="s">
        <v>1155</v>
      </c>
      <c r="AU42" s="1" t="s">
        <v>1156</v>
      </c>
      <c r="AV42" s="1" t="s">
        <v>1186</v>
      </c>
      <c r="AW42" s="2">
        <v>1</v>
      </c>
      <c r="AX42" s="2">
        <v>0</v>
      </c>
      <c r="AY42" s="2">
        <v>0</v>
      </c>
      <c r="AZ42" s="2">
        <v>0</v>
      </c>
      <c r="BA42" s="2">
        <v>0</v>
      </c>
      <c r="BB42" s="2">
        <v>0</v>
      </c>
      <c r="BC42" s="2">
        <v>0</v>
      </c>
      <c r="BD42" s="2">
        <v>0</v>
      </c>
      <c r="BO42" s="1" t="s">
        <v>1157</v>
      </c>
      <c r="BP42" s="2">
        <v>0</v>
      </c>
      <c r="BQ42" s="2">
        <v>0</v>
      </c>
      <c r="BR42" s="2">
        <v>0</v>
      </c>
      <c r="BS42" s="2">
        <v>0</v>
      </c>
      <c r="BT42" s="2">
        <v>0</v>
      </c>
      <c r="BU42" s="2">
        <v>1</v>
      </c>
      <c r="BV42" s="2">
        <v>0</v>
      </c>
      <c r="BW42" s="2">
        <v>0</v>
      </c>
      <c r="BX42" s="2">
        <v>0</v>
      </c>
      <c r="BY42" s="2">
        <v>0</v>
      </c>
      <c r="BZ42" s="2">
        <v>0</v>
      </c>
      <c r="CA42" s="2">
        <v>0</v>
      </c>
      <c r="CC42" s="1" t="s">
        <v>1155</v>
      </c>
      <c r="CD42" s="1" t="s">
        <v>1979</v>
      </c>
      <c r="CF42" s="2">
        <v>200</v>
      </c>
      <c r="CG42" s="1" t="s">
        <v>1154</v>
      </c>
      <c r="CY42" s="1" t="s">
        <v>1158</v>
      </c>
      <c r="CZ42" s="2">
        <v>0</v>
      </c>
      <c r="DA42" s="2">
        <v>0</v>
      </c>
      <c r="DB42" s="2">
        <v>1</v>
      </c>
      <c r="DC42" s="2">
        <v>0</v>
      </c>
      <c r="DD42" s="2">
        <v>0</v>
      </c>
      <c r="DE42" s="2">
        <v>0</v>
      </c>
      <c r="DF42" s="2">
        <v>0</v>
      </c>
      <c r="DG42" s="2">
        <v>0</v>
      </c>
      <c r="DI42" s="1" t="s">
        <v>1155</v>
      </c>
      <c r="DJ42" s="1" t="s">
        <v>2224</v>
      </c>
      <c r="DK42" s="2">
        <v>0</v>
      </c>
      <c r="DL42" s="2">
        <v>1</v>
      </c>
      <c r="DM42" s="2">
        <v>0</v>
      </c>
      <c r="DN42" s="2">
        <v>0</v>
      </c>
      <c r="DO42" s="2">
        <v>0</v>
      </c>
      <c r="DQ42" s="1" t="s">
        <v>1385</v>
      </c>
      <c r="DR42" s="2">
        <v>1</v>
      </c>
      <c r="DS42" s="2">
        <v>0</v>
      </c>
      <c r="DT42" s="2">
        <v>0</v>
      </c>
      <c r="DU42" s="2">
        <v>0</v>
      </c>
      <c r="DV42" s="2">
        <v>0</v>
      </c>
      <c r="DX42" s="1" t="s">
        <v>1922</v>
      </c>
      <c r="DY42" s="2">
        <v>0</v>
      </c>
      <c r="DZ42" s="2">
        <v>1</v>
      </c>
      <c r="EA42" s="2">
        <v>0</v>
      </c>
      <c r="EB42" s="2">
        <v>0</v>
      </c>
      <c r="EC42" s="2">
        <v>0</v>
      </c>
      <c r="ED42" s="2">
        <v>0</v>
      </c>
      <c r="EE42" s="2">
        <v>0</v>
      </c>
      <c r="EF42" s="2">
        <v>0</v>
      </c>
      <c r="EG42" s="2">
        <v>0</v>
      </c>
      <c r="EH42" s="2">
        <v>0</v>
      </c>
      <c r="EI42" s="2">
        <v>0</v>
      </c>
      <c r="EJ42" s="2">
        <v>0</v>
      </c>
      <c r="EK42" s="2">
        <v>0</v>
      </c>
      <c r="EM42" s="1" t="s">
        <v>1189</v>
      </c>
      <c r="EN42" s="2">
        <v>0</v>
      </c>
      <c r="EO42" s="2">
        <v>0</v>
      </c>
      <c r="EP42" s="2">
        <v>0</v>
      </c>
      <c r="EQ42" s="2">
        <v>0</v>
      </c>
      <c r="ER42" s="2">
        <v>1</v>
      </c>
      <c r="ES42" s="2">
        <v>0</v>
      </c>
      <c r="ET42" s="2">
        <v>0</v>
      </c>
      <c r="EU42" s="2">
        <v>0</v>
      </c>
      <c r="EV42" s="2">
        <v>0</v>
      </c>
      <c r="EW42" s="2">
        <v>0</v>
      </c>
      <c r="EX42" s="2">
        <v>0</v>
      </c>
      <c r="EY42" s="2">
        <v>0</v>
      </c>
      <c r="EZ42" s="2">
        <v>0</v>
      </c>
      <c r="FB42" s="1" t="s">
        <v>1155</v>
      </c>
      <c r="FC42" s="1" t="s">
        <v>1157</v>
      </c>
      <c r="FD42" s="2">
        <v>0</v>
      </c>
      <c r="FE42" s="2">
        <v>0</v>
      </c>
      <c r="FF42" s="2">
        <v>0</v>
      </c>
      <c r="FG42" s="2">
        <v>0</v>
      </c>
      <c r="FH42" s="2">
        <v>1</v>
      </c>
      <c r="FI42" s="2">
        <v>0</v>
      </c>
      <c r="FJ42" s="2">
        <v>0</v>
      </c>
      <c r="FL42" s="1" t="s">
        <v>1929</v>
      </c>
      <c r="FM42" s="2">
        <v>0</v>
      </c>
      <c r="FN42" s="2">
        <v>0</v>
      </c>
      <c r="FO42" s="2">
        <v>1</v>
      </c>
      <c r="FP42" s="2">
        <v>0</v>
      </c>
      <c r="FQ42" s="2">
        <v>0</v>
      </c>
      <c r="FR42" s="2">
        <v>0</v>
      </c>
      <c r="FS42" s="2">
        <v>0</v>
      </c>
      <c r="FT42" s="2">
        <v>0</v>
      </c>
      <c r="FU42" s="2">
        <v>0</v>
      </c>
      <c r="FV42" s="2">
        <v>0</v>
      </c>
      <c r="FW42" s="2">
        <v>0</v>
      </c>
      <c r="FX42" s="2">
        <v>0</v>
      </c>
      <c r="FY42" s="2">
        <v>0</v>
      </c>
      <c r="GA42" s="1" t="s">
        <v>1155</v>
      </c>
      <c r="GI42" s="1" t="s">
        <v>1929</v>
      </c>
      <c r="GJ42" s="2">
        <v>0</v>
      </c>
      <c r="GK42" s="2">
        <v>0</v>
      </c>
      <c r="GL42" s="2">
        <v>1</v>
      </c>
      <c r="GM42" s="2">
        <v>0</v>
      </c>
      <c r="GN42" s="2">
        <v>0</v>
      </c>
      <c r="GO42" s="2">
        <v>0</v>
      </c>
      <c r="GP42" s="2">
        <v>0</v>
      </c>
      <c r="GQ42" s="2">
        <v>0</v>
      </c>
      <c r="GR42" s="2">
        <v>0</v>
      </c>
      <c r="GS42" s="2">
        <v>0</v>
      </c>
      <c r="GT42" s="2">
        <v>0</v>
      </c>
      <c r="GU42" s="2">
        <v>0</v>
      </c>
      <c r="GV42" s="2">
        <v>0</v>
      </c>
      <c r="AVS42" s="1">
        <v>134225402</v>
      </c>
      <c r="AVT42" s="1" t="s">
        <v>2547</v>
      </c>
      <c r="AVV42" s="1">
        <v>187</v>
      </c>
    </row>
    <row r="43" spans="1:980 1267:1270" x14ac:dyDescent="0.3">
      <c r="A43" s="1" t="s">
        <v>2548</v>
      </c>
      <c r="B43" s="1" t="s">
        <v>2549</v>
      </c>
      <c r="C43" s="1" t="s">
        <v>2550</v>
      </c>
      <c r="D43" s="1" t="s">
        <v>2501</v>
      </c>
      <c r="E43" s="1" t="s">
        <v>2211</v>
      </c>
      <c r="F43" s="1" t="s">
        <v>2501</v>
      </c>
      <c r="I43" s="1" t="s">
        <v>2080</v>
      </c>
      <c r="J43" s="1" t="s">
        <v>2325</v>
      </c>
      <c r="K43" s="1" t="s">
        <v>2325</v>
      </c>
      <c r="N43" s="1" t="s">
        <v>1152</v>
      </c>
      <c r="O43" s="2">
        <v>1</v>
      </c>
      <c r="P43" s="2">
        <v>0</v>
      </c>
      <c r="Q43" s="2">
        <v>0</v>
      </c>
      <c r="R43" s="2">
        <v>0</v>
      </c>
      <c r="S43" s="2">
        <v>0</v>
      </c>
      <c r="U43" s="1" t="s">
        <v>1654</v>
      </c>
      <c r="W43" s="1" t="s">
        <v>1155</v>
      </c>
      <c r="X43" s="1" t="s">
        <v>1154</v>
      </c>
      <c r="AB43" s="1" t="s">
        <v>2242</v>
      </c>
      <c r="AC43" s="2">
        <v>0</v>
      </c>
      <c r="AD43" s="2">
        <v>0</v>
      </c>
      <c r="AE43" s="2">
        <v>0</v>
      </c>
      <c r="AF43" s="2">
        <v>0</v>
      </c>
      <c r="AG43" s="2">
        <v>0</v>
      </c>
      <c r="AH43" s="2">
        <v>0</v>
      </c>
      <c r="AI43" s="2">
        <v>1</v>
      </c>
      <c r="AJ43" s="2">
        <v>0</v>
      </c>
      <c r="AK43" s="2">
        <v>0</v>
      </c>
      <c r="AM43" s="1" t="s">
        <v>1637</v>
      </c>
      <c r="BO43" s="1" t="s">
        <v>1157</v>
      </c>
      <c r="BP43" s="2">
        <v>0</v>
      </c>
      <c r="BQ43" s="2">
        <v>0</v>
      </c>
      <c r="BR43" s="2">
        <v>0</v>
      </c>
      <c r="BS43" s="2">
        <v>0</v>
      </c>
      <c r="BT43" s="2">
        <v>0</v>
      </c>
      <c r="BU43" s="2">
        <v>1</v>
      </c>
      <c r="BV43" s="2">
        <v>0</v>
      </c>
      <c r="BW43" s="2">
        <v>0</v>
      </c>
      <c r="BX43" s="2">
        <v>0</v>
      </c>
      <c r="BY43" s="2">
        <v>0</v>
      </c>
      <c r="BZ43" s="2">
        <v>0</v>
      </c>
      <c r="CA43" s="2">
        <v>0</v>
      </c>
      <c r="FB43" s="1" t="s">
        <v>1154</v>
      </c>
      <c r="GI43" s="1" t="s">
        <v>1929</v>
      </c>
      <c r="GJ43" s="2">
        <v>0</v>
      </c>
      <c r="GK43" s="2">
        <v>0</v>
      </c>
      <c r="GL43" s="2">
        <v>1</v>
      </c>
      <c r="GM43" s="2">
        <v>0</v>
      </c>
      <c r="GN43" s="2">
        <v>0</v>
      </c>
      <c r="GO43" s="2">
        <v>0</v>
      </c>
      <c r="GP43" s="2">
        <v>0</v>
      </c>
      <c r="GQ43" s="2">
        <v>0</v>
      </c>
      <c r="GR43" s="2">
        <v>0</v>
      </c>
      <c r="GS43" s="2">
        <v>0</v>
      </c>
      <c r="GT43" s="2">
        <v>0</v>
      </c>
      <c r="GU43" s="2">
        <v>0</v>
      </c>
      <c r="GV43" s="2">
        <v>0</v>
      </c>
      <c r="AVS43" s="1">
        <v>134225459</v>
      </c>
      <c r="AVT43" s="1" t="s">
        <v>2551</v>
      </c>
      <c r="AVV43" s="1">
        <v>188</v>
      </c>
    </row>
    <row r="44" spans="1:980 1267:1270" x14ac:dyDescent="0.3">
      <c r="A44" s="1" t="s">
        <v>2552</v>
      </c>
      <c r="B44" s="1" t="s">
        <v>2553</v>
      </c>
      <c r="C44" s="1" t="s">
        <v>2554</v>
      </c>
      <c r="D44" s="1" t="s">
        <v>2501</v>
      </c>
      <c r="E44" s="1" t="s">
        <v>2211</v>
      </c>
      <c r="F44" s="1" t="s">
        <v>2501</v>
      </c>
      <c r="I44" s="1" t="s">
        <v>2080</v>
      </c>
      <c r="J44" s="1" t="s">
        <v>2325</v>
      </c>
      <c r="K44" s="1" t="s">
        <v>2325</v>
      </c>
      <c r="N44" s="1" t="s">
        <v>1152</v>
      </c>
      <c r="O44" s="2">
        <v>1</v>
      </c>
      <c r="P44" s="2">
        <v>0</v>
      </c>
      <c r="Q44" s="2">
        <v>0</v>
      </c>
      <c r="R44" s="2">
        <v>0</v>
      </c>
      <c r="S44" s="2">
        <v>0</v>
      </c>
      <c r="U44" s="1" t="s">
        <v>1654</v>
      </c>
      <c r="W44" s="1" t="s">
        <v>1155</v>
      </c>
      <c r="X44" s="1" t="s">
        <v>1154</v>
      </c>
      <c r="AB44" s="1" t="s">
        <v>1955</v>
      </c>
      <c r="AC44" s="2">
        <v>0</v>
      </c>
      <c r="AD44" s="2">
        <v>0</v>
      </c>
      <c r="AE44" s="2">
        <v>0</v>
      </c>
      <c r="AF44" s="2">
        <v>0</v>
      </c>
      <c r="AG44" s="2">
        <v>0</v>
      </c>
      <c r="AH44" s="2">
        <v>1</v>
      </c>
      <c r="AI44" s="2">
        <v>0</v>
      </c>
      <c r="AJ44" s="2">
        <v>0</v>
      </c>
      <c r="AK44" s="2">
        <v>0</v>
      </c>
      <c r="AM44" s="1" t="s">
        <v>1893</v>
      </c>
      <c r="BO44" s="1" t="s">
        <v>1157</v>
      </c>
      <c r="BP44" s="2">
        <v>0</v>
      </c>
      <c r="BQ44" s="2">
        <v>0</v>
      </c>
      <c r="BR44" s="2">
        <v>0</v>
      </c>
      <c r="BS44" s="2">
        <v>0</v>
      </c>
      <c r="BT44" s="2">
        <v>0</v>
      </c>
      <c r="BU44" s="2">
        <v>1</v>
      </c>
      <c r="BV44" s="2">
        <v>0</v>
      </c>
      <c r="BW44" s="2">
        <v>0</v>
      </c>
      <c r="BX44" s="2">
        <v>0</v>
      </c>
      <c r="BY44" s="2">
        <v>0</v>
      </c>
      <c r="BZ44" s="2">
        <v>0</v>
      </c>
      <c r="CA44" s="2">
        <v>0</v>
      </c>
      <c r="FB44" s="1" t="s">
        <v>1155</v>
      </c>
      <c r="FC44" s="1" t="s">
        <v>1157</v>
      </c>
      <c r="FD44" s="2">
        <v>0</v>
      </c>
      <c r="FE44" s="2">
        <v>0</v>
      </c>
      <c r="FF44" s="2">
        <v>0</v>
      </c>
      <c r="FG44" s="2">
        <v>0</v>
      </c>
      <c r="FH44" s="2">
        <v>1</v>
      </c>
      <c r="FI44" s="2">
        <v>0</v>
      </c>
      <c r="FJ44" s="2">
        <v>0</v>
      </c>
      <c r="FL44" s="1" t="s">
        <v>1929</v>
      </c>
      <c r="FM44" s="2">
        <v>0</v>
      </c>
      <c r="FN44" s="2">
        <v>0</v>
      </c>
      <c r="FO44" s="2">
        <v>1</v>
      </c>
      <c r="FP44" s="2">
        <v>0</v>
      </c>
      <c r="FQ44" s="2">
        <v>0</v>
      </c>
      <c r="FR44" s="2">
        <v>0</v>
      </c>
      <c r="FS44" s="2">
        <v>0</v>
      </c>
      <c r="FT44" s="2">
        <v>0</v>
      </c>
      <c r="FU44" s="2">
        <v>0</v>
      </c>
      <c r="FV44" s="2">
        <v>0</v>
      </c>
      <c r="FW44" s="2">
        <v>0</v>
      </c>
      <c r="FX44" s="2">
        <v>0</v>
      </c>
      <c r="FY44" s="2">
        <v>0</v>
      </c>
      <c r="GA44" s="1" t="s">
        <v>1155</v>
      </c>
      <c r="GI44" s="1" t="s">
        <v>1927</v>
      </c>
      <c r="GJ44" s="2">
        <v>0</v>
      </c>
      <c r="GK44" s="2">
        <v>0</v>
      </c>
      <c r="GL44" s="2">
        <v>0</v>
      </c>
      <c r="GM44" s="2">
        <v>0</v>
      </c>
      <c r="GN44" s="2">
        <v>0</v>
      </c>
      <c r="GO44" s="2">
        <v>0</v>
      </c>
      <c r="GP44" s="2">
        <v>0</v>
      </c>
      <c r="GQ44" s="2">
        <v>0</v>
      </c>
      <c r="GR44" s="2">
        <v>0</v>
      </c>
      <c r="GS44" s="2">
        <v>0</v>
      </c>
      <c r="GT44" s="2">
        <v>1</v>
      </c>
      <c r="GU44" s="2">
        <v>0</v>
      </c>
      <c r="GV44" s="2">
        <v>0</v>
      </c>
      <c r="AVS44" s="1">
        <v>134225716</v>
      </c>
      <c r="AVT44" s="1" t="s">
        <v>2555</v>
      </c>
      <c r="AVV44" s="1">
        <v>189</v>
      </c>
    </row>
    <row r="45" spans="1:980 1267:1270" x14ac:dyDescent="0.3">
      <c r="A45" s="1" t="s">
        <v>2556</v>
      </c>
      <c r="B45" s="1" t="s">
        <v>2557</v>
      </c>
      <c r="C45" s="1" t="s">
        <v>2558</v>
      </c>
      <c r="D45" s="1" t="s">
        <v>2501</v>
      </c>
      <c r="E45" s="1" t="s">
        <v>2079</v>
      </c>
      <c r="F45" s="1" t="s">
        <v>2501</v>
      </c>
      <c r="I45" s="1" t="s">
        <v>2080</v>
      </c>
      <c r="J45" s="1" t="s">
        <v>2325</v>
      </c>
      <c r="K45" s="1" t="s">
        <v>2325</v>
      </c>
      <c r="N45" s="1" t="s">
        <v>1152</v>
      </c>
      <c r="O45" s="2">
        <v>1</v>
      </c>
      <c r="P45" s="2">
        <v>0</v>
      </c>
      <c r="Q45" s="2">
        <v>0</v>
      </c>
      <c r="R45" s="2">
        <v>0</v>
      </c>
      <c r="S45" s="2">
        <v>0</v>
      </c>
      <c r="U45" s="1" t="s">
        <v>1885</v>
      </c>
      <c r="W45" s="1" t="s">
        <v>1155</v>
      </c>
      <c r="X45" s="1" t="s">
        <v>1155</v>
      </c>
      <c r="AN45" s="1" t="s">
        <v>1154</v>
      </c>
      <c r="AO45" s="2">
        <v>75</v>
      </c>
      <c r="AP45" s="1" t="s">
        <v>1871</v>
      </c>
      <c r="AR45" s="1" t="s">
        <v>1649</v>
      </c>
      <c r="AS45" s="1" t="s">
        <v>1653</v>
      </c>
      <c r="AT45" s="1" t="s">
        <v>1155</v>
      </c>
      <c r="AU45" s="1" t="s">
        <v>1156</v>
      </c>
      <c r="AV45" s="1" t="s">
        <v>1186</v>
      </c>
      <c r="AW45" s="2">
        <v>1</v>
      </c>
      <c r="AX45" s="2">
        <v>0</v>
      </c>
      <c r="AY45" s="2">
        <v>0</v>
      </c>
      <c r="AZ45" s="2">
        <v>0</v>
      </c>
      <c r="BA45" s="2">
        <v>0</v>
      </c>
      <c r="BB45" s="2">
        <v>0</v>
      </c>
      <c r="BC45" s="2">
        <v>0</v>
      </c>
      <c r="BD45" s="2">
        <v>0</v>
      </c>
      <c r="BO45" s="1" t="s">
        <v>1959</v>
      </c>
      <c r="BP45" s="2">
        <v>0</v>
      </c>
      <c r="BQ45" s="2">
        <v>0</v>
      </c>
      <c r="BR45" s="2">
        <v>0</v>
      </c>
      <c r="BS45" s="2">
        <v>1</v>
      </c>
      <c r="BT45" s="2">
        <v>0</v>
      </c>
      <c r="BU45" s="2">
        <v>0</v>
      </c>
      <c r="BV45" s="2">
        <v>0</v>
      </c>
      <c r="BW45" s="2">
        <v>0</v>
      </c>
      <c r="BX45" s="2">
        <v>0</v>
      </c>
      <c r="BY45" s="2">
        <v>0</v>
      </c>
      <c r="BZ45" s="2">
        <v>0</v>
      </c>
      <c r="CA45" s="2">
        <v>0</v>
      </c>
      <c r="CC45" s="1" t="s">
        <v>1154</v>
      </c>
      <c r="DQ45" s="1" t="s">
        <v>1385</v>
      </c>
      <c r="DR45" s="2">
        <v>1</v>
      </c>
      <c r="DS45" s="2">
        <v>0</v>
      </c>
      <c r="DT45" s="2">
        <v>0</v>
      </c>
      <c r="DU45" s="2">
        <v>0</v>
      </c>
      <c r="DV45" s="2">
        <v>0</v>
      </c>
      <c r="DW45" s="1" t="s">
        <v>2559</v>
      </c>
      <c r="DX45" s="1" t="s">
        <v>2560</v>
      </c>
      <c r="DY45" s="2">
        <v>0</v>
      </c>
      <c r="DZ45" s="2">
        <v>1</v>
      </c>
      <c r="EA45" s="2">
        <v>0</v>
      </c>
      <c r="EB45" s="2">
        <v>0</v>
      </c>
      <c r="EC45" s="2">
        <v>0</v>
      </c>
      <c r="ED45" s="2">
        <v>0</v>
      </c>
      <c r="EE45" s="2">
        <v>0</v>
      </c>
      <c r="EF45" s="2">
        <v>1</v>
      </c>
      <c r="EG45" s="2">
        <v>0</v>
      </c>
      <c r="EH45" s="2">
        <v>0</v>
      </c>
      <c r="EI45" s="2">
        <v>0</v>
      </c>
      <c r="EJ45" s="2">
        <v>0</v>
      </c>
      <c r="EK45" s="2">
        <v>0</v>
      </c>
      <c r="EM45" s="1" t="s">
        <v>1161</v>
      </c>
      <c r="EN45" s="2">
        <v>0</v>
      </c>
      <c r="EO45" s="2">
        <v>0</v>
      </c>
      <c r="EP45" s="2">
        <v>0</v>
      </c>
      <c r="EQ45" s="2">
        <v>0</v>
      </c>
      <c r="ER45" s="2">
        <v>0</v>
      </c>
      <c r="ES45" s="2">
        <v>0</v>
      </c>
      <c r="ET45" s="2">
        <v>0</v>
      </c>
      <c r="EU45" s="2">
        <v>0</v>
      </c>
      <c r="EV45" s="2">
        <v>0</v>
      </c>
      <c r="EW45" s="2">
        <v>0</v>
      </c>
      <c r="EX45" s="2">
        <v>1</v>
      </c>
      <c r="EY45" s="2">
        <v>0</v>
      </c>
      <c r="EZ45" s="2">
        <v>0</v>
      </c>
      <c r="FB45" s="1" t="s">
        <v>1154</v>
      </c>
      <c r="GI45" s="1" t="s">
        <v>1984</v>
      </c>
      <c r="GJ45" s="2">
        <v>0</v>
      </c>
      <c r="GK45" s="2">
        <v>0</v>
      </c>
      <c r="GL45" s="2">
        <v>0</v>
      </c>
      <c r="GM45" s="2">
        <v>0</v>
      </c>
      <c r="GN45" s="2">
        <v>1</v>
      </c>
      <c r="GO45" s="2">
        <v>0</v>
      </c>
      <c r="GP45" s="2">
        <v>1</v>
      </c>
      <c r="GQ45" s="2">
        <v>0</v>
      </c>
      <c r="GR45" s="2">
        <v>0</v>
      </c>
      <c r="GS45" s="2">
        <v>0</v>
      </c>
      <c r="GT45" s="2">
        <v>0</v>
      </c>
      <c r="GU45" s="2">
        <v>0</v>
      </c>
      <c r="GV45" s="2">
        <v>0</v>
      </c>
      <c r="AVS45" s="1">
        <v>134226073</v>
      </c>
      <c r="AVT45" s="1" t="s">
        <v>2561</v>
      </c>
      <c r="AVV45" s="1">
        <v>190</v>
      </c>
    </row>
    <row r="46" spans="1:980 1267:1270" x14ac:dyDescent="0.3">
      <c r="A46" s="1" t="s">
        <v>2562</v>
      </c>
      <c r="B46" s="1" t="s">
        <v>2563</v>
      </c>
      <c r="C46" s="1" t="s">
        <v>2564</v>
      </c>
      <c r="D46" s="1" t="s">
        <v>2501</v>
      </c>
      <c r="E46" s="1" t="s">
        <v>2079</v>
      </c>
      <c r="F46" s="1" t="s">
        <v>2501</v>
      </c>
      <c r="I46" s="1" t="s">
        <v>2080</v>
      </c>
      <c r="J46" s="1" t="s">
        <v>2325</v>
      </c>
      <c r="K46" s="1" t="s">
        <v>2325</v>
      </c>
      <c r="N46" s="1" t="s">
        <v>1152</v>
      </c>
      <c r="O46" s="2">
        <v>1</v>
      </c>
      <c r="P46" s="2">
        <v>0</v>
      </c>
      <c r="Q46" s="2">
        <v>0</v>
      </c>
      <c r="R46" s="2">
        <v>0</v>
      </c>
      <c r="S46" s="2">
        <v>0</v>
      </c>
      <c r="U46" s="1" t="s">
        <v>1654</v>
      </c>
      <c r="W46" s="1" t="s">
        <v>1155</v>
      </c>
      <c r="X46" s="1" t="s">
        <v>1155</v>
      </c>
      <c r="AN46" s="1" t="s">
        <v>1179</v>
      </c>
      <c r="AO46" s="2">
        <v>80</v>
      </c>
      <c r="AP46" s="1" t="s">
        <v>1871</v>
      </c>
      <c r="AR46" s="1" t="s">
        <v>1649</v>
      </c>
      <c r="AS46" s="1" t="s">
        <v>1653</v>
      </c>
      <c r="AT46" s="1" t="s">
        <v>1155</v>
      </c>
      <c r="AU46" s="1" t="s">
        <v>1156</v>
      </c>
      <c r="AV46" s="1" t="s">
        <v>1186</v>
      </c>
      <c r="AW46" s="2">
        <v>1</v>
      </c>
      <c r="AX46" s="2">
        <v>0</v>
      </c>
      <c r="AY46" s="2">
        <v>0</v>
      </c>
      <c r="AZ46" s="2">
        <v>0</v>
      </c>
      <c r="BA46" s="2">
        <v>0</v>
      </c>
      <c r="BB46" s="2">
        <v>0</v>
      </c>
      <c r="BC46" s="2">
        <v>0</v>
      </c>
      <c r="BD46" s="2">
        <v>0</v>
      </c>
      <c r="BO46" s="1" t="s">
        <v>1161</v>
      </c>
      <c r="BP46" s="2">
        <v>0</v>
      </c>
      <c r="BQ46" s="2">
        <v>0</v>
      </c>
      <c r="BR46" s="2">
        <v>0</v>
      </c>
      <c r="BS46" s="2">
        <v>0</v>
      </c>
      <c r="BT46" s="2">
        <v>0</v>
      </c>
      <c r="BU46" s="2">
        <v>0</v>
      </c>
      <c r="BV46" s="2">
        <v>0</v>
      </c>
      <c r="BW46" s="2">
        <v>1</v>
      </c>
      <c r="BX46" s="2">
        <v>0</v>
      </c>
      <c r="BY46" s="2">
        <v>0</v>
      </c>
      <c r="BZ46" s="2">
        <v>0</v>
      </c>
      <c r="CA46" s="2">
        <v>0</v>
      </c>
      <c r="CC46" s="1" t="s">
        <v>1155</v>
      </c>
      <c r="CD46" s="1" t="s">
        <v>1979</v>
      </c>
      <c r="CF46" s="2">
        <v>100</v>
      </c>
      <c r="CG46" s="1" t="s">
        <v>1154</v>
      </c>
      <c r="CY46" s="1" t="s">
        <v>1388</v>
      </c>
      <c r="CZ46" s="2">
        <v>0</v>
      </c>
      <c r="DA46" s="2">
        <v>0</v>
      </c>
      <c r="DB46" s="2">
        <v>0</v>
      </c>
      <c r="DC46" s="2">
        <v>0</v>
      </c>
      <c r="DD46" s="2">
        <v>1</v>
      </c>
      <c r="DE46" s="2">
        <v>0</v>
      </c>
      <c r="DF46" s="2">
        <v>0</v>
      </c>
      <c r="DG46" s="2">
        <v>0</v>
      </c>
      <c r="DI46" s="1" t="s">
        <v>1154</v>
      </c>
      <c r="DQ46" s="1" t="s">
        <v>1163</v>
      </c>
      <c r="DR46" s="2">
        <v>0</v>
      </c>
      <c r="DS46" s="2">
        <v>0</v>
      </c>
      <c r="DT46" s="2">
        <v>0</v>
      </c>
      <c r="DU46" s="2">
        <v>0</v>
      </c>
      <c r="DV46" s="2">
        <v>1</v>
      </c>
      <c r="DX46" s="1" t="s">
        <v>1922</v>
      </c>
      <c r="DY46" s="2">
        <v>0</v>
      </c>
      <c r="DZ46" s="2">
        <v>1</v>
      </c>
      <c r="EA46" s="2">
        <v>0</v>
      </c>
      <c r="EB46" s="2">
        <v>0</v>
      </c>
      <c r="EC46" s="2">
        <v>0</v>
      </c>
      <c r="ED46" s="2">
        <v>0</v>
      </c>
      <c r="EE46" s="2">
        <v>0</v>
      </c>
      <c r="EF46" s="2">
        <v>0</v>
      </c>
      <c r="EG46" s="2">
        <v>0</v>
      </c>
      <c r="EH46" s="2">
        <v>0</v>
      </c>
      <c r="EI46" s="2">
        <v>0</v>
      </c>
      <c r="EJ46" s="2">
        <v>0</v>
      </c>
      <c r="EK46" s="2">
        <v>0</v>
      </c>
      <c r="EM46" s="1" t="s">
        <v>1923</v>
      </c>
      <c r="EN46" s="2">
        <v>0</v>
      </c>
      <c r="EO46" s="2">
        <v>0</v>
      </c>
      <c r="EP46" s="2">
        <v>0</v>
      </c>
      <c r="EQ46" s="2">
        <v>0</v>
      </c>
      <c r="ER46" s="2">
        <v>0</v>
      </c>
      <c r="ES46" s="2">
        <v>1</v>
      </c>
      <c r="ET46" s="2">
        <v>0</v>
      </c>
      <c r="EU46" s="2">
        <v>0</v>
      </c>
      <c r="EV46" s="2">
        <v>0</v>
      </c>
      <c r="EW46" s="2">
        <v>0</v>
      </c>
      <c r="EX46" s="2">
        <v>0</v>
      </c>
      <c r="EY46" s="2">
        <v>0</v>
      </c>
      <c r="EZ46" s="2">
        <v>0</v>
      </c>
      <c r="FB46" s="1" t="s">
        <v>1154</v>
      </c>
      <c r="GI46" s="1" t="s">
        <v>1929</v>
      </c>
      <c r="GJ46" s="2">
        <v>0</v>
      </c>
      <c r="GK46" s="2">
        <v>0</v>
      </c>
      <c r="GL46" s="2">
        <v>1</v>
      </c>
      <c r="GM46" s="2">
        <v>0</v>
      </c>
      <c r="GN46" s="2">
        <v>0</v>
      </c>
      <c r="GO46" s="2">
        <v>0</v>
      </c>
      <c r="GP46" s="2">
        <v>0</v>
      </c>
      <c r="GQ46" s="2">
        <v>0</v>
      </c>
      <c r="GR46" s="2">
        <v>0</v>
      </c>
      <c r="GS46" s="2">
        <v>0</v>
      </c>
      <c r="GT46" s="2">
        <v>0</v>
      </c>
      <c r="GU46" s="2">
        <v>0</v>
      </c>
      <c r="GV46" s="2">
        <v>0</v>
      </c>
      <c r="AVS46" s="1">
        <v>134226135</v>
      </c>
      <c r="AVT46" s="1" t="s">
        <v>2565</v>
      </c>
      <c r="AVV46" s="1">
        <v>191</v>
      </c>
    </row>
    <row r="47" spans="1:980 1267:1270" x14ac:dyDescent="0.3">
      <c r="A47" s="1" t="s">
        <v>2566</v>
      </c>
      <c r="B47" s="1" t="s">
        <v>2567</v>
      </c>
      <c r="C47" s="1" t="s">
        <v>2568</v>
      </c>
      <c r="D47" s="1" t="s">
        <v>2501</v>
      </c>
      <c r="E47" s="1" t="s">
        <v>2241</v>
      </c>
      <c r="F47" s="1" t="s">
        <v>2501</v>
      </c>
      <c r="I47" s="1" t="s">
        <v>2080</v>
      </c>
      <c r="J47" s="1" t="s">
        <v>2325</v>
      </c>
      <c r="K47" s="1" t="s">
        <v>2325</v>
      </c>
      <c r="N47" s="1" t="s">
        <v>1152</v>
      </c>
      <c r="O47" s="2">
        <v>1</v>
      </c>
      <c r="P47" s="2">
        <v>0</v>
      </c>
      <c r="Q47" s="2">
        <v>0</v>
      </c>
      <c r="R47" s="2">
        <v>0</v>
      </c>
      <c r="S47" s="2">
        <v>0</v>
      </c>
      <c r="U47" s="1" t="s">
        <v>1654</v>
      </c>
      <c r="W47" s="1" t="s">
        <v>1155</v>
      </c>
      <c r="X47" s="1" t="s">
        <v>1154</v>
      </c>
      <c r="AB47" s="1" t="s">
        <v>1955</v>
      </c>
      <c r="AC47" s="2">
        <v>0</v>
      </c>
      <c r="AD47" s="2">
        <v>0</v>
      </c>
      <c r="AE47" s="2">
        <v>0</v>
      </c>
      <c r="AF47" s="2">
        <v>0</v>
      </c>
      <c r="AG47" s="2">
        <v>0</v>
      </c>
      <c r="AH47" s="2">
        <v>1</v>
      </c>
      <c r="AI47" s="2">
        <v>0</v>
      </c>
      <c r="AJ47" s="2">
        <v>0</v>
      </c>
      <c r="AK47" s="2">
        <v>0</v>
      </c>
      <c r="AM47" s="1" t="s">
        <v>1637</v>
      </c>
      <c r="BO47" s="1" t="s">
        <v>1157</v>
      </c>
      <c r="BP47" s="2">
        <v>0</v>
      </c>
      <c r="BQ47" s="2">
        <v>0</v>
      </c>
      <c r="BR47" s="2">
        <v>0</v>
      </c>
      <c r="BS47" s="2">
        <v>0</v>
      </c>
      <c r="BT47" s="2">
        <v>0</v>
      </c>
      <c r="BU47" s="2">
        <v>1</v>
      </c>
      <c r="BV47" s="2">
        <v>0</v>
      </c>
      <c r="BW47" s="2">
        <v>0</v>
      </c>
      <c r="BX47" s="2">
        <v>0</v>
      </c>
      <c r="BY47" s="2">
        <v>0</v>
      </c>
      <c r="BZ47" s="2">
        <v>0</v>
      </c>
      <c r="CA47" s="2">
        <v>0</v>
      </c>
      <c r="FB47" s="1" t="s">
        <v>1155</v>
      </c>
      <c r="FC47" s="1" t="s">
        <v>1157</v>
      </c>
      <c r="FD47" s="2">
        <v>0</v>
      </c>
      <c r="FE47" s="2">
        <v>0</v>
      </c>
      <c r="FF47" s="2">
        <v>0</v>
      </c>
      <c r="FG47" s="2">
        <v>0</v>
      </c>
      <c r="FH47" s="2">
        <v>1</v>
      </c>
      <c r="FI47" s="2">
        <v>0</v>
      </c>
      <c r="FJ47" s="2">
        <v>0</v>
      </c>
      <c r="FL47" s="1" t="s">
        <v>1191</v>
      </c>
      <c r="FM47" s="2">
        <v>0</v>
      </c>
      <c r="FN47" s="2">
        <v>1</v>
      </c>
      <c r="FO47" s="2">
        <v>0</v>
      </c>
      <c r="FP47" s="2">
        <v>0</v>
      </c>
      <c r="FQ47" s="2">
        <v>0</v>
      </c>
      <c r="FR47" s="2">
        <v>0</v>
      </c>
      <c r="FS47" s="2">
        <v>0</v>
      </c>
      <c r="FT47" s="2">
        <v>0</v>
      </c>
      <c r="FU47" s="2">
        <v>0</v>
      </c>
      <c r="FV47" s="2">
        <v>0</v>
      </c>
      <c r="FW47" s="2">
        <v>0</v>
      </c>
      <c r="FX47" s="2">
        <v>0</v>
      </c>
      <c r="FY47" s="2">
        <v>0</v>
      </c>
      <c r="GA47" s="1" t="s">
        <v>1154</v>
      </c>
      <c r="GB47" s="1" t="s">
        <v>2569</v>
      </c>
      <c r="GC47" s="2">
        <v>0</v>
      </c>
      <c r="GD47" s="2">
        <v>1</v>
      </c>
      <c r="GE47" s="2">
        <v>1</v>
      </c>
      <c r="GF47" s="2">
        <v>0</v>
      </c>
      <c r="GG47" s="2">
        <v>0</v>
      </c>
      <c r="GI47" s="1" t="s">
        <v>1921</v>
      </c>
      <c r="GJ47" s="2">
        <v>0</v>
      </c>
      <c r="GK47" s="2">
        <v>0</v>
      </c>
      <c r="GL47" s="2">
        <v>0</v>
      </c>
      <c r="GM47" s="2">
        <v>0</v>
      </c>
      <c r="GN47" s="2">
        <v>0</v>
      </c>
      <c r="GO47" s="2">
        <v>0</v>
      </c>
      <c r="GP47" s="2">
        <v>1</v>
      </c>
      <c r="GQ47" s="2">
        <v>0</v>
      </c>
      <c r="GR47" s="2">
        <v>0</v>
      </c>
      <c r="GS47" s="2">
        <v>0</v>
      </c>
      <c r="GT47" s="2">
        <v>0</v>
      </c>
      <c r="GU47" s="2">
        <v>0</v>
      </c>
      <c r="GV47" s="2">
        <v>0</v>
      </c>
      <c r="AVS47" s="1">
        <v>134226279</v>
      </c>
      <c r="AVT47" s="1" t="s">
        <v>2570</v>
      </c>
      <c r="AVV47" s="1">
        <v>192</v>
      </c>
    </row>
    <row r="48" spans="1:980 1267:1270" x14ac:dyDescent="0.3">
      <c r="A48" s="1" t="s">
        <v>2571</v>
      </c>
      <c r="B48" s="1" t="s">
        <v>2572</v>
      </c>
      <c r="C48" s="1" t="s">
        <v>2573</v>
      </c>
      <c r="D48" s="1" t="s">
        <v>2501</v>
      </c>
      <c r="E48" s="1" t="s">
        <v>2241</v>
      </c>
      <c r="F48" s="1" t="s">
        <v>2501</v>
      </c>
      <c r="I48" s="1" t="s">
        <v>2080</v>
      </c>
      <c r="J48" s="1" t="s">
        <v>2325</v>
      </c>
      <c r="K48" s="1" t="s">
        <v>2325</v>
      </c>
      <c r="N48" s="1" t="s">
        <v>1152</v>
      </c>
      <c r="O48" s="2">
        <v>1</v>
      </c>
      <c r="P48" s="2">
        <v>0</v>
      </c>
      <c r="Q48" s="2">
        <v>0</v>
      </c>
      <c r="R48" s="2">
        <v>0</v>
      </c>
      <c r="S48" s="2">
        <v>0</v>
      </c>
      <c r="U48" s="1" t="s">
        <v>1885</v>
      </c>
      <c r="W48" s="1" t="s">
        <v>1154</v>
      </c>
      <c r="X48" s="1" t="s">
        <v>1155</v>
      </c>
      <c r="AN48" s="1" t="s">
        <v>1154</v>
      </c>
      <c r="AO48" s="2">
        <v>100</v>
      </c>
      <c r="AP48" s="1" t="s">
        <v>1871</v>
      </c>
      <c r="AR48" s="1" t="s">
        <v>1649</v>
      </c>
      <c r="AS48" s="1" t="s">
        <v>1655</v>
      </c>
      <c r="AT48" s="1" t="s">
        <v>1155</v>
      </c>
      <c r="AU48" s="1" t="s">
        <v>1156</v>
      </c>
      <c r="AV48" s="1" t="s">
        <v>1186</v>
      </c>
      <c r="AW48" s="2">
        <v>1</v>
      </c>
      <c r="AX48" s="2">
        <v>0</v>
      </c>
      <c r="AY48" s="2">
        <v>0</v>
      </c>
      <c r="AZ48" s="2">
        <v>0</v>
      </c>
      <c r="BA48" s="2">
        <v>0</v>
      </c>
      <c r="BB48" s="2">
        <v>0</v>
      </c>
      <c r="BC48" s="2">
        <v>0</v>
      </c>
      <c r="BD48" s="2">
        <v>0</v>
      </c>
      <c r="BO48" s="1" t="s">
        <v>1650</v>
      </c>
      <c r="BP48" s="2">
        <v>0</v>
      </c>
      <c r="BQ48" s="2">
        <v>0</v>
      </c>
      <c r="BR48" s="2">
        <v>0</v>
      </c>
      <c r="BS48" s="2">
        <v>0</v>
      </c>
      <c r="BT48" s="2">
        <v>0</v>
      </c>
      <c r="BU48" s="2">
        <v>0</v>
      </c>
      <c r="BV48" s="2">
        <v>0</v>
      </c>
      <c r="BW48" s="2">
        <v>0</v>
      </c>
      <c r="BX48" s="2">
        <v>0</v>
      </c>
      <c r="BY48" s="2">
        <v>0</v>
      </c>
      <c r="BZ48" s="2">
        <v>1</v>
      </c>
      <c r="CA48" s="2">
        <v>0</v>
      </c>
      <c r="CC48" s="1" t="s">
        <v>1154</v>
      </c>
      <c r="DQ48" s="1" t="s">
        <v>1163</v>
      </c>
      <c r="DR48" s="2">
        <v>0</v>
      </c>
      <c r="DS48" s="2">
        <v>0</v>
      </c>
      <c r="DT48" s="2">
        <v>0</v>
      </c>
      <c r="DU48" s="2">
        <v>0</v>
      </c>
      <c r="DV48" s="2">
        <v>1</v>
      </c>
      <c r="DX48" s="1" t="s">
        <v>1920</v>
      </c>
      <c r="DY48" s="2">
        <v>0</v>
      </c>
      <c r="DZ48" s="2">
        <v>0</v>
      </c>
      <c r="EA48" s="2">
        <v>0</v>
      </c>
      <c r="EB48" s="2">
        <v>0</v>
      </c>
      <c r="EC48" s="2">
        <v>0</v>
      </c>
      <c r="ED48" s="2">
        <v>0</v>
      </c>
      <c r="EE48" s="2">
        <v>0</v>
      </c>
      <c r="EF48" s="2">
        <v>0</v>
      </c>
      <c r="EG48" s="2">
        <v>1</v>
      </c>
      <c r="EH48" s="2">
        <v>0</v>
      </c>
      <c r="EI48" s="2">
        <v>0</v>
      </c>
      <c r="EJ48" s="2">
        <v>0</v>
      </c>
      <c r="EK48" s="2">
        <v>0</v>
      </c>
      <c r="EM48" s="1" t="s">
        <v>1163</v>
      </c>
      <c r="EN48" s="2">
        <v>0</v>
      </c>
      <c r="EO48" s="2">
        <v>0</v>
      </c>
      <c r="EP48" s="2">
        <v>0</v>
      </c>
      <c r="EQ48" s="2">
        <v>0</v>
      </c>
      <c r="ER48" s="2">
        <v>0</v>
      </c>
      <c r="ES48" s="2">
        <v>0</v>
      </c>
      <c r="ET48" s="2">
        <v>0</v>
      </c>
      <c r="EU48" s="2">
        <v>0</v>
      </c>
      <c r="EV48" s="2">
        <v>0</v>
      </c>
      <c r="EW48" s="2">
        <v>1</v>
      </c>
      <c r="EX48" s="2">
        <v>0</v>
      </c>
      <c r="EY48" s="2">
        <v>0</v>
      </c>
      <c r="EZ48" s="2">
        <v>0</v>
      </c>
      <c r="FB48" s="1" t="s">
        <v>1154</v>
      </c>
      <c r="GI48" s="1" t="s">
        <v>1921</v>
      </c>
      <c r="GJ48" s="2">
        <v>0</v>
      </c>
      <c r="GK48" s="2">
        <v>0</v>
      </c>
      <c r="GL48" s="2">
        <v>0</v>
      </c>
      <c r="GM48" s="2">
        <v>0</v>
      </c>
      <c r="GN48" s="2">
        <v>0</v>
      </c>
      <c r="GO48" s="2">
        <v>0</v>
      </c>
      <c r="GP48" s="2">
        <v>1</v>
      </c>
      <c r="GQ48" s="2">
        <v>0</v>
      </c>
      <c r="GR48" s="2">
        <v>0</v>
      </c>
      <c r="GS48" s="2">
        <v>0</v>
      </c>
      <c r="GT48" s="2">
        <v>0</v>
      </c>
      <c r="GU48" s="2">
        <v>0</v>
      </c>
      <c r="GV48" s="2">
        <v>0</v>
      </c>
      <c r="AVS48" s="1">
        <v>134226347</v>
      </c>
      <c r="AVT48" s="1" t="s">
        <v>2574</v>
      </c>
      <c r="AVV48" s="1">
        <v>193</v>
      </c>
    </row>
    <row r="49" spans="1:1270" x14ac:dyDescent="0.3">
      <c r="A49" s="1" t="s">
        <v>2575</v>
      </c>
      <c r="B49" s="1" t="s">
        <v>2576</v>
      </c>
      <c r="C49" s="1" t="s">
        <v>2577</v>
      </c>
      <c r="D49" s="1" t="s">
        <v>2508</v>
      </c>
      <c r="E49" s="1" t="s">
        <v>2173</v>
      </c>
      <c r="F49" s="1" t="s">
        <v>2508</v>
      </c>
      <c r="I49" s="1" t="s">
        <v>2080</v>
      </c>
      <c r="J49" s="1" t="s">
        <v>2325</v>
      </c>
      <c r="K49" s="1" t="s">
        <v>2325</v>
      </c>
      <c r="N49" s="1" t="s">
        <v>1152</v>
      </c>
      <c r="O49" s="2">
        <v>1</v>
      </c>
      <c r="P49" s="2">
        <v>0</v>
      </c>
      <c r="Q49" s="2">
        <v>0</v>
      </c>
      <c r="R49" s="2">
        <v>0</v>
      </c>
      <c r="S49" s="2">
        <v>0</v>
      </c>
      <c r="U49" s="1" t="s">
        <v>1654</v>
      </c>
      <c r="W49" s="1" t="s">
        <v>1155</v>
      </c>
      <c r="X49" s="1" t="s">
        <v>1155</v>
      </c>
      <c r="AN49" s="1" t="s">
        <v>1179</v>
      </c>
      <c r="AO49" s="2"/>
      <c r="AP49" s="1" t="s">
        <v>1871</v>
      </c>
      <c r="AR49" s="1" t="s">
        <v>1649</v>
      </c>
      <c r="AS49" s="1" t="s">
        <v>1930</v>
      </c>
      <c r="AT49" s="1" t="s">
        <v>1155</v>
      </c>
      <c r="AU49" s="1" t="s">
        <v>1156</v>
      </c>
      <c r="AV49" s="1" t="s">
        <v>2578</v>
      </c>
      <c r="AW49" s="2">
        <v>1</v>
      </c>
      <c r="AX49" s="2">
        <v>0</v>
      </c>
      <c r="AY49" s="2">
        <v>1</v>
      </c>
      <c r="AZ49" s="2">
        <v>0</v>
      </c>
      <c r="BA49" s="2">
        <v>0</v>
      </c>
      <c r="BB49" s="2">
        <v>1</v>
      </c>
      <c r="BC49" s="2">
        <v>0</v>
      </c>
      <c r="BD49" s="2">
        <v>0</v>
      </c>
      <c r="BO49" s="1" t="s">
        <v>1157</v>
      </c>
      <c r="BP49" s="2">
        <v>0</v>
      </c>
      <c r="BQ49" s="2">
        <v>0</v>
      </c>
      <c r="BR49" s="2">
        <v>0</v>
      </c>
      <c r="BS49" s="2">
        <v>0</v>
      </c>
      <c r="BT49" s="2">
        <v>0</v>
      </c>
      <c r="BU49" s="2">
        <v>1</v>
      </c>
      <c r="BV49" s="2">
        <v>0</v>
      </c>
      <c r="BW49" s="2">
        <v>0</v>
      </c>
      <c r="BX49" s="2">
        <v>0</v>
      </c>
      <c r="BY49" s="2">
        <v>0</v>
      </c>
      <c r="BZ49" s="2">
        <v>0</v>
      </c>
      <c r="CA49" s="2">
        <v>0</v>
      </c>
      <c r="CC49" s="1" t="s">
        <v>1154</v>
      </c>
      <c r="DQ49" s="1" t="s">
        <v>1163</v>
      </c>
      <c r="DR49" s="2">
        <v>0</v>
      </c>
      <c r="DS49" s="2">
        <v>0</v>
      </c>
      <c r="DT49" s="2">
        <v>0</v>
      </c>
      <c r="DU49" s="2">
        <v>0</v>
      </c>
      <c r="DV49" s="2">
        <v>1</v>
      </c>
      <c r="DX49" s="1" t="s">
        <v>1163</v>
      </c>
      <c r="DY49" s="2">
        <v>0</v>
      </c>
      <c r="DZ49" s="2">
        <v>0</v>
      </c>
      <c r="EA49" s="2">
        <v>0</v>
      </c>
      <c r="EB49" s="2">
        <v>0</v>
      </c>
      <c r="EC49" s="2">
        <v>0</v>
      </c>
      <c r="ED49" s="2">
        <v>0</v>
      </c>
      <c r="EE49" s="2">
        <v>0</v>
      </c>
      <c r="EF49" s="2">
        <v>0</v>
      </c>
      <c r="EG49" s="2">
        <v>0</v>
      </c>
      <c r="EH49" s="2">
        <v>1</v>
      </c>
      <c r="EI49" s="2">
        <v>0</v>
      </c>
      <c r="EJ49" s="2">
        <v>0</v>
      </c>
      <c r="EK49" s="2">
        <v>0</v>
      </c>
      <c r="EM49" s="1" t="s">
        <v>2579</v>
      </c>
      <c r="EN49" s="2">
        <v>1</v>
      </c>
      <c r="EO49" s="2">
        <v>0</v>
      </c>
      <c r="EP49" s="2">
        <v>0</v>
      </c>
      <c r="EQ49" s="2">
        <v>0</v>
      </c>
      <c r="ER49" s="2">
        <v>1</v>
      </c>
      <c r="ES49" s="2">
        <v>0</v>
      </c>
      <c r="ET49" s="2">
        <v>0</v>
      </c>
      <c r="EU49" s="2">
        <v>0</v>
      </c>
      <c r="EV49" s="2">
        <v>0</v>
      </c>
      <c r="EW49" s="2">
        <v>0</v>
      </c>
      <c r="EX49" s="2">
        <v>0</v>
      </c>
      <c r="EY49" s="2">
        <v>0</v>
      </c>
      <c r="EZ49" s="2">
        <v>0</v>
      </c>
      <c r="FB49" s="1" t="s">
        <v>1154</v>
      </c>
      <c r="GI49" s="1" t="s">
        <v>2580</v>
      </c>
      <c r="GJ49" s="2">
        <v>0</v>
      </c>
      <c r="GK49" s="2">
        <v>0</v>
      </c>
      <c r="GL49" s="2">
        <v>0</v>
      </c>
      <c r="GM49" s="2">
        <v>1</v>
      </c>
      <c r="GN49" s="2">
        <v>1</v>
      </c>
      <c r="GO49" s="2">
        <v>0</v>
      </c>
      <c r="GP49" s="2">
        <v>0</v>
      </c>
      <c r="GQ49" s="2">
        <v>0</v>
      </c>
      <c r="GR49" s="2">
        <v>0</v>
      </c>
      <c r="GS49" s="2">
        <v>1</v>
      </c>
      <c r="GT49" s="2">
        <v>1</v>
      </c>
      <c r="GU49" s="2">
        <v>0</v>
      </c>
      <c r="GV49" s="2">
        <v>0</v>
      </c>
      <c r="AVS49" s="1">
        <v>134226869</v>
      </c>
      <c r="AVT49" s="1" t="s">
        <v>2581</v>
      </c>
      <c r="AVV49" s="1">
        <v>194</v>
      </c>
    </row>
    <row r="50" spans="1:1270" x14ac:dyDescent="0.3">
      <c r="A50" s="1" t="s">
        <v>2582</v>
      </c>
      <c r="B50" s="1" t="s">
        <v>2583</v>
      </c>
      <c r="C50" s="1" t="s">
        <v>2584</v>
      </c>
      <c r="D50" s="1" t="s">
        <v>2508</v>
      </c>
      <c r="E50" s="1" t="s">
        <v>2173</v>
      </c>
      <c r="F50" s="1" t="s">
        <v>2508</v>
      </c>
      <c r="I50" s="1" t="s">
        <v>2080</v>
      </c>
      <c r="J50" s="1" t="s">
        <v>2325</v>
      </c>
      <c r="K50" s="1" t="s">
        <v>2325</v>
      </c>
      <c r="N50" s="1" t="s">
        <v>1152</v>
      </c>
      <c r="O50" s="2">
        <v>1</v>
      </c>
      <c r="P50" s="2">
        <v>0</v>
      </c>
      <c r="Q50" s="2">
        <v>0</v>
      </c>
      <c r="R50" s="2">
        <v>0</v>
      </c>
      <c r="S50" s="2">
        <v>0</v>
      </c>
      <c r="U50" s="1" t="s">
        <v>1885</v>
      </c>
      <c r="W50" s="1" t="s">
        <v>1154</v>
      </c>
      <c r="X50" s="1" t="s">
        <v>1155</v>
      </c>
      <c r="AN50" s="1" t="s">
        <v>1154</v>
      </c>
      <c r="AO50" s="2"/>
      <c r="AP50" s="1" t="s">
        <v>1871</v>
      </c>
      <c r="AR50" s="1" t="s">
        <v>1649</v>
      </c>
      <c r="AS50" s="1" t="s">
        <v>1653</v>
      </c>
      <c r="AT50" s="1" t="s">
        <v>1155</v>
      </c>
      <c r="AU50" s="1" t="s">
        <v>1156</v>
      </c>
      <c r="AV50" s="1" t="s">
        <v>1875</v>
      </c>
      <c r="AW50" s="2">
        <v>0</v>
      </c>
      <c r="AX50" s="2">
        <v>0</v>
      </c>
      <c r="AY50" s="2">
        <v>1</v>
      </c>
      <c r="AZ50" s="2">
        <v>1</v>
      </c>
      <c r="BA50" s="2">
        <v>0</v>
      </c>
      <c r="BB50" s="2">
        <v>0</v>
      </c>
      <c r="BC50" s="2">
        <v>0</v>
      </c>
      <c r="BD50" s="2">
        <v>0</v>
      </c>
      <c r="BO50" s="1" t="s">
        <v>1158</v>
      </c>
      <c r="BP50" s="2">
        <v>0</v>
      </c>
      <c r="BQ50" s="2">
        <v>0</v>
      </c>
      <c r="BR50" s="2">
        <v>1</v>
      </c>
      <c r="BS50" s="2">
        <v>0</v>
      </c>
      <c r="BT50" s="2">
        <v>0</v>
      </c>
      <c r="BU50" s="2">
        <v>0</v>
      </c>
      <c r="BV50" s="2">
        <v>0</v>
      </c>
      <c r="BW50" s="2">
        <v>0</v>
      </c>
      <c r="BX50" s="2">
        <v>0</v>
      </c>
      <c r="BY50" s="2">
        <v>0</v>
      </c>
      <c r="BZ50" s="2">
        <v>0</v>
      </c>
      <c r="CA50" s="2">
        <v>0</v>
      </c>
      <c r="CC50" s="1" t="s">
        <v>1154</v>
      </c>
      <c r="DQ50" s="1" t="s">
        <v>1163</v>
      </c>
      <c r="DR50" s="2">
        <v>0</v>
      </c>
      <c r="DS50" s="2">
        <v>0</v>
      </c>
      <c r="DT50" s="2">
        <v>0</v>
      </c>
      <c r="DU50" s="2">
        <v>0</v>
      </c>
      <c r="DV50" s="2">
        <v>1</v>
      </c>
      <c r="DX50" s="1" t="s">
        <v>2585</v>
      </c>
      <c r="DY50" s="2">
        <v>1</v>
      </c>
      <c r="DZ50" s="2">
        <v>1</v>
      </c>
      <c r="EA50" s="2">
        <v>0</v>
      </c>
      <c r="EB50" s="2">
        <v>0</v>
      </c>
      <c r="EC50" s="2">
        <v>0</v>
      </c>
      <c r="ED50" s="2">
        <v>1</v>
      </c>
      <c r="EE50" s="2">
        <v>0</v>
      </c>
      <c r="EF50" s="2">
        <v>1</v>
      </c>
      <c r="EG50" s="2">
        <v>0</v>
      </c>
      <c r="EH50" s="2">
        <v>0</v>
      </c>
      <c r="EI50" s="2">
        <v>0</v>
      </c>
      <c r="EJ50" s="2">
        <v>0</v>
      </c>
      <c r="EK50" s="2">
        <v>0</v>
      </c>
      <c r="EM50" s="1" t="s">
        <v>1163</v>
      </c>
      <c r="EN50" s="2">
        <v>0</v>
      </c>
      <c r="EO50" s="2">
        <v>0</v>
      </c>
      <c r="EP50" s="2">
        <v>0</v>
      </c>
      <c r="EQ50" s="2">
        <v>0</v>
      </c>
      <c r="ER50" s="2">
        <v>0</v>
      </c>
      <c r="ES50" s="2">
        <v>0</v>
      </c>
      <c r="ET50" s="2">
        <v>0</v>
      </c>
      <c r="EU50" s="2">
        <v>0</v>
      </c>
      <c r="EV50" s="2">
        <v>0</v>
      </c>
      <c r="EW50" s="2">
        <v>1</v>
      </c>
      <c r="EX50" s="2">
        <v>0</v>
      </c>
      <c r="EY50" s="2">
        <v>0</v>
      </c>
      <c r="EZ50" s="2">
        <v>0</v>
      </c>
      <c r="FB50" s="1" t="s">
        <v>1154</v>
      </c>
      <c r="GI50" s="1" t="s">
        <v>2586</v>
      </c>
      <c r="GJ50" s="2">
        <v>0</v>
      </c>
      <c r="GK50" s="2">
        <v>1</v>
      </c>
      <c r="GL50" s="2">
        <v>1</v>
      </c>
      <c r="GM50" s="2">
        <v>0</v>
      </c>
      <c r="GN50" s="2">
        <v>0</v>
      </c>
      <c r="GO50" s="2">
        <v>1</v>
      </c>
      <c r="GP50" s="2">
        <v>1</v>
      </c>
      <c r="GQ50" s="2">
        <v>0</v>
      </c>
      <c r="GR50" s="2">
        <v>0</v>
      </c>
      <c r="GS50" s="2">
        <v>1</v>
      </c>
      <c r="GT50" s="2">
        <v>1</v>
      </c>
      <c r="GU50" s="2">
        <v>0</v>
      </c>
      <c r="GV50" s="2">
        <v>0</v>
      </c>
      <c r="AVS50" s="1">
        <v>134226876</v>
      </c>
      <c r="AVT50" s="1" t="s">
        <v>2587</v>
      </c>
      <c r="AVV50" s="1">
        <v>195</v>
      </c>
    </row>
    <row r="51" spans="1:1270" x14ac:dyDescent="0.3">
      <c r="A51" s="1" t="s">
        <v>2588</v>
      </c>
      <c r="B51" s="1" t="s">
        <v>2589</v>
      </c>
      <c r="C51" s="1" t="s">
        <v>2590</v>
      </c>
      <c r="D51" s="1" t="s">
        <v>2508</v>
      </c>
      <c r="E51" s="1" t="s">
        <v>2173</v>
      </c>
      <c r="F51" s="1" t="s">
        <v>2508</v>
      </c>
      <c r="I51" s="1" t="s">
        <v>2080</v>
      </c>
      <c r="J51" s="1" t="s">
        <v>2325</v>
      </c>
      <c r="K51" s="1" t="s">
        <v>2325</v>
      </c>
      <c r="N51" s="1" t="s">
        <v>1152</v>
      </c>
      <c r="O51" s="2">
        <v>1</v>
      </c>
      <c r="P51" s="2">
        <v>0</v>
      </c>
      <c r="Q51" s="2">
        <v>0</v>
      </c>
      <c r="R51" s="2">
        <v>0</v>
      </c>
      <c r="S51" s="2">
        <v>0</v>
      </c>
      <c r="U51" s="1" t="s">
        <v>1874</v>
      </c>
      <c r="W51" s="1" t="s">
        <v>1154</v>
      </c>
      <c r="X51" s="1" t="s">
        <v>1155</v>
      </c>
      <c r="AN51" s="1" t="s">
        <v>1187</v>
      </c>
      <c r="AO51" s="2">
        <v>75</v>
      </c>
      <c r="AP51" s="1" t="s">
        <v>1871</v>
      </c>
      <c r="AR51" s="1" t="s">
        <v>1649</v>
      </c>
      <c r="AS51" s="1" t="s">
        <v>1163</v>
      </c>
      <c r="AT51" s="1" t="s">
        <v>1155</v>
      </c>
      <c r="AU51" s="1" t="s">
        <v>1156</v>
      </c>
      <c r="AV51" s="1" t="s">
        <v>1942</v>
      </c>
      <c r="AW51" s="2">
        <v>1</v>
      </c>
      <c r="AX51" s="2">
        <v>0</v>
      </c>
      <c r="AY51" s="2">
        <v>1</v>
      </c>
      <c r="AZ51" s="2">
        <v>1</v>
      </c>
      <c r="BA51" s="2">
        <v>0</v>
      </c>
      <c r="BB51" s="2">
        <v>0</v>
      </c>
      <c r="BC51" s="2">
        <v>0</v>
      </c>
      <c r="BD51" s="2">
        <v>0</v>
      </c>
      <c r="BO51" s="1" t="s">
        <v>1650</v>
      </c>
      <c r="BP51" s="2">
        <v>0</v>
      </c>
      <c r="BQ51" s="2">
        <v>0</v>
      </c>
      <c r="BR51" s="2">
        <v>0</v>
      </c>
      <c r="BS51" s="2">
        <v>0</v>
      </c>
      <c r="BT51" s="2">
        <v>0</v>
      </c>
      <c r="BU51" s="2">
        <v>0</v>
      </c>
      <c r="BV51" s="2">
        <v>0</v>
      </c>
      <c r="BW51" s="2">
        <v>0</v>
      </c>
      <c r="BX51" s="2">
        <v>0</v>
      </c>
      <c r="BY51" s="2">
        <v>0</v>
      </c>
      <c r="BZ51" s="2">
        <v>1</v>
      </c>
      <c r="CA51" s="2">
        <v>0</v>
      </c>
      <c r="CC51" s="1" t="s">
        <v>1154</v>
      </c>
      <c r="DQ51" s="1" t="s">
        <v>1163</v>
      </c>
      <c r="DR51" s="2">
        <v>0</v>
      </c>
      <c r="DS51" s="2">
        <v>0</v>
      </c>
      <c r="DT51" s="2">
        <v>0</v>
      </c>
      <c r="DU51" s="2">
        <v>0</v>
      </c>
      <c r="DV51" s="2">
        <v>1</v>
      </c>
      <c r="DX51" s="1" t="s">
        <v>2591</v>
      </c>
      <c r="DY51" s="2">
        <v>1</v>
      </c>
      <c r="DZ51" s="2">
        <v>1</v>
      </c>
      <c r="EA51" s="2">
        <v>0</v>
      </c>
      <c r="EB51" s="2">
        <v>0</v>
      </c>
      <c r="EC51" s="2">
        <v>0</v>
      </c>
      <c r="ED51" s="2">
        <v>1</v>
      </c>
      <c r="EE51" s="2">
        <v>0</v>
      </c>
      <c r="EF51" s="2">
        <v>0</v>
      </c>
      <c r="EG51" s="2">
        <v>1</v>
      </c>
      <c r="EH51" s="2">
        <v>0</v>
      </c>
      <c r="EI51" s="2">
        <v>0</v>
      </c>
      <c r="EJ51" s="2">
        <v>0</v>
      </c>
      <c r="EK51" s="2">
        <v>0</v>
      </c>
      <c r="EM51" s="1" t="s">
        <v>1923</v>
      </c>
      <c r="EN51" s="2">
        <v>0</v>
      </c>
      <c r="EO51" s="2">
        <v>0</v>
      </c>
      <c r="EP51" s="2">
        <v>0</v>
      </c>
      <c r="EQ51" s="2">
        <v>0</v>
      </c>
      <c r="ER51" s="2">
        <v>0</v>
      </c>
      <c r="ES51" s="2">
        <v>1</v>
      </c>
      <c r="ET51" s="2">
        <v>0</v>
      </c>
      <c r="EU51" s="2">
        <v>0</v>
      </c>
      <c r="EV51" s="2">
        <v>0</v>
      </c>
      <c r="EW51" s="2">
        <v>0</v>
      </c>
      <c r="EX51" s="2">
        <v>0</v>
      </c>
      <c r="EY51" s="2">
        <v>0</v>
      </c>
      <c r="EZ51" s="2">
        <v>0</v>
      </c>
      <c r="FB51" s="1" t="s">
        <v>1154</v>
      </c>
      <c r="GI51" s="1" t="s">
        <v>2592</v>
      </c>
      <c r="GJ51" s="2">
        <v>0</v>
      </c>
      <c r="GK51" s="2">
        <v>1</v>
      </c>
      <c r="GL51" s="2">
        <v>0</v>
      </c>
      <c r="GM51" s="2">
        <v>0</v>
      </c>
      <c r="GN51" s="2">
        <v>0</v>
      </c>
      <c r="GO51" s="2">
        <v>1</v>
      </c>
      <c r="GP51" s="2">
        <v>0</v>
      </c>
      <c r="GQ51" s="2">
        <v>1</v>
      </c>
      <c r="GR51" s="2">
        <v>0</v>
      </c>
      <c r="GS51" s="2">
        <v>0</v>
      </c>
      <c r="GT51" s="2">
        <v>0</v>
      </c>
      <c r="GU51" s="2">
        <v>0</v>
      </c>
      <c r="GV51" s="2">
        <v>0</v>
      </c>
      <c r="AVS51" s="1">
        <v>134226879</v>
      </c>
      <c r="AVT51" s="1" t="s">
        <v>2593</v>
      </c>
      <c r="AVV51" s="1">
        <v>196</v>
      </c>
    </row>
    <row r="52" spans="1:1270" x14ac:dyDescent="0.3">
      <c r="A52" s="1" t="s">
        <v>2594</v>
      </c>
      <c r="B52" s="1" t="s">
        <v>2595</v>
      </c>
      <c r="C52" s="1" t="s">
        <v>2596</v>
      </c>
      <c r="D52" s="1" t="s">
        <v>2508</v>
      </c>
      <c r="E52" s="1" t="s">
        <v>2173</v>
      </c>
      <c r="F52" s="1" t="s">
        <v>2508</v>
      </c>
      <c r="I52" s="1" t="s">
        <v>2080</v>
      </c>
      <c r="J52" s="1" t="s">
        <v>2325</v>
      </c>
      <c r="K52" s="1" t="s">
        <v>2325</v>
      </c>
      <c r="N52" s="1" t="s">
        <v>1152</v>
      </c>
      <c r="O52" s="2">
        <v>1</v>
      </c>
      <c r="P52" s="2">
        <v>0</v>
      </c>
      <c r="Q52" s="2">
        <v>0</v>
      </c>
      <c r="R52" s="2">
        <v>0</v>
      </c>
      <c r="S52" s="2">
        <v>0</v>
      </c>
      <c r="U52" s="1" t="s">
        <v>1185</v>
      </c>
      <c r="W52" s="1" t="s">
        <v>1154</v>
      </c>
      <c r="X52" s="1" t="s">
        <v>1155</v>
      </c>
      <c r="AN52" s="1" t="s">
        <v>1179</v>
      </c>
      <c r="AO52" s="2">
        <v>100</v>
      </c>
      <c r="AP52" s="1" t="s">
        <v>1871</v>
      </c>
      <c r="AR52" s="1" t="s">
        <v>1649</v>
      </c>
      <c r="AS52" s="1" t="s">
        <v>1653</v>
      </c>
      <c r="AT52" s="1" t="s">
        <v>1155</v>
      </c>
      <c r="AU52" s="1" t="s">
        <v>1156</v>
      </c>
      <c r="AV52" s="1" t="s">
        <v>2597</v>
      </c>
      <c r="AW52" s="2">
        <v>1</v>
      </c>
      <c r="AX52" s="2">
        <v>0</v>
      </c>
      <c r="AY52" s="2">
        <v>1</v>
      </c>
      <c r="AZ52" s="2">
        <v>1</v>
      </c>
      <c r="BA52" s="2">
        <v>0</v>
      </c>
      <c r="BB52" s="2">
        <v>0</v>
      </c>
      <c r="BC52" s="2">
        <v>0</v>
      </c>
      <c r="BD52" s="2">
        <v>0</v>
      </c>
      <c r="BO52" s="1" t="s">
        <v>1157</v>
      </c>
      <c r="BP52" s="2">
        <v>0</v>
      </c>
      <c r="BQ52" s="2">
        <v>0</v>
      </c>
      <c r="BR52" s="2">
        <v>0</v>
      </c>
      <c r="BS52" s="2">
        <v>0</v>
      </c>
      <c r="BT52" s="2">
        <v>0</v>
      </c>
      <c r="BU52" s="2">
        <v>1</v>
      </c>
      <c r="BV52" s="2">
        <v>0</v>
      </c>
      <c r="BW52" s="2">
        <v>0</v>
      </c>
      <c r="BX52" s="2">
        <v>0</v>
      </c>
      <c r="BY52" s="2">
        <v>0</v>
      </c>
      <c r="BZ52" s="2">
        <v>0</v>
      </c>
      <c r="CA52" s="2">
        <v>0</v>
      </c>
      <c r="CC52" s="1" t="s">
        <v>1154</v>
      </c>
      <c r="DQ52" s="1" t="s">
        <v>1163</v>
      </c>
      <c r="DR52" s="2">
        <v>0</v>
      </c>
      <c r="DS52" s="2">
        <v>0</v>
      </c>
      <c r="DT52" s="2">
        <v>0</v>
      </c>
      <c r="DU52" s="2">
        <v>0</v>
      </c>
      <c r="DV52" s="2">
        <v>1</v>
      </c>
      <c r="DX52" s="1" t="s">
        <v>2598</v>
      </c>
      <c r="DY52" s="2">
        <v>1</v>
      </c>
      <c r="DZ52" s="2">
        <v>0</v>
      </c>
      <c r="EA52" s="2">
        <v>0</v>
      </c>
      <c r="EB52" s="2">
        <v>0</v>
      </c>
      <c r="EC52" s="2">
        <v>0</v>
      </c>
      <c r="ED52" s="2">
        <v>1</v>
      </c>
      <c r="EE52" s="2">
        <v>0</v>
      </c>
      <c r="EF52" s="2">
        <v>0</v>
      </c>
      <c r="EG52" s="2">
        <v>0</v>
      </c>
      <c r="EH52" s="2">
        <v>0</v>
      </c>
      <c r="EI52" s="2">
        <v>0</v>
      </c>
      <c r="EJ52" s="2">
        <v>0</v>
      </c>
      <c r="EK52" s="2">
        <v>1</v>
      </c>
      <c r="EM52" s="1" t="s">
        <v>1923</v>
      </c>
      <c r="EN52" s="2">
        <v>0</v>
      </c>
      <c r="EO52" s="2">
        <v>0</v>
      </c>
      <c r="EP52" s="2">
        <v>0</v>
      </c>
      <c r="EQ52" s="2">
        <v>0</v>
      </c>
      <c r="ER52" s="2">
        <v>0</v>
      </c>
      <c r="ES52" s="2">
        <v>1</v>
      </c>
      <c r="ET52" s="2">
        <v>0</v>
      </c>
      <c r="EU52" s="2">
        <v>0</v>
      </c>
      <c r="EV52" s="2">
        <v>0</v>
      </c>
      <c r="EW52" s="2">
        <v>0</v>
      </c>
      <c r="EX52" s="2">
        <v>0</v>
      </c>
      <c r="EY52" s="2">
        <v>0</v>
      </c>
      <c r="EZ52" s="2">
        <v>0</v>
      </c>
      <c r="FB52" s="1" t="s">
        <v>1154</v>
      </c>
      <c r="GI52" s="1" t="s">
        <v>2599</v>
      </c>
      <c r="GJ52" s="2">
        <v>0</v>
      </c>
      <c r="GK52" s="2">
        <v>1</v>
      </c>
      <c r="GL52" s="2">
        <v>0</v>
      </c>
      <c r="GM52" s="2">
        <v>1</v>
      </c>
      <c r="GN52" s="2">
        <v>1</v>
      </c>
      <c r="GO52" s="2">
        <v>1</v>
      </c>
      <c r="GP52" s="2">
        <v>1</v>
      </c>
      <c r="GQ52" s="2">
        <v>1</v>
      </c>
      <c r="GR52" s="2">
        <v>0</v>
      </c>
      <c r="GS52" s="2">
        <v>0</v>
      </c>
      <c r="GT52" s="2">
        <v>0</v>
      </c>
      <c r="GU52" s="2">
        <v>0</v>
      </c>
      <c r="GV52" s="2">
        <v>0</v>
      </c>
      <c r="AVS52" s="1">
        <v>134226884</v>
      </c>
      <c r="AVT52" s="1" t="s">
        <v>2600</v>
      </c>
      <c r="AVV52" s="1">
        <v>197</v>
      </c>
    </row>
    <row r="53" spans="1:1270" x14ac:dyDescent="0.3">
      <c r="A53" s="1" t="s">
        <v>2601</v>
      </c>
      <c r="B53" s="1" t="s">
        <v>2602</v>
      </c>
      <c r="C53" s="1" t="s">
        <v>2603</v>
      </c>
      <c r="D53" s="1" t="s">
        <v>2508</v>
      </c>
      <c r="E53" s="1" t="s">
        <v>2173</v>
      </c>
      <c r="F53" s="1" t="s">
        <v>2508</v>
      </c>
      <c r="I53" s="1" t="s">
        <v>2080</v>
      </c>
      <c r="J53" s="1" t="s">
        <v>2325</v>
      </c>
      <c r="K53" s="1" t="s">
        <v>2325</v>
      </c>
      <c r="N53" s="1" t="s">
        <v>1152</v>
      </c>
      <c r="O53" s="2">
        <v>1</v>
      </c>
      <c r="P53" s="2">
        <v>0</v>
      </c>
      <c r="Q53" s="2">
        <v>0</v>
      </c>
      <c r="R53" s="2">
        <v>0</v>
      </c>
      <c r="S53" s="2">
        <v>0</v>
      </c>
      <c r="U53" s="1" t="s">
        <v>1654</v>
      </c>
      <c r="W53" s="1" t="s">
        <v>1154</v>
      </c>
      <c r="X53" s="1" t="s">
        <v>1640</v>
      </c>
      <c r="Y53" s="1" t="s">
        <v>1892</v>
      </c>
      <c r="AA53" s="1" t="s">
        <v>1893</v>
      </c>
      <c r="AN53" s="1" t="s">
        <v>1179</v>
      </c>
      <c r="AO53" s="2">
        <v>45</v>
      </c>
      <c r="AP53" s="1" t="s">
        <v>1871</v>
      </c>
      <c r="AR53" s="1" t="s">
        <v>1649</v>
      </c>
      <c r="AS53" s="1" t="s">
        <v>1653</v>
      </c>
      <c r="AT53" s="1" t="s">
        <v>1155</v>
      </c>
      <c r="AU53" s="1" t="s">
        <v>1182</v>
      </c>
      <c r="AV53" s="1" t="s">
        <v>1942</v>
      </c>
      <c r="AW53" s="2">
        <v>1</v>
      </c>
      <c r="AX53" s="2">
        <v>0</v>
      </c>
      <c r="AY53" s="2">
        <v>1</v>
      </c>
      <c r="AZ53" s="2">
        <v>1</v>
      </c>
      <c r="BA53" s="2">
        <v>0</v>
      </c>
      <c r="BB53" s="2">
        <v>0</v>
      </c>
      <c r="BC53" s="2">
        <v>0</v>
      </c>
      <c r="BD53" s="2">
        <v>0</v>
      </c>
      <c r="BO53" s="1" t="s">
        <v>1184</v>
      </c>
      <c r="BP53" s="2">
        <v>1</v>
      </c>
      <c r="BQ53" s="2">
        <v>0</v>
      </c>
      <c r="BR53" s="2">
        <v>0</v>
      </c>
      <c r="BS53" s="2">
        <v>0</v>
      </c>
      <c r="BT53" s="2">
        <v>0</v>
      </c>
      <c r="BU53" s="2">
        <v>0</v>
      </c>
      <c r="BV53" s="2">
        <v>0</v>
      </c>
      <c r="BW53" s="2">
        <v>0</v>
      </c>
      <c r="BX53" s="2">
        <v>0</v>
      </c>
      <c r="BY53" s="2">
        <v>0</v>
      </c>
      <c r="BZ53" s="2">
        <v>0</v>
      </c>
      <c r="CA53" s="2">
        <v>0</v>
      </c>
      <c r="CC53" s="1" t="s">
        <v>1154</v>
      </c>
      <c r="DQ53" s="1" t="s">
        <v>1163</v>
      </c>
      <c r="DR53" s="2">
        <v>0</v>
      </c>
      <c r="DS53" s="2">
        <v>0</v>
      </c>
      <c r="DT53" s="2">
        <v>0</v>
      </c>
      <c r="DU53" s="2">
        <v>0</v>
      </c>
      <c r="DV53" s="2">
        <v>1</v>
      </c>
      <c r="DX53" s="1" t="s">
        <v>2604</v>
      </c>
      <c r="DY53" s="2">
        <v>1</v>
      </c>
      <c r="DZ53" s="2">
        <v>0</v>
      </c>
      <c r="EA53" s="2">
        <v>1</v>
      </c>
      <c r="EB53" s="2">
        <v>0</v>
      </c>
      <c r="EC53" s="2">
        <v>0</v>
      </c>
      <c r="ED53" s="2">
        <v>1</v>
      </c>
      <c r="EE53" s="2">
        <v>0</v>
      </c>
      <c r="EF53" s="2">
        <v>0</v>
      </c>
      <c r="EG53" s="2">
        <v>1</v>
      </c>
      <c r="EH53" s="2">
        <v>0</v>
      </c>
      <c r="EI53" s="2">
        <v>0</v>
      </c>
      <c r="EJ53" s="2">
        <v>0</v>
      </c>
      <c r="EK53" s="2">
        <v>1</v>
      </c>
      <c r="EM53" s="1" t="s">
        <v>1189</v>
      </c>
      <c r="EN53" s="2">
        <v>0</v>
      </c>
      <c r="EO53" s="2">
        <v>0</v>
      </c>
      <c r="EP53" s="2">
        <v>0</v>
      </c>
      <c r="EQ53" s="2">
        <v>0</v>
      </c>
      <c r="ER53" s="2">
        <v>1</v>
      </c>
      <c r="ES53" s="2">
        <v>0</v>
      </c>
      <c r="ET53" s="2">
        <v>0</v>
      </c>
      <c r="EU53" s="2">
        <v>0</v>
      </c>
      <c r="EV53" s="2">
        <v>0</v>
      </c>
      <c r="EW53" s="2">
        <v>0</v>
      </c>
      <c r="EX53" s="2">
        <v>0</v>
      </c>
      <c r="EY53" s="2">
        <v>0</v>
      </c>
      <c r="EZ53" s="2">
        <v>0</v>
      </c>
      <c r="FB53" s="1" t="s">
        <v>1155</v>
      </c>
      <c r="FC53" s="1" t="s">
        <v>1157</v>
      </c>
      <c r="FD53" s="2">
        <v>0</v>
      </c>
      <c r="FE53" s="2">
        <v>0</v>
      </c>
      <c r="FF53" s="2">
        <v>0</v>
      </c>
      <c r="FG53" s="2">
        <v>0</v>
      </c>
      <c r="FH53" s="2">
        <v>1</v>
      </c>
      <c r="FI53" s="2">
        <v>0</v>
      </c>
      <c r="FJ53" s="2">
        <v>0</v>
      </c>
      <c r="FL53" s="1" t="s">
        <v>1954</v>
      </c>
      <c r="FM53" s="2">
        <v>0</v>
      </c>
      <c r="FN53" s="2">
        <v>0</v>
      </c>
      <c r="FO53" s="2">
        <v>0</v>
      </c>
      <c r="FP53" s="2">
        <v>0</v>
      </c>
      <c r="FQ53" s="2">
        <v>0</v>
      </c>
      <c r="FR53" s="2">
        <v>1</v>
      </c>
      <c r="FS53" s="2">
        <v>0</v>
      </c>
      <c r="FT53" s="2">
        <v>0</v>
      </c>
      <c r="FU53" s="2">
        <v>0</v>
      </c>
      <c r="FV53" s="2">
        <v>0</v>
      </c>
      <c r="FW53" s="2">
        <v>0</v>
      </c>
      <c r="FX53" s="2">
        <v>0</v>
      </c>
      <c r="FY53" s="2">
        <v>0</v>
      </c>
      <c r="GA53" s="1" t="s">
        <v>1155</v>
      </c>
      <c r="GI53" s="1" t="s">
        <v>1648</v>
      </c>
      <c r="GJ53" s="2">
        <v>0</v>
      </c>
      <c r="GK53" s="2">
        <v>0</v>
      </c>
      <c r="GL53" s="2">
        <v>1</v>
      </c>
      <c r="GM53" s="2">
        <v>0</v>
      </c>
      <c r="GN53" s="2">
        <v>1</v>
      </c>
      <c r="GO53" s="2">
        <v>0</v>
      </c>
      <c r="GP53" s="2">
        <v>1</v>
      </c>
      <c r="GQ53" s="2">
        <v>1</v>
      </c>
      <c r="GR53" s="2">
        <v>0</v>
      </c>
      <c r="GS53" s="2">
        <v>0</v>
      </c>
      <c r="GT53" s="2">
        <v>0</v>
      </c>
      <c r="GU53" s="2">
        <v>0</v>
      </c>
      <c r="GV53" s="2">
        <v>0</v>
      </c>
      <c r="AVS53" s="1">
        <v>134226923</v>
      </c>
      <c r="AVT53" s="1" t="s">
        <v>2605</v>
      </c>
      <c r="AVV53" s="1">
        <v>198</v>
      </c>
    </row>
    <row r="54" spans="1:1270" x14ac:dyDescent="0.3">
      <c r="A54" s="1" t="s">
        <v>2606</v>
      </c>
      <c r="B54" s="1" t="s">
        <v>2607</v>
      </c>
      <c r="C54" s="1" t="s">
        <v>2608</v>
      </c>
      <c r="D54" s="1" t="s">
        <v>2508</v>
      </c>
      <c r="E54" s="1" t="s">
        <v>2173</v>
      </c>
      <c r="F54" s="1" t="s">
        <v>2508</v>
      </c>
      <c r="I54" s="1" t="s">
        <v>2080</v>
      </c>
      <c r="J54" s="1" t="s">
        <v>2325</v>
      </c>
      <c r="K54" s="1" t="s">
        <v>2325</v>
      </c>
      <c r="N54" s="1" t="s">
        <v>1152</v>
      </c>
      <c r="O54" s="2">
        <v>1</v>
      </c>
      <c r="P54" s="2">
        <v>0</v>
      </c>
      <c r="Q54" s="2">
        <v>0</v>
      </c>
      <c r="R54" s="2">
        <v>0</v>
      </c>
      <c r="S54" s="2">
        <v>0</v>
      </c>
      <c r="U54" s="1" t="s">
        <v>1654</v>
      </c>
      <c r="W54" s="1" t="s">
        <v>1155</v>
      </c>
      <c r="X54" s="1" t="s">
        <v>1640</v>
      </c>
      <c r="Y54" s="1" t="s">
        <v>1153</v>
      </c>
      <c r="Z54" s="1" t="s">
        <v>2609</v>
      </c>
      <c r="AA54" s="1" t="s">
        <v>1893</v>
      </c>
      <c r="AN54" s="1" t="s">
        <v>1179</v>
      </c>
      <c r="AO54" s="2">
        <v>100</v>
      </c>
      <c r="AP54" s="1" t="s">
        <v>1871</v>
      </c>
      <c r="AR54" s="1" t="s">
        <v>1649</v>
      </c>
      <c r="AS54" s="1" t="s">
        <v>1886</v>
      </c>
      <c r="AT54" s="1" t="s">
        <v>1155</v>
      </c>
      <c r="AU54" s="1" t="s">
        <v>1156</v>
      </c>
      <c r="AV54" s="1" t="s">
        <v>1942</v>
      </c>
      <c r="AW54" s="2">
        <v>1</v>
      </c>
      <c r="AX54" s="2">
        <v>0</v>
      </c>
      <c r="AY54" s="2">
        <v>1</v>
      </c>
      <c r="AZ54" s="2">
        <v>1</v>
      </c>
      <c r="BA54" s="2">
        <v>0</v>
      </c>
      <c r="BB54" s="2">
        <v>0</v>
      </c>
      <c r="BC54" s="2">
        <v>0</v>
      </c>
      <c r="BD54" s="2">
        <v>0</v>
      </c>
      <c r="BO54" s="1" t="s">
        <v>1161</v>
      </c>
      <c r="BP54" s="2">
        <v>0</v>
      </c>
      <c r="BQ54" s="2">
        <v>0</v>
      </c>
      <c r="BR54" s="2">
        <v>0</v>
      </c>
      <c r="BS54" s="2">
        <v>0</v>
      </c>
      <c r="BT54" s="2">
        <v>0</v>
      </c>
      <c r="BU54" s="2">
        <v>0</v>
      </c>
      <c r="BV54" s="2">
        <v>0</v>
      </c>
      <c r="BW54" s="2">
        <v>1</v>
      </c>
      <c r="BX54" s="2">
        <v>0</v>
      </c>
      <c r="BY54" s="2">
        <v>0</v>
      </c>
      <c r="BZ54" s="2">
        <v>0</v>
      </c>
      <c r="CA54" s="2">
        <v>0</v>
      </c>
      <c r="CC54" s="1" t="s">
        <v>1154</v>
      </c>
      <c r="DQ54" s="1" t="s">
        <v>1163</v>
      </c>
      <c r="DR54" s="2">
        <v>0</v>
      </c>
      <c r="DS54" s="2">
        <v>0</v>
      </c>
      <c r="DT54" s="2">
        <v>0</v>
      </c>
      <c r="DU54" s="2">
        <v>0</v>
      </c>
      <c r="DV54" s="2">
        <v>1</v>
      </c>
      <c r="DX54" s="1" t="s">
        <v>1920</v>
      </c>
      <c r="DY54" s="2">
        <v>0</v>
      </c>
      <c r="DZ54" s="2">
        <v>0</v>
      </c>
      <c r="EA54" s="2">
        <v>0</v>
      </c>
      <c r="EB54" s="2">
        <v>0</v>
      </c>
      <c r="EC54" s="2">
        <v>0</v>
      </c>
      <c r="ED54" s="2">
        <v>0</v>
      </c>
      <c r="EE54" s="2">
        <v>0</v>
      </c>
      <c r="EF54" s="2">
        <v>0</v>
      </c>
      <c r="EG54" s="2">
        <v>1</v>
      </c>
      <c r="EH54" s="2">
        <v>0</v>
      </c>
      <c r="EI54" s="2">
        <v>0</v>
      </c>
      <c r="EJ54" s="2">
        <v>0</v>
      </c>
      <c r="EK54" s="2">
        <v>0</v>
      </c>
      <c r="EM54" s="1" t="s">
        <v>2610</v>
      </c>
      <c r="EN54" s="2">
        <v>0</v>
      </c>
      <c r="EO54" s="2">
        <v>0</v>
      </c>
      <c r="EP54" s="2">
        <v>0</v>
      </c>
      <c r="EQ54" s="2">
        <v>0</v>
      </c>
      <c r="ER54" s="2">
        <v>1</v>
      </c>
      <c r="ES54" s="2">
        <v>1</v>
      </c>
      <c r="ET54" s="2">
        <v>0</v>
      </c>
      <c r="EU54" s="2">
        <v>0</v>
      </c>
      <c r="EV54" s="2">
        <v>0</v>
      </c>
      <c r="EW54" s="2">
        <v>0</v>
      </c>
      <c r="EX54" s="2">
        <v>0</v>
      </c>
      <c r="EY54" s="2">
        <v>0</v>
      </c>
      <c r="EZ54" s="2">
        <v>0</v>
      </c>
      <c r="FB54" s="1" t="s">
        <v>1154</v>
      </c>
      <c r="GI54" s="1" t="s">
        <v>1947</v>
      </c>
      <c r="GJ54" s="2">
        <v>0</v>
      </c>
      <c r="GK54" s="2">
        <v>0</v>
      </c>
      <c r="GL54" s="2">
        <v>0</v>
      </c>
      <c r="GM54" s="2">
        <v>0</v>
      </c>
      <c r="GN54" s="2">
        <v>1</v>
      </c>
      <c r="GO54" s="2">
        <v>0</v>
      </c>
      <c r="GP54" s="2">
        <v>0</v>
      </c>
      <c r="GQ54" s="2">
        <v>0</v>
      </c>
      <c r="GR54" s="2">
        <v>0</v>
      </c>
      <c r="GS54" s="2">
        <v>0</v>
      </c>
      <c r="GT54" s="2">
        <v>0</v>
      </c>
      <c r="GU54" s="2">
        <v>0</v>
      </c>
      <c r="GV54" s="2">
        <v>0</v>
      </c>
      <c r="AVS54" s="1">
        <v>134226934</v>
      </c>
      <c r="AVT54" s="1" t="s">
        <v>2611</v>
      </c>
      <c r="AVV54" s="1">
        <v>199</v>
      </c>
    </row>
    <row r="55" spans="1:1270" x14ac:dyDescent="0.3">
      <c r="A55" s="1" t="s">
        <v>2612</v>
      </c>
      <c r="B55" s="1" t="s">
        <v>2613</v>
      </c>
      <c r="C55" s="1" t="s">
        <v>2614</v>
      </c>
      <c r="D55" s="1" t="s">
        <v>2508</v>
      </c>
      <c r="E55" s="1" t="s">
        <v>2173</v>
      </c>
      <c r="F55" s="1" t="s">
        <v>2508</v>
      </c>
      <c r="I55" s="1" t="s">
        <v>2080</v>
      </c>
      <c r="J55" s="1" t="s">
        <v>2325</v>
      </c>
      <c r="K55" s="1" t="s">
        <v>2325</v>
      </c>
      <c r="N55" s="1" t="s">
        <v>1152</v>
      </c>
      <c r="O55" s="2">
        <v>1</v>
      </c>
      <c r="P55" s="2">
        <v>0</v>
      </c>
      <c r="Q55" s="2">
        <v>0</v>
      </c>
      <c r="R55" s="2">
        <v>0</v>
      </c>
      <c r="S55" s="2">
        <v>0</v>
      </c>
      <c r="U55" s="1" t="s">
        <v>1890</v>
      </c>
      <c r="W55" s="1" t="s">
        <v>1154</v>
      </c>
      <c r="X55" s="1" t="s">
        <v>1640</v>
      </c>
      <c r="Y55" s="1" t="s">
        <v>1181</v>
      </c>
      <c r="AA55" s="1" t="s">
        <v>1637</v>
      </c>
      <c r="AN55" s="1" t="s">
        <v>1154</v>
      </c>
      <c r="AO55" s="2">
        <v>15</v>
      </c>
      <c r="AP55" s="1" t="s">
        <v>1190</v>
      </c>
      <c r="AR55" s="1" t="s">
        <v>1649</v>
      </c>
      <c r="AS55" s="1" t="s">
        <v>1163</v>
      </c>
      <c r="AT55" s="1" t="s">
        <v>1155</v>
      </c>
      <c r="AU55" s="1" t="s">
        <v>1160</v>
      </c>
      <c r="BF55" s="1" t="s">
        <v>2615</v>
      </c>
      <c r="BG55" s="2">
        <v>1</v>
      </c>
      <c r="BH55" s="2">
        <v>0</v>
      </c>
      <c r="BI55" s="2">
        <v>0</v>
      </c>
      <c r="BJ55" s="2">
        <v>1</v>
      </c>
      <c r="BK55" s="2">
        <v>1</v>
      </c>
      <c r="BL55" s="2">
        <v>0</v>
      </c>
      <c r="BM55" s="2">
        <v>0</v>
      </c>
      <c r="BO55" s="1" t="s">
        <v>1157</v>
      </c>
      <c r="BP55" s="2">
        <v>0</v>
      </c>
      <c r="BQ55" s="2">
        <v>0</v>
      </c>
      <c r="BR55" s="2">
        <v>0</v>
      </c>
      <c r="BS55" s="2">
        <v>0</v>
      </c>
      <c r="BT55" s="2">
        <v>0</v>
      </c>
      <c r="BU55" s="2">
        <v>1</v>
      </c>
      <c r="BV55" s="2">
        <v>0</v>
      </c>
      <c r="BW55" s="2">
        <v>0</v>
      </c>
      <c r="BX55" s="2">
        <v>0</v>
      </c>
      <c r="BY55" s="2">
        <v>0</v>
      </c>
      <c r="BZ55" s="2">
        <v>0</v>
      </c>
      <c r="CA55" s="2">
        <v>0</v>
      </c>
      <c r="CC55" s="1" t="s">
        <v>1154</v>
      </c>
      <c r="DQ55" s="1" t="s">
        <v>1163</v>
      </c>
      <c r="DR55" s="2">
        <v>0</v>
      </c>
      <c r="DS55" s="2">
        <v>0</v>
      </c>
      <c r="DT55" s="2">
        <v>0</v>
      </c>
      <c r="DU55" s="2">
        <v>0</v>
      </c>
      <c r="DV55" s="2">
        <v>1</v>
      </c>
      <c r="DX55" s="1" t="s">
        <v>1918</v>
      </c>
      <c r="DY55" s="2">
        <v>1</v>
      </c>
      <c r="DZ55" s="2">
        <v>1</v>
      </c>
      <c r="EA55" s="2">
        <v>1</v>
      </c>
      <c r="EB55" s="2">
        <v>0</v>
      </c>
      <c r="EC55" s="2">
        <v>0</v>
      </c>
      <c r="ED55" s="2">
        <v>0</v>
      </c>
      <c r="EE55" s="2">
        <v>0</v>
      </c>
      <c r="EF55" s="2">
        <v>1</v>
      </c>
      <c r="EG55" s="2">
        <v>1</v>
      </c>
      <c r="EH55" s="2">
        <v>0</v>
      </c>
      <c r="EI55" s="2">
        <v>0</v>
      </c>
      <c r="EJ55" s="2">
        <v>0</v>
      </c>
      <c r="EK55" s="2">
        <v>0</v>
      </c>
      <c r="EM55" s="1" t="s">
        <v>1923</v>
      </c>
      <c r="EN55" s="2">
        <v>0</v>
      </c>
      <c r="EO55" s="2">
        <v>0</v>
      </c>
      <c r="EP55" s="2">
        <v>0</v>
      </c>
      <c r="EQ55" s="2">
        <v>0</v>
      </c>
      <c r="ER55" s="2">
        <v>0</v>
      </c>
      <c r="ES55" s="2">
        <v>1</v>
      </c>
      <c r="ET55" s="2">
        <v>0</v>
      </c>
      <c r="EU55" s="2">
        <v>0</v>
      </c>
      <c r="EV55" s="2">
        <v>0</v>
      </c>
      <c r="EW55" s="2">
        <v>0</v>
      </c>
      <c r="EX55" s="2">
        <v>0</v>
      </c>
      <c r="EY55" s="2">
        <v>0</v>
      </c>
      <c r="EZ55" s="2">
        <v>0</v>
      </c>
      <c r="FB55" s="1" t="s">
        <v>1154</v>
      </c>
      <c r="GI55" s="1" t="s">
        <v>2616</v>
      </c>
      <c r="GJ55" s="2">
        <v>0</v>
      </c>
      <c r="GK55" s="2">
        <v>1</v>
      </c>
      <c r="GL55" s="2">
        <v>0</v>
      </c>
      <c r="GM55" s="2">
        <v>1</v>
      </c>
      <c r="GN55" s="2">
        <v>1</v>
      </c>
      <c r="GO55" s="2">
        <v>1</v>
      </c>
      <c r="GP55" s="2">
        <v>1</v>
      </c>
      <c r="GQ55" s="2">
        <v>0</v>
      </c>
      <c r="GR55" s="2">
        <v>1</v>
      </c>
      <c r="GS55" s="2">
        <v>0</v>
      </c>
      <c r="GT55" s="2">
        <v>0</v>
      </c>
      <c r="GU55" s="2">
        <v>0</v>
      </c>
      <c r="GV55" s="2">
        <v>0</v>
      </c>
      <c r="AVS55" s="1">
        <v>134226944</v>
      </c>
      <c r="AVT55" s="1" t="s">
        <v>2617</v>
      </c>
      <c r="AVV55" s="1">
        <v>200</v>
      </c>
    </row>
    <row r="56" spans="1:1270" x14ac:dyDescent="0.3">
      <c r="A56" s="1" t="s">
        <v>2618</v>
      </c>
      <c r="B56" s="1" t="s">
        <v>2619</v>
      </c>
      <c r="C56" s="1" t="s">
        <v>2620</v>
      </c>
      <c r="D56" s="1" t="s">
        <v>2508</v>
      </c>
      <c r="E56" s="1" t="s">
        <v>2173</v>
      </c>
      <c r="F56" s="1" t="s">
        <v>2508</v>
      </c>
      <c r="I56" s="1" t="s">
        <v>2080</v>
      </c>
      <c r="J56" s="1" t="s">
        <v>2325</v>
      </c>
      <c r="K56" s="1" t="s">
        <v>2325</v>
      </c>
      <c r="N56" s="1" t="s">
        <v>1152</v>
      </c>
      <c r="O56" s="2">
        <v>1</v>
      </c>
      <c r="P56" s="2">
        <v>0</v>
      </c>
      <c r="Q56" s="2">
        <v>0</v>
      </c>
      <c r="R56" s="2">
        <v>0</v>
      </c>
      <c r="S56" s="2">
        <v>0</v>
      </c>
      <c r="U56" s="1" t="s">
        <v>1654</v>
      </c>
      <c r="W56" s="1" t="s">
        <v>1155</v>
      </c>
      <c r="X56" s="1" t="s">
        <v>1155</v>
      </c>
      <c r="AN56" s="1" t="s">
        <v>1179</v>
      </c>
      <c r="AO56" s="2">
        <v>75</v>
      </c>
      <c r="AP56" s="1" t="s">
        <v>1190</v>
      </c>
      <c r="AR56" s="1" t="s">
        <v>1649</v>
      </c>
      <c r="AS56" s="1" t="s">
        <v>1655</v>
      </c>
      <c r="AT56" s="1" t="s">
        <v>1155</v>
      </c>
      <c r="AU56" s="1" t="s">
        <v>1156</v>
      </c>
      <c r="AV56" s="1" t="s">
        <v>1875</v>
      </c>
      <c r="AW56" s="2">
        <v>0</v>
      </c>
      <c r="AX56" s="2">
        <v>0</v>
      </c>
      <c r="AY56" s="2">
        <v>1</v>
      </c>
      <c r="AZ56" s="2">
        <v>1</v>
      </c>
      <c r="BA56" s="2">
        <v>0</v>
      </c>
      <c r="BB56" s="2">
        <v>0</v>
      </c>
      <c r="BC56" s="2">
        <v>0</v>
      </c>
      <c r="BD56" s="2">
        <v>0</v>
      </c>
      <c r="BO56" s="1" t="s">
        <v>1157</v>
      </c>
      <c r="BP56" s="2">
        <v>0</v>
      </c>
      <c r="BQ56" s="2">
        <v>0</v>
      </c>
      <c r="BR56" s="2">
        <v>0</v>
      </c>
      <c r="BS56" s="2">
        <v>0</v>
      </c>
      <c r="BT56" s="2">
        <v>0</v>
      </c>
      <c r="BU56" s="2">
        <v>1</v>
      </c>
      <c r="BV56" s="2">
        <v>0</v>
      </c>
      <c r="BW56" s="2">
        <v>0</v>
      </c>
      <c r="BX56" s="2">
        <v>0</v>
      </c>
      <c r="BY56" s="2">
        <v>0</v>
      </c>
      <c r="BZ56" s="2">
        <v>0</v>
      </c>
      <c r="CA56" s="2">
        <v>0</v>
      </c>
      <c r="CC56" s="1" t="s">
        <v>1154</v>
      </c>
      <c r="DQ56" s="1" t="s">
        <v>1167</v>
      </c>
      <c r="DR56" s="2">
        <v>0</v>
      </c>
      <c r="DS56" s="2">
        <v>1</v>
      </c>
      <c r="DT56" s="2">
        <v>0</v>
      </c>
      <c r="DU56" s="2">
        <v>0</v>
      </c>
      <c r="DV56" s="2">
        <v>0</v>
      </c>
      <c r="DX56" s="1" t="s">
        <v>1926</v>
      </c>
      <c r="DY56" s="2">
        <v>0</v>
      </c>
      <c r="DZ56" s="2">
        <v>0</v>
      </c>
      <c r="EA56" s="2">
        <v>0</v>
      </c>
      <c r="EB56" s="2">
        <v>0</v>
      </c>
      <c r="EC56" s="2">
        <v>0</v>
      </c>
      <c r="ED56" s="2">
        <v>1</v>
      </c>
      <c r="EE56" s="2">
        <v>0</v>
      </c>
      <c r="EF56" s="2">
        <v>0</v>
      </c>
      <c r="EG56" s="2">
        <v>0</v>
      </c>
      <c r="EH56" s="2">
        <v>0</v>
      </c>
      <c r="EI56" s="2">
        <v>0</v>
      </c>
      <c r="EJ56" s="2">
        <v>0</v>
      </c>
      <c r="EK56" s="2">
        <v>0</v>
      </c>
      <c r="EM56" s="1" t="s">
        <v>1189</v>
      </c>
      <c r="EN56" s="2">
        <v>0</v>
      </c>
      <c r="EO56" s="2">
        <v>0</v>
      </c>
      <c r="EP56" s="2">
        <v>0</v>
      </c>
      <c r="EQ56" s="2">
        <v>0</v>
      </c>
      <c r="ER56" s="2">
        <v>1</v>
      </c>
      <c r="ES56" s="2">
        <v>0</v>
      </c>
      <c r="ET56" s="2">
        <v>0</v>
      </c>
      <c r="EU56" s="2">
        <v>0</v>
      </c>
      <c r="EV56" s="2">
        <v>0</v>
      </c>
      <c r="EW56" s="2">
        <v>0</v>
      </c>
      <c r="EX56" s="2">
        <v>0</v>
      </c>
      <c r="EY56" s="2">
        <v>0</v>
      </c>
      <c r="EZ56" s="2">
        <v>0</v>
      </c>
      <c r="FB56" s="1" t="s">
        <v>1155</v>
      </c>
      <c r="FC56" s="1" t="s">
        <v>1157</v>
      </c>
      <c r="FD56" s="2">
        <v>0</v>
      </c>
      <c r="FE56" s="2">
        <v>0</v>
      </c>
      <c r="FF56" s="2">
        <v>0</v>
      </c>
      <c r="FG56" s="2">
        <v>0</v>
      </c>
      <c r="FH56" s="2">
        <v>1</v>
      </c>
      <c r="FI56" s="2">
        <v>0</v>
      </c>
      <c r="FJ56" s="2">
        <v>0</v>
      </c>
      <c r="FL56" s="1" t="s">
        <v>2621</v>
      </c>
      <c r="FM56" s="2">
        <v>0</v>
      </c>
      <c r="FN56" s="2">
        <v>0</v>
      </c>
      <c r="FO56" s="2">
        <v>0</v>
      </c>
      <c r="FP56" s="2">
        <v>0</v>
      </c>
      <c r="FQ56" s="2">
        <v>0</v>
      </c>
      <c r="FR56" s="2">
        <v>1</v>
      </c>
      <c r="FS56" s="2">
        <v>1</v>
      </c>
      <c r="FT56" s="2">
        <v>0</v>
      </c>
      <c r="FU56" s="2">
        <v>0</v>
      </c>
      <c r="FV56" s="2">
        <v>0</v>
      </c>
      <c r="FW56" s="2">
        <v>0</v>
      </c>
      <c r="FX56" s="2">
        <v>0</v>
      </c>
      <c r="FY56" s="2">
        <v>0</v>
      </c>
      <c r="GA56" s="1" t="s">
        <v>1155</v>
      </c>
      <c r="GI56" s="1" t="s">
        <v>1984</v>
      </c>
      <c r="GJ56" s="2">
        <v>0</v>
      </c>
      <c r="GK56" s="2">
        <v>0</v>
      </c>
      <c r="GL56" s="2">
        <v>0</v>
      </c>
      <c r="GM56" s="2">
        <v>0</v>
      </c>
      <c r="GN56" s="2">
        <v>1</v>
      </c>
      <c r="GO56" s="2">
        <v>0</v>
      </c>
      <c r="GP56" s="2">
        <v>1</v>
      </c>
      <c r="GQ56" s="2">
        <v>0</v>
      </c>
      <c r="GR56" s="2">
        <v>0</v>
      </c>
      <c r="GS56" s="2">
        <v>0</v>
      </c>
      <c r="GT56" s="2">
        <v>0</v>
      </c>
      <c r="GU56" s="2">
        <v>0</v>
      </c>
      <c r="GV56" s="2">
        <v>0</v>
      </c>
      <c r="AVS56" s="1">
        <v>134226951</v>
      </c>
      <c r="AVT56" s="1" t="s">
        <v>2622</v>
      </c>
      <c r="AVV56" s="1">
        <v>201</v>
      </c>
    </row>
    <row r="57" spans="1:1270" x14ac:dyDescent="0.3">
      <c r="A57" s="1" t="s">
        <v>2623</v>
      </c>
      <c r="B57" s="1" t="s">
        <v>2624</v>
      </c>
      <c r="C57" s="1" t="s">
        <v>2625</v>
      </c>
      <c r="D57" s="1" t="s">
        <v>2508</v>
      </c>
      <c r="E57" s="1" t="s">
        <v>2173</v>
      </c>
      <c r="F57" s="1" t="s">
        <v>2508</v>
      </c>
      <c r="I57" s="1" t="s">
        <v>2080</v>
      </c>
      <c r="J57" s="1" t="s">
        <v>2325</v>
      </c>
      <c r="K57" s="1" t="s">
        <v>2325</v>
      </c>
      <c r="N57" s="1" t="s">
        <v>1152</v>
      </c>
      <c r="O57" s="2">
        <v>1</v>
      </c>
      <c r="P57" s="2">
        <v>0</v>
      </c>
      <c r="Q57" s="2">
        <v>0</v>
      </c>
      <c r="R57" s="2">
        <v>0</v>
      </c>
      <c r="S57" s="2">
        <v>0</v>
      </c>
      <c r="U57" s="1" t="s">
        <v>1654</v>
      </c>
      <c r="W57" s="1" t="s">
        <v>1155</v>
      </c>
      <c r="X57" s="1" t="s">
        <v>1155</v>
      </c>
      <c r="AN57" s="1" t="s">
        <v>1179</v>
      </c>
      <c r="AO57" s="2">
        <v>200</v>
      </c>
      <c r="AP57" s="1" t="s">
        <v>1871</v>
      </c>
      <c r="AR57" s="1" t="s">
        <v>1649</v>
      </c>
      <c r="AS57" s="1" t="s">
        <v>1653</v>
      </c>
      <c r="AT57" s="1" t="s">
        <v>1155</v>
      </c>
      <c r="AU57" s="1" t="s">
        <v>1156</v>
      </c>
      <c r="AV57" s="1" t="s">
        <v>2626</v>
      </c>
      <c r="AW57" s="2">
        <v>0</v>
      </c>
      <c r="AX57" s="2">
        <v>0</v>
      </c>
      <c r="AY57" s="2">
        <v>1</v>
      </c>
      <c r="AZ57" s="2">
        <v>1</v>
      </c>
      <c r="BA57" s="2">
        <v>0</v>
      </c>
      <c r="BB57" s="2">
        <v>0</v>
      </c>
      <c r="BC57" s="2">
        <v>0</v>
      </c>
      <c r="BD57" s="2">
        <v>0</v>
      </c>
      <c r="BO57" s="1" t="s">
        <v>1161</v>
      </c>
      <c r="BP57" s="2">
        <v>0</v>
      </c>
      <c r="BQ57" s="2">
        <v>0</v>
      </c>
      <c r="BR57" s="2">
        <v>0</v>
      </c>
      <c r="BS57" s="2">
        <v>0</v>
      </c>
      <c r="BT57" s="2">
        <v>0</v>
      </c>
      <c r="BU57" s="2">
        <v>0</v>
      </c>
      <c r="BV57" s="2">
        <v>0</v>
      </c>
      <c r="BW57" s="2">
        <v>1</v>
      </c>
      <c r="BX57" s="2">
        <v>0</v>
      </c>
      <c r="BY57" s="2">
        <v>0</v>
      </c>
      <c r="BZ57" s="2">
        <v>0</v>
      </c>
      <c r="CA57" s="2">
        <v>0</v>
      </c>
      <c r="CC57" s="1" t="s">
        <v>1155</v>
      </c>
      <c r="CD57" s="1" t="s">
        <v>1979</v>
      </c>
      <c r="CF57" s="2">
        <v>100</v>
      </c>
      <c r="CG57" s="1" t="s">
        <v>1154</v>
      </c>
      <c r="CY57" s="1" t="s">
        <v>1388</v>
      </c>
      <c r="CZ57" s="2">
        <v>0</v>
      </c>
      <c r="DA57" s="2">
        <v>0</v>
      </c>
      <c r="DB57" s="2">
        <v>0</v>
      </c>
      <c r="DC57" s="2">
        <v>0</v>
      </c>
      <c r="DD57" s="2">
        <v>1</v>
      </c>
      <c r="DE57" s="2">
        <v>0</v>
      </c>
      <c r="DF57" s="2">
        <v>0</v>
      </c>
      <c r="DG57" s="2">
        <v>0</v>
      </c>
      <c r="DI57" s="1" t="s">
        <v>1155</v>
      </c>
      <c r="DJ57" s="1" t="s">
        <v>2224</v>
      </c>
      <c r="DK57" s="2">
        <v>0</v>
      </c>
      <c r="DL57" s="2">
        <v>1</v>
      </c>
      <c r="DM57" s="2">
        <v>0</v>
      </c>
      <c r="DN57" s="2">
        <v>0</v>
      </c>
      <c r="DO57" s="2">
        <v>0</v>
      </c>
      <c r="DQ57" s="1" t="s">
        <v>1161</v>
      </c>
      <c r="DR57" s="2">
        <v>0</v>
      </c>
      <c r="DS57" s="2">
        <v>0</v>
      </c>
      <c r="DT57" s="2">
        <v>1</v>
      </c>
      <c r="DU57" s="2">
        <v>0</v>
      </c>
      <c r="DV57" s="2">
        <v>0</v>
      </c>
      <c r="DX57" s="1" t="s">
        <v>1163</v>
      </c>
      <c r="DY57" s="2">
        <v>0</v>
      </c>
      <c r="DZ57" s="2">
        <v>0</v>
      </c>
      <c r="EA57" s="2">
        <v>0</v>
      </c>
      <c r="EB57" s="2">
        <v>0</v>
      </c>
      <c r="EC57" s="2">
        <v>0</v>
      </c>
      <c r="ED57" s="2">
        <v>0</v>
      </c>
      <c r="EE57" s="2">
        <v>0</v>
      </c>
      <c r="EF57" s="2">
        <v>0</v>
      </c>
      <c r="EG57" s="2">
        <v>0</v>
      </c>
      <c r="EH57" s="2">
        <v>1</v>
      </c>
      <c r="EI57" s="2">
        <v>0</v>
      </c>
      <c r="EJ57" s="2">
        <v>0</v>
      </c>
      <c r="EK57" s="2">
        <v>0</v>
      </c>
      <c r="EM57" s="1" t="s">
        <v>2610</v>
      </c>
      <c r="EN57" s="2">
        <v>0</v>
      </c>
      <c r="EO57" s="2">
        <v>0</v>
      </c>
      <c r="EP57" s="2">
        <v>0</v>
      </c>
      <c r="EQ57" s="2">
        <v>0</v>
      </c>
      <c r="ER57" s="2">
        <v>1</v>
      </c>
      <c r="ES57" s="2">
        <v>1</v>
      </c>
      <c r="ET57" s="2">
        <v>0</v>
      </c>
      <c r="EU57" s="2">
        <v>0</v>
      </c>
      <c r="EV57" s="2">
        <v>0</v>
      </c>
      <c r="EW57" s="2">
        <v>0</v>
      </c>
      <c r="EX57" s="2">
        <v>0</v>
      </c>
      <c r="EY57" s="2">
        <v>0</v>
      </c>
      <c r="EZ57" s="2">
        <v>0</v>
      </c>
      <c r="FB57" s="1" t="s">
        <v>1155</v>
      </c>
      <c r="FC57" s="1" t="s">
        <v>1157</v>
      </c>
      <c r="FD57" s="2">
        <v>0</v>
      </c>
      <c r="FE57" s="2">
        <v>0</v>
      </c>
      <c r="FF57" s="2">
        <v>0</v>
      </c>
      <c r="FG57" s="2">
        <v>0</v>
      </c>
      <c r="FH57" s="2">
        <v>1</v>
      </c>
      <c r="FI57" s="2">
        <v>0</v>
      </c>
      <c r="FJ57" s="2">
        <v>0</v>
      </c>
      <c r="FL57" s="1" t="s">
        <v>1921</v>
      </c>
      <c r="FM57" s="2">
        <v>0</v>
      </c>
      <c r="FN57" s="2">
        <v>0</v>
      </c>
      <c r="FO57" s="2">
        <v>0</v>
      </c>
      <c r="FP57" s="2">
        <v>0</v>
      </c>
      <c r="FQ57" s="2">
        <v>0</v>
      </c>
      <c r="FR57" s="2">
        <v>0</v>
      </c>
      <c r="FS57" s="2">
        <v>1</v>
      </c>
      <c r="FT57" s="2">
        <v>0</v>
      </c>
      <c r="FU57" s="2">
        <v>0</v>
      </c>
      <c r="FV57" s="2">
        <v>0</v>
      </c>
      <c r="FW57" s="2">
        <v>0</v>
      </c>
      <c r="FX57" s="2">
        <v>0</v>
      </c>
      <c r="FY57" s="2">
        <v>0</v>
      </c>
      <c r="GA57" s="1" t="s">
        <v>1155</v>
      </c>
      <c r="GI57" s="1" t="s">
        <v>2627</v>
      </c>
      <c r="GJ57" s="2">
        <v>0</v>
      </c>
      <c r="GK57" s="2">
        <v>0</v>
      </c>
      <c r="GL57" s="2">
        <v>0</v>
      </c>
      <c r="GM57" s="2">
        <v>0</v>
      </c>
      <c r="GN57" s="2">
        <v>1</v>
      </c>
      <c r="GO57" s="2">
        <v>0</v>
      </c>
      <c r="GP57" s="2">
        <v>0</v>
      </c>
      <c r="GQ57" s="2">
        <v>0</v>
      </c>
      <c r="GR57" s="2">
        <v>0</v>
      </c>
      <c r="GS57" s="2">
        <v>1</v>
      </c>
      <c r="GT57" s="2">
        <v>1</v>
      </c>
      <c r="GU57" s="2">
        <v>0</v>
      </c>
      <c r="GV57" s="2">
        <v>0</v>
      </c>
      <c r="AVS57" s="1">
        <v>134226963</v>
      </c>
      <c r="AVT57" s="1" t="s">
        <v>2628</v>
      </c>
      <c r="AVV57" s="1">
        <v>202</v>
      </c>
    </row>
    <row r="58" spans="1:1270" x14ac:dyDescent="0.3">
      <c r="A58" s="1" t="s">
        <v>2629</v>
      </c>
      <c r="B58" s="1" t="s">
        <v>2630</v>
      </c>
      <c r="C58" s="1" t="s">
        <v>2631</v>
      </c>
      <c r="D58" s="1" t="s">
        <v>2508</v>
      </c>
      <c r="E58" s="1" t="s">
        <v>2173</v>
      </c>
      <c r="F58" s="1" t="s">
        <v>2508</v>
      </c>
      <c r="I58" s="1" t="s">
        <v>2080</v>
      </c>
      <c r="J58" s="1" t="s">
        <v>2325</v>
      </c>
      <c r="K58" s="1" t="s">
        <v>2325</v>
      </c>
      <c r="N58" s="1" t="s">
        <v>1152</v>
      </c>
      <c r="O58" s="2">
        <v>1</v>
      </c>
      <c r="P58" s="2">
        <v>0</v>
      </c>
      <c r="Q58" s="2">
        <v>0</v>
      </c>
      <c r="R58" s="2">
        <v>0</v>
      </c>
      <c r="S58" s="2">
        <v>0</v>
      </c>
      <c r="U58" s="1" t="s">
        <v>1654</v>
      </c>
      <c r="W58" s="1" t="s">
        <v>1155</v>
      </c>
      <c r="X58" s="1" t="s">
        <v>1155</v>
      </c>
      <c r="AN58" s="1" t="s">
        <v>1179</v>
      </c>
      <c r="AO58" s="2">
        <v>25</v>
      </c>
      <c r="AP58" s="1" t="s">
        <v>1871</v>
      </c>
      <c r="AR58" s="1" t="s">
        <v>1649</v>
      </c>
      <c r="AS58" s="1" t="s">
        <v>1653</v>
      </c>
      <c r="AT58" s="1" t="s">
        <v>1155</v>
      </c>
      <c r="AU58" s="1" t="s">
        <v>1156</v>
      </c>
      <c r="AV58" s="1" t="s">
        <v>1940</v>
      </c>
      <c r="AW58" s="2">
        <v>0</v>
      </c>
      <c r="AX58" s="2">
        <v>0</v>
      </c>
      <c r="AY58" s="2">
        <v>0</v>
      </c>
      <c r="AZ58" s="2">
        <v>1</v>
      </c>
      <c r="BA58" s="2">
        <v>0</v>
      </c>
      <c r="BB58" s="2">
        <v>0</v>
      </c>
      <c r="BC58" s="2">
        <v>0</v>
      </c>
      <c r="BD58" s="2">
        <v>0</v>
      </c>
      <c r="BO58" s="1" t="s">
        <v>1161</v>
      </c>
      <c r="BP58" s="2">
        <v>0</v>
      </c>
      <c r="BQ58" s="2">
        <v>0</v>
      </c>
      <c r="BR58" s="2">
        <v>0</v>
      </c>
      <c r="BS58" s="2">
        <v>0</v>
      </c>
      <c r="BT58" s="2">
        <v>0</v>
      </c>
      <c r="BU58" s="2">
        <v>0</v>
      </c>
      <c r="BV58" s="2">
        <v>0</v>
      </c>
      <c r="BW58" s="2">
        <v>1</v>
      </c>
      <c r="BX58" s="2">
        <v>0</v>
      </c>
      <c r="BY58" s="2">
        <v>0</v>
      </c>
      <c r="BZ58" s="2">
        <v>0</v>
      </c>
      <c r="CA58" s="2">
        <v>0</v>
      </c>
      <c r="CC58" s="1" t="s">
        <v>1154</v>
      </c>
      <c r="DQ58" s="1" t="s">
        <v>1167</v>
      </c>
      <c r="DR58" s="2">
        <v>0</v>
      </c>
      <c r="DS58" s="2">
        <v>1</v>
      </c>
      <c r="DT58" s="2">
        <v>0</v>
      </c>
      <c r="DU58" s="2">
        <v>0</v>
      </c>
      <c r="DV58" s="2">
        <v>0</v>
      </c>
      <c r="DX58" s="1" t="s">
        <v>2096</v>
      </c>
      <c r="DY58" s="2">
        <v>0</v>
      </c>
      <c r="DZ58" s="2">
        <v>0</v>
      </c>
      <c r="EA58" s="2">
        <v>0</v>
      </c>
      <c r="EB58" s="2">
        <v>0</v>
      </c>
      <c r="EC58" s="2">
        <v>0</v>
      </c>
      <c r="ED58" s="2">
        <v>1</v>
      </c>
      <c r="EE58" s="2">
        <v>0</v>
      </c>
      <c r="EF58" s="2">
        <v>0</v>
      </c>
      <c r="EG58" s="2">
        <v>1</v>
      </c>
      <c r="EH58" s="2">
        <v>0</v>
      </c>
      <c r="EI58" s="2">
        <v>0</v>
      </c>
      <c r="EJ58" s="2">
        <v>0</v>
      </c>
      <c r="EK58" s="2">
        <v>1</v>
      </c>
      <c r="EM58" s="1" t="s">
        <v>2610</v>
      </c>
      <c r="EN58" s="2">
        <v>0</v>
      </c>
      <c r="EO58" s="2">
        <v>0</v>
      </c>
      <c r="EP58" s="2">
        <v>0</v>
      </c>
      <c r="EQ58" s="2">
        <v>0</v>
      </c>
      <c r="ER58" s="2">
        <v>1</v>
      </c>
      <c r="ES58" s="2">
        <v>1</v>
      </c>
      <c r="ET58" s="2">
        <v>0</v>
      </c>
      <c r="EU58" s="2">
        <v>0</v>
      </c>
      <c r="EV58" s="2">
        <v>0</v>
      </c>
      <c r="EW58" s="2">
        <v>0</v>
      </c>
      <c r="EX58" s="2">
        <v>0</v>
      </c>
      <c r="EY58" s="2">
        <v>0</v>
      </c>
      <c r="EZ58" s="2">
        <v>0</v>
      </c>
      <c r="FB58" s="1" t="s">
        <v>1155</v>
      </c>
      <c r="FC58" s="1" t="s">
        <v>1157</v>
      </c>
      <c r="FD58" s="2">
        <v>0</v>
      </c>
      <c r="FE58" s="2">
        <v>0</v>
      </c>
      <c r="FF58" s="2">
        <v>0</v>
      </c>
      <c r="FG58" s="2">
        <v>0</v>
      </c>
      <c r="FH58" s="2">
        <v>1</v>
      </c>
      <c r="FI58" s="2">
        <v>0</v>
      </c>
      <c r="FJ58" s="2">
        <v>0</v>
      </c>
      <c r="FL58" s="1" t="s">
        <v>2632</v>
      </c>
      <c r="FM58" s="2">
        <v>0</v>
      </c>
      <c r="FN58" s="2">
        <v>0</v>
      </c>
      <c r="FO58" s="2">
        <v>0</v>
      </c>
      <c r="FP58" s="2">
        <v>0</v>
      </c>
      <c r="FQ58" s="2">
        <v>1</v>
      </c>
      <c r="FR58" s="2">
        <v>1</v>
      </c>
      <c r="FS58" s="2">
        <v>0</v>
      </c>
      <c r="FT58" s="2">
        <v>0</v>
      </c>
      <c r="FU58" s="2">
        <v>0</v>
      </c>
      <c r="FV58" s="2">
        <v>0</v>
      </c>
      <c r="FW58" s="2">
        <v>0</v>
      </c>
      <c r="FX58" s="2">
        <v>0</v>
      </c>
      <c r="FY58" s="2">
        <v>0</v>
      </c>
      <c r="GA58" s="1" t="s">
        <v>1155</v>
      </c>
      <c r="GI58" s="1" t="s">
        <v>2633</v>
      </c>
      <c r="GJ58" s="2">
        <v>0</v>
      </c>
      <c r="GK58" s="2">
        <v>0</v>
      </c>
      <c r="GL58" s="2">
        <v>0</v>
      </c>
      <c r="GM58" s="2">
        <v>0</v>
      </c>
      <c r="GN58" s="2">
        <v>1</v>
      </c>
      <c r="GO58" s="2">
        <v>0</v>
      </c>
      <c r="GP58" s="2">
        <v>0</v>
      </c>
      <c r="GQ58" s="2">
        <v>0</v>
      </c>
      <c r="GR58" s="2">
        <v>0</v>
      </c>
      <c r="GS58" s="2">
        <v>1</v>
      </c>
      <c r="GT58" s="2">
        <v>0</v>
      </c>
      <c r="GU58" s="2">
        <v>0</v>
      </c>
      <c r="GV58" s="2">
        <v>0</v>
      </c>
      <c r="AVS58" s="1">
        <v>134226966</v>
      </c>
      <c r="AVT58" s="1" t="s">
        <v>2634</v>
      </c>
      <c r="AVV58" s="1">
        <v>203</v>
      </c>
    </row>
    <row r="59" spans="1:1270" x14ac:dyDescent="0.3">
      <c r="A59" s="1" t="s">
        <v>2635</v>
      </c>
      <c r="B59" s="1" t="s">
        <v>2636</v>
      </c>
      <c r="C59" s="1" t="s">
        <v>2637</v>
      </c>
      <c r="D59" s="1" t="s">
        <v>2324</v>
      </c>
      <c r="E59" s="1" t="s">
        <v>2125</v>
      </c>
      <c r="F59" s="1" t="s">
        <v>2324</v>
      </c>
      <c r="I59" s="1" t="s">
        <v>2080</v>
      </c>
      <c r="J59" s="1" t="s">
        <v>2325</v>
      </c>
      <c r="K59" s="1" t="s">
        <v>2325</v>
      </c>
      <c r="N59" s="1" t="s">
        <v>1152</v>
      </c>
      <c r="O59" s="2">
        <v>1</v>
      </c>
      <c r="P59" s="2">
        <v>0</v>
      </c>
      <c r="Q59" s="2">
        <v>0</v>
      </c>
      <c r="R59" s="2">
        <v>0</v>
      </c>
      <c r="S59" s="2">
        <v>0</v>
      </c>
      <c r="U59" s="1" t="s">
        <v>1654</v>
      </c>
      <c r="W59" s="1" t="s">
        <v>1155</v>
      </c>
      <c r="X59" s="1" t="s">
        <v>1155</v>
      </c>
      <c r="AN59" s="1" t="s">
        <v>1179</v>
      </c>
      <c r="AO59" s="2">
        <v>100</v>
      </c>
      <c r="AP59" s="1" t="s">
        <v>1871</v>
      </c>
      <c r="AR59" s="1" t="s">
        <v>1649</v>
      </c>
      <c r="AS59" s="1" t="s">
        <v>1655</v>
      </c>
      <c r="AT59" s="1" t="s">
        <v>1155</v>
      </c>
      <c r="AU59" s="1" t="s">
        <v>1156</v>
      </c>
      <c r="AV59" s="1" t="s">
        <v>1919</v>
      </c>
      <c r="AW59" s="2">
        <v>1</v>
      </c>
      <c r="AX59" s="2">
        <v>0</v>
      </c>
      <c r="AY59" s="2">
        <v>1</v>
      </c>
      <c r="AZ59" s="2">
        <v>0</v>
      </c>
      <c r="BA59" s="2">
        <v>0</v>
      </c>
      <c r="BB59" s="2">
        <v>0</v>
      </c>
      <c r="BC59" s="2">
        <v>0</v>
      </c>
      <c r="BD59" s="2">
        <v>0</v>
      </c>
      <c r="BO59" s="1" t="s">
        <v>1157</v>
      </c>
      <c r="BP59" s="2">
        <v>0</v>
      </c>
      <c r="BQ59" s="2">
        <v>0</v>
      </c>
      <c r="BR59" s="2">
        <v>0</v>
      </c>
      <c r="BS59" s="2">
        <v>0</v>
      </c>
      <c r="BT59" s="2">
        <v>0</v>
      </c>
      <c r="BU59" s="2">
        <v>1</v>
      </c>
      <c r="BV59" s="2">
        <v>0</v>
      </c>
      <c r="BW59" s="2">
        <v>0</v>
      </c>
      <c r="BX59" s="2">
        <v>0</v>
      </c>
      <c r="BY59" s="2">
        <v>0</v>
      </c>
      <c r="BZ59" s="2">
        <v>0</v>
      </c>
      <c r="CA59" s="2">
        <v>0</v>
      </c>
      <c r="CC59" s="1" t="s">
        <v>1154</v>
      </c>
      <c r="DQ59" s="1" t="s">
        <v>1153</v>
      </c>
      <c r="DR59" s="2">
        <v>0</v>
      </c>
      <c r="DS59" s="2">
        <v>0</v>
      </c>
      <c r="DT59" s="2">
        <v>0</v>
      </c>
      <c r="DU59" s="2">
        <v>1</v>
      </c>
      <c r="DV59" s="2">
        <v>0</v>
      </c>
      <c r="DW59" s="1" t="s">
        <v>2667</v>
      </c>
      <c r="DX59" s="1" t="s">
        <v>2638</v>
      </c>
      <c r="DY59" s="2">
        <v>1</v>
      </c>
      <c r="DZ59" s="2">
        <v>1</v>
      </c>
      <c r="EA59" s="2">
        <v>1</v>
      </c>
      <c r="EB59" s="2">
        <v>0</v>
      </c>
      <c r="EC59" s="2">
        <v>0</v>
      </c>
      <c r="ED59" s="2">
        <v>0</v>
      </c>
      <c r="EE59" s="2">
        <v>0</v>
      </c>
      <c r="EF59" s="2">
        <v>1</v>
      </c>
      <c r="EG59" s="2">
        <v>0</v>
      </c>
      <c r="EH59" s="2">
        <v>0</v>
      </c>
      <c r="EI59" s="2">
        <v>0</v>
      </c>
      <c r="EJ59" s="2">
        <v>0</v>
      </c>
      <c r="EK59" s="2">
        <v>1</v>
      </c>
      <c r="EM59" s="1" t="s">
        <v>1784</v>
      </c>
      <c r="EN59" s="2">
        <v>0</v>
      </c>
      <c r="EO59" s="2">
        <v>0</v>
      </c>
      <c r="EP59" s="2">
        <v>0</v>
      </c>
      <c r="EQ59" s="2">
        <v>0</v>
      </c>
      <c r="ER59" s="2">
        <v>0</v>
      </c>
      <c r="ES59" s="2">
        <v>0</v>
      </c>
      <c r="ET59" s="2">
        <v>1</v>
      </c>
      <c r="EU59" s="2">
        <v>0</v>
      </c>
      <c r="EV59" s="2">
        <v>0</v>
      </c>
      <c r="EW59" s="2">
        <v>0</v>
      </c>
      <c r="EX59" s="2">
        <v>0</v>
      </c>
      <c r="EY59" s="2">
        <v>0</v>
      </c>
      <c r="EZ59" s="2">
        <v>0</v>
      </c>
      <c r="FB59" s="1" t="s">
        <v>1154</v>
      </c>
      <c r="GI59" s="1" t="s">
        <v>2639</v>
      </c>
      <c r="GJ59" s="2">
        <v>0</v>
      </c>
      <c r="GK59" s="2">
        <v>1</v>
      </c>
      <c r="GL59" s="2">
        <v>0</v>
      </c>
      <c r="GM59" s="2">
        <v>0</v>
      </c>
      <c r="GN59" s="2">
        <v>1</v>
      </c>
      <c r="GO59" s="2">
        <v>0</v>
      </c>
      <c r="GP59" s="2">
        <v>0</v>
      </c>
      <c r="GQ59" s="2">
        <v>0</v>
      </c>
      <c r="GR59" s="2">
        <v>0</v>
      </c>
      <c r="GS59" s="2">
        <v>0</v>
      </c>
      <c r="GT59" s="2">
        <v>1</v>
      </c>
      <c r="GU59" s="2">
        <v>0</v>
      </c>
      <c r="GV59" s="2">
        <v>0</v>
      </c>
      <c r="AVS59" s="1">
        <v>134770267</v>
      </c>
      <c r="AVT59" s="1" t="s">
        <v>2640</v>
      </c>
      <c r="AVV59" s="1">
        <v>237</v>
      </c>
    </row>
    <row r="60" spans="1:1270" x14ac:dyDescent="0.3">
      <c r="A60" s="1" t="s">
        <v>2641</v>
      </c>
      <c r="B60" s="1" t="s">
        <v>2642</v>
      </c>
      <c r="C60" s="1" t="s">
        <v>2643</v>
      </c>
      <c r="D60" s="1" t="s">
        <v>2324</v>
      </c>
      <c r="E60" s="1" t="s">
        <v>2079</v>
      </c>
      <c r="F60" s="1" t="s">
        <v>2324</v>
      </c>
      <c r="I60" s="1" t="s">
        <v>2080</v>
      </c>
      <c r="J60" s="1" t="s">
        <v>2325</v>
      </c>
      <c r="K60" s="1" t="s">
        <v>2325</v>
      </c>
      <c r="N60" s="1" t="s">
        <v>1152</v>
      </c>
      <c r="O60" s="2">
        <v>1</v>
      </c>
      <c r="P60" s="2">
        <v>0</v>
      </c>
      <c r="Q60" s="2">
        <v>0</v>
      </c>
      <c r="R60" s="2">
        <v>0</v>
      </c>
      <c r="S60" s="2">
        <v>0</v>
      </c>
      <c r="U60" s="1" t="s">
        <v>1874</v>
      </c>
      <c r="W60" s="1" t="s">
        <v>1155</v>
      </c>
      <c r="X60" s="1" t="s">
        <v>1154</v>
      </c>
      <c r="AB60" s="1" t="s">
        <v>1186</v>
      </c>
      <c r="AC60" s="2">
        <v>1</v>
      </c>
      <c r="AD60" s="2">
        <v>0</v>
      </c>
      <c r="AE60" s="2">
        <v>0</v>
      </c>
      <c r="AF60" s="2">
        <v>0</v>
      </c>
      <c r="AG60" s="2">
        <v>0</v>
      </c>
      <c r="AH60" s="2">
        <v>0</v>
      </c>
      <c r="AI60" s="2">
        <v>0</v>
      </c>
      <c r="AJ60" s="2">
        <v>0</v>
      </c>
      <c r="AK60" s="2">
        <v>0</v>
      </c>
      <c r="AM60" s="1" t="s">
        <v>1637</v>
      </c>
      <c r="BO60" s="1" t="s">
        <v>1158</v>
      </c>
      <c r="BP60" s="2">
        <v>0</v>
      </c>
      <c r="BQ60" s="2">
        <v>0</v>
      </c>
      <c r="BR60" s="2">
        <v>1</v>
      </c>
      <c r="BS60" s="2">
        <v>0</v>
      </c>
      <c r="BT60" s="2">
        <v>0</v>
      </c>
      <c r="BU60" s="2">
        <v>0</v>
      </c>
      <c r="BV60" s="2">
        <v>0</v>
      </c>
      <c r="BW60" s="2">
        <v>0</v>
      </c>
      <c r="BX60" s="2">
        <v>0</v>
      </c>
      <c r="BY60" s="2">
        <v>0</v>
      </c>
      <c r="BZ60" s="2">
        <v>0</v>
      </c>
      <c r="CA60" s="2">
        <v>0</v>
      </c>
      <c r="FB60" s="1" t="s">
        <v>1155</v>
      </c>
      <c r="FC60" s="1" t="s">
        <v>1938</v>
      </c>
      <c r="FD60" s="2">
        <v>1</v>
      </c>
      <c r="FE60" s="2">
        <v>0</v>
      </c>
      <c r="FF60" s="2">
        <v>0</v>
      </c>
      <c r="FG60" s="2">
        <v>0</v>
      </c>
      <c r="FH60" s="2">
        <v>0</v>
      </c>
      <c r="FI60" s="2">
        <v>0</v>
      </c>
      <c r="FJ60" s="2">
        <v>0</v>
      </c>
      <c r="FL60" s="1" t="s">
        <v>1161</v>
      </c>
      <c r="FM60" s="2">
        <v>0</v>
      </c>
      <c r="FN60" s="2">
        <v>0</v>
      </c>
      <c r="FO60" s="2">
        <v>0</v>
      </c>
      <c r="FP60" s="2">
        <v>0</v>
      </c>
      <c r="FQ60" s="2">
        <v>0</v>
      </c>
      <c r="FR60" s="2">
        <v>0</v>
      </c>
      <c r="FS60" s="2">
        <v>0</v>
      </c>
      <c r="FT60" s="2">
        <v>0</v>
      </c>
      <c r="FU60" s="2">
        <v>0</v>
      </c>
      <c r="FV60" s="2">
        <v>0</v>
      </c>
      <c r="FW60" s="2">
        <v>0</v>
      </c>
      <c r="FX60" s="2">
        <v>1</v>
      </c>
      <c r="FY60" s="2">
        <v>0</v>
      </c>
      <c r="GA60" s="1" t="s">
        <v>1155</v>
      </c>
      <c r="GI60" s="1" t="s">
        <v>2644</v>
      </c>
      <c r="GJ60" s="2">
        <v>0</v>
      </c>
      <c r="GK60" s="2">
        <v>1</v>
      </c>
      <c r="GL60" s="2">
        <v>0</v>
      </c>
      <c r="GM60" s="2">
        <v>0</v>
      </c>
      <c r="GN60" s="2">
        <v>1</v>
      </c>
      <c r="GO60" s="2">
        <v>1</v>
      </c>
      <c r="GP60" s="2">
        <v>1</v>
      </c>
      <c r="GQ60" s="2">
        <v>0</v>
      </c>
      <c r="GR60" s="2">
        <v>0</v>
      </c>
      <c r="GS60" s="2">
        <v>0</v>
      </c>
      <c r="GT60" s="2">
        <v>0</v>
      </c>
      <c r="GU60" s="2">
        <v>0</v>
      </c>
      <c r="GV60" s="2">
        <v>0</v>
      </c>
      <c r="AVS60" s="1">
        <v>134770298</v>
      </c>
      <c r="AVT60" s="1" t="s">
        <v>2645</v>
      </c>
      <c r="AVV60" s="1">
        <v>238</v>
      </c>
    </row>
    <row r="61" spans="1:1270" x14ac:dyDescent="0.3">
      <c r="A61" s="1" t="s">
        <v>2646</v>
      </c>
      <c r="B61" s="1" t="s">
        <v>2647</v>
      </c>
      <c r="C61" s="1" t="s">
        <v>2648</v>
      </c>
      <c r="D61" s="1" t="s">
        <v>2324</v>
      </c>
      <c r="E61" s="1" t="s">
        <v>2125</v>
      </c>
      <c r="F61" s="1" t="s">
        <v>2324</v>
      </c>
      <c r="I61" s="1" t="s">
        <v>2080</v>
      </c>
      <c r="J61" s="1" t="s">
        <v>2325</v>
      </c>
      <c r="K61" s="1" t="s">
        <v>2325</v>
      </c>
      <c r="N61" s="1" t="s">
        <v>1159</v>
      </c>
      <c r="O61" s="2">
        <v>0</v>
      </c>
      <c r="P61" s="2">
        <v>0</v>
      </c>
      <c r="Q61" s="2">
        <v>0</v>
      </c>
      <c r="R61" s="2">
        <v>0</v>
      </c>
      <c r="S61" s="2">
        <v>1</v>
      </c>
      <c r="AKT61" s="1" t="s">
        <v>1978</v>
      </c>
      <c r="AKU61" s="1" t="s">
        <v>1155</v>
      </c>
      <c r="ALF61" s="1" t="s">
        <v>1155</v>
      </c>
      <c r="ALG61" s="1" t="s">
        <v>1155</v>
      </c>
      <c r="ALN61" s="1" t="s">
        <v>2649</v>
      </c>
      <c r="ALO61" s="2">
        <v>1</v>
      </c>
      <c r="ALP61" s="2">
        <v>1</v>
      </c>
      <c r="ALQ61" s="2">
        <v>1</v>
      </c>
      <c r="ALR61" s="2">
        <v>0</v>
      </c>
      <c r="ALS61" s="2">
        <v>0</v>
      </c>
      <c r="ALT61" s="2">
        <v>0</v>
      </c>
      <c r="ALU61" s="2">
        <v>1</v>
      </c>
      <c r="ALV61" s="2">
        <v>0</v>
      </c>
      <c r="ALX61" s="1" t="s">
        <v>2650</v>
      </c>
      <c r="ALY61" s="2">
        <v>1</v>
      </c>
      <c r="ALZ61" s="2">
        <v>1</v>
      </c>
      <c r="AMA61" s="2">
        <v>1</v>
      </c>
      <c r="AMB61" s="2">
        <v>1</v>
      </c>
      <c r="AMC61" s="2">
        <v>1</v>
      </c>
      <c r="AMD61" s="2">
        <v>1</v>
      </c>
      <c r="AME61" s="2">
        <v>0</v>
      </c>
      <c r="AMF61" s="1" t="s">
        <v>1643</v>
      </c>
      <c r="AMG61" s="2">
        <v>1</v>
      </c>
      <c r="AMH61" s="2">
        <v>0</v>
      </c>
      <c r="AMI61" s="2">
        <v>0</v>
      </c>
      <c r="AMJ61" s="2">
        <v>0</v>
      </c>
      <c r="AMK61" s="2">
        <v>0</v>
      </c>
      <c r="AMM61" s="1" t="s">
        <v>1154</v>
      </c>
      <c r="AMW61" s="2">
        <v>3</v>
      </c>
      <c r="AMX61" s="1" t="s">
        <v>1155</v>
      </c>
      <c r="AMY61" s="1" t="s">
        <v>1160</v>
      </c>
      <c r="ANK61" s="1" t="s">
        <v>1987</v>
      </c>
      <c r="ANL61" s="2">
        <v>1</v>
      </c>
      <c r="ANM61" s="2">
        <v>0</v>
      </c>
      <c r="ANN61" s="2">
        <v>0</v>
      </c>
      <c r="ANO61" s="2">
        <v>0</v>
      </c>
      <c r="ANP61" s="2">
        <v>0</v>
      </c>
      <c r="ANQ61" s="2">
        <v>0</v>
      </c>
      <c r="ANR61" s="2">
        <v>0</v>
      </c>
      <c r="ANS61" s="2">
        <v>0</v>
      </c>
      <c r="ANT61" s="2">
        <v>0</v>
      </c>
      <c r="ANU61" s="2">
        <v>0</v>
      </c>
      <c r="ANV61" s="2">
        <v>1</v>
      </c>
      <c r="ANX61" s="1" t="s">
        <v>1154</v>
      </c>
      <c r="ANZ61" s="1" t="s">
        <v>1161</v>
      </c>
      <c r="AOA61" s="2">
        <v>0</v>
      </c>
      <c r="AOB61" s="2">
        <v>0</v>
      </c>
      <c r="AOC61" s="2">
        <v>0</v>
      </c>
      <c r="AOD61" s="2">
        <v>0</v>
      </c>
      <c r="AOE61" s="2">
        <v>0</v>
      </c>
      <c r="AOF61" s="2">
        <v>0</v>
      </c>
      <c r="AOG61" s="2">
        <v>1</v>
      </c>
      <c r="AOH61" s="2">
        <v>0</v>
      </c>
      <c r="AOJ61" s="1" t="s">
        <v>1161</v>
      </c>
      <c r="AOL61" s="1" t="s">
        <v>1884</v>
      </c>
      <c r="AON61" s="2">
        <v>120</v>
      </c>
      <c r="AOO61" s="1" t="s">
        <v>2651</v>
      </c>
      <c r="AOP61" s="2">
        <v>1</v>
      </c>
      <c r="AOQ61" s="2">
        <v>0</v>
      </c>
      <c r="AOR61" s="2">
        <v>0</v>
      </c>
      <c r="AOS61" s="2">
        <v>0</v>
      </c>
      <c r="AOT61" s="2">
        <v>0</v>
      </c>
      <c r="AOU61" s="2">
        <v>1</v>
      </c>
      <c r="AOV61" s="2">
        <v>0</v>
      </c>
      <c r="AOW61" s="2">
        <v>0</v>
      </c>
      <c r="AOY61" s="1" t="s">
        <v>1161</v>
      </c>
      <c r="APA61" s="1" t="s">
        <v>1161</v>
      </c>
      <c r="APD61" s="1" t="s">
        <v>1386</v>
      </c>
      <c r="APF61" s="1" t="s">
        <v>1155</v>
      </c>
      <c r="APG61" s="1" t="s">
        <v>1160</v>
      </c>
      <c r="APQ61" s="1" t="s">
        <v>1188</v>
      </c>
      <c r="APR61" s="2">
        <v>0</v>
      </c>
      <c r="APS61" s="2">
        <v>0</v>
      </c>
      <c r="APT61" s="2">
        <v>0</v>
      </c>
      <c r="APU61" s="2">
        <v>1</v>
      </c>
      <c r="APV61" s="2">
        <v>0</v>
      </c>
      <c r="APW61" s="2">
        <v>0</v>
      </c>
      <c r="APX61" s="2">
        <v>0</v>
      </c>
      <c r="APZ61" s="1" t="s">
        <v>1924</v>
      </c>
      <c r="AQA61" s="2">
        <v>0</v>
      </c>
      <c r="AQB61" s="2">
        <v>1</v>
      </c>
      <c r="AQC61" s="2">
        <v>0</v>
      </c>
      <c r="AQD61" s="2">
        <v>0</v>
      </c>
      <c r="AQE61" s="2">
        <v>0</v>
      </c>
      <c r="AQF61" s="2">
        <v>0</v>
      </c>
      <c r="AQL61" s="1" t="s">
        <v>1979</v>
      </c>
      <c r="AQN61" s="2">
        <v>750</v>
      </c>
      <c r="AQO61" s="1" t="s">
        <v>1162</v>
      </c>
      <c r="ARG61" s="1" t="s">
        <v>2652</v>
      </c>
      <c r="ARH61" s="2">
        <v>0</v>
      </c>
      <c r="ARI61" s="2">
        <v>1</v>
      </c>
      <c r="ARJ61" s="2">
        <v>0</v>
      </c>
      <c r="ARK61" s="2">
        <v>0</v>
      </c>
      <c r="ARL61" s="2">
        <v>0</v>
      </c>
      <c r="ARM61" s="2">
        <v>1</v>
      </c>
      <c r="ARN61" s="2">
        <v>0</v>
      </c>
      <c r="ARO61" s="2">
        <v>0</v>
      </c>
      <c r="ARP61" s="2">
        <v>0</v>
      </c>
      <c r="ARQ61" s="2">
        <v>0</v>
      </c>
      <c r="ARR61" s="2">
        <v>0</v>
      </c>
      <c r="ARS61" s="2">
        <v>0</v>
      </c>
      <c r="ARU61" s="1" t="s">
        <v>1162</v>
      </c>
      <c r="ARV61" s="2">
        <v>1</v>
      </c>
      <c r="ARW61" s="2">
        <v>0</v>
      </c>
      <c r="ARX61" s="2">
        <v>0</v>
      </c>
      <c r="ARY61" s="2">
        <v>0</v>
      </c>
      <c r="ARZ61" s="2">
        <v>0</v>
      </c>
      <c r="ASA61" s="2">
        <v>0</v>
      </c>
      <c r="ASB61" s="2">
        <v>0</v>
      </c>
      <c r="ASD61" s="1" t="s">
        <v>1154</v>
      </c>
      <c r="ASN61" s="1" t="s">
        <v>1163</v>
      </c>
      <c r="ASO61" s="2">
        <v>0</v>
      </c>
      <c r="ASP61" s="2">
        <v>0</v>
      </c>
      <c r="ASQ61" s="2">
        <v>0</v>
      </c>
      <c r="ASR61" s="2">
        <v>0</v>
      </c>
      <c r="ASS61" s="2">
        <v>1</v>
      </c>
      <c r="ASU61" s="1" t="s">
        <v>1162</v>
      </c>
      <c r="ASV61" s="2">
        <v>1</v>
      </c>
      <c r="ASW61" s="2">
        <v>0</v>
      </c>
      <c r="ASX61" s="2">
        <v>0</v>
      </c>
      <c r="ASY61" s="2">
        <v>0</v>
      </c>
      <c r="ASZ61" s="2">
        <v>0</v>
      </c>
      <c r="ATA61" s="2">
        <v>0</v>
      </c>
      <c r="ATB61" s="2">
        <v>0</v>
      </c>
      <c r="ATC61" s="2">
        <v>0</v>
      </c>
      <c r="ATD61" s="2">
        <v>0</v>
      </c>
      <c r="ATE61" s="2">
        <v>0</v>
      </c>
      <c r="ATF61" s="2">
        <v>0</v>
      </c>
      <c r="ATG61" s="2">
        <v>0</v>
      </c>
      <c r="ATH61" s="2">
        <v>0</v>
      </c>
      <c r="ATJ61" s="1" t="s">
        <v>2653</v>
      </c>
      <c r="ATK61" s="2">
        <v>1</v>
      </c>
      <c r="ATL61" s="2">
        <v>1</v>
      </c>
      <c r="ATM61" s="2">
        <v>0</v>
      </c>
      <c r="ATN61" s="2">
        <v>0</v>
      </c>
      <c r="ATO61" s="2">
        <v>0</v>
      </c>
      <c r="ATP61" s="2">
        <v>0</v>
      </c>
      <c r="ATQ61" s="2">
        <v>0</v>
      </c>
      <c r="ATR61" s="2">
        <v>0</v>
      </c>
      <c r="ATS61" s="2">
        <v>0</v>
      </c>
      <c r="ATT61" s="2">
        <v>0</v>
      </c>
      <c r="ATU61" s="2">
        <v>0</v>
      </c>
      <c r="ATV61" s="2">
        <v>1</v>
      </c>
      <c r="ATW61" s="2">
        <v>0</v>
      </c>
      <c r="ATX61" s="2">
        <v>0</v>
      </c>
      <c r="ATY61" s="2">
        <v>0</v>
      </c>
      <c r="ATZ61" s="2">
        <v>0</v>
      </c>
      <c r="AUA61" s="2">
        <v>0</v>
      </c>
      <c r="AUC61" s="1" t="s">
        <v>1155</v>
      </c>
      <c r="AUD61" s="1" t="s">
        <v>2654</v>
      </c>
      <c r="AUE61" s="2">
        <v>0</v>
      </c>
      <c r="AUF61" s="2">
        <v>0</v>
      </c>
      <c r="AUG61" s="2">
        <v>0</v>
      </c>
      <c r="AUH61" s="2">
        <v>0</v>
      </c>
      <c r="AUI61" s="2">
        <v>1</v>
      </c>
      <c r="AUJ61" s="2">
        <v>0</v>
      </c>
      <c r="AUK61" s="2">
        <v>0</v>
      </c>
      <c r="AUL61" s="2">
        <v>0</v>
      </c>
      <c r="AUN61" s="1" t="s">
        <v>1988</v>
      </c>
      <c r="AUO61" s="2">
        <v>0</v>
      </c>
      <c r="AUP61" s="2">
        <v>0</v>
      </c>
      <c r="AUQ61" s="2">
        <v>1</v>
      </c>
      <c r="AUR61" s="2">
        <v>0</v>
      </c>
      <c r="AUS61" s="2">
        <v>0</v>
      </c>
      <c r="AUT61" s="2">
        <v>0</v>
      </c>
      <c r="AUU61" s="2">
        <v>1</v>
      </c>
      <c r="AUV61" s="2">
        <v>0</v>
      </c>
      <c r="AUW61" s="2">
        <v>0</v>
      </c>
      <c r="AUY61" s="1" t="s">
        <v>1155</v>
      </c>
      <c r="AVG61" s="1" t="s">
        <v>2655</v>
      </c>
      <c r="AVH61" s="2">
        <v>0</v>
      </c>
      <c r="AVI61" s="2">
        <v>1</v>
      </c>
      <c r="AVJ61" s="2">
        <v>0</v>
      </c>
      <c r="AVK61" s="2">
        <v>0</v>
      </c>
      <c r="AVL61" s="2">
        <v>0</v>
      </c>
      <c r="AVM61" s="2">
        <v>0</v>
      </c>
      <c r="AVN61" s="2">
        <v>1</v>
      </c>
      <c r="AVO61" s="2">
        <v>0</v>
      </c>
      <c r="AVP61" s="2">
        <v>0</v>
      </c>
      <c r="AVS61" s="1">
        <v>134770438</v>
      </c>
      <c r="AVT61" s="1" t="s">
        <v>2656</v>
      </c>
      <c r="AVV61" s="1">
        <v>239</v>
      </c>
    </row>
    <row r="62" spans="1:1270" x14ac:dyDescent="0.3">
      <c r="A62" s="1" t="s">
        <v>2657</v>
      </c>
      <c r="B62" s="1" t="s">
        <v>2658</v>
      </c>
      <c r="C62" s="1" t="s">
        <v>2659</v>
      </c>
      <c r="D62" s="1" t="s">
        <v>2324</v>
      </c>
      <c r="E62" s="1" t="s">
        <v>2125</v>
      </c>
      <c r="F62" s="1" t="s">
        <v>2324</v>
      </c>
      <c r="I62" s="1" t="s">
        <v>2080</v>
      </c>
      <c r="J62" s="1" t="s">
        <v>2325</v>
      </c>
      <c r="K62" s="1" t="s">
        <v>2325</v>
      </c>
      <c r="N62" s="1" t="s">
        <v>1152</v>
      </c>
      <c r="O62" s="2">
        <v>1</v>
      </c>
      <c r="P62" s="2">
        <v>0</v>
      </c>
      <c r="Q62" s="2">
        <v>0</v>
      </c>
      <c r="R62" s="2">
        <v>0</v>
      </c>
      <c r="S62" s="2">
        <v>0</v>
      </c>
      <c r="U62" s="1" t="s">
        <v>1654</v>
      </c>
      <c r="W62" s="1" t="s">
        <v>1154</v>
      </c>
      <c r="X62" s="1" t="s">
        <v>1154</v>
      </c>
      <c r="AB62" s="1" t="s">
        <v>1186</v>
      </c>
      <c r="AC62" s="2">
        <v>1</v>
      </c>
      <c r="AD62" s="2">
        <v>0</v>
      </c>
      <c r="AE62" s="2">
        <v>0</v>
      </c>
      <c r="AF62" s="2">
        <v>0</v>
      </c>
      <c r="AG62" s="2">
        <v>0</v>
      </c>
      <c r="AH62" s="2">
        <v>0</v>
      </c>
      <c r="AI62" s="2">
        <v>0</v>
      </c>
      <c r="AJ62" s="2">
        <v>0</v>
      </c>
      <c r="AK62" s="2">
        <v>0</v>
      </c>
      <c r="AM62" s="1" t="s">
        <v>1915</v>
      </c>
      <c r="BO62" s="1" t="s">
        <v>1157</v>
      </c>
      <c r="BP62" s="2">
        <v>0</v>
      </c>
      <c r="BQ62" s="2">
        <v>0</v>
      </c>
      <c r="BR62" s="2">
        <v>0</v>
      </c>
      <c r="BS62" s="2">
        <v>0</v>
      </c>
      <c r="BT62" s="2">
        <v>0</v>
      </c>
      <c r="BU62" s="2">
        <v>1</v>
      </c>
      <c r="BV62" s="2">
        <v>0</v>
      </c>
      <c r="BW62" s="2">
        <v>0</v>
      </c>
      <c r="BX62" s="2">
        <v>0</v>
      </c>
      <c r="BY62" s="2">
        <v>0</v>
      </c>
      <c r="BZ62" s="2">
        <v>0</v>
      </c>
      <c r="CA62" s="2">
        <v>0</v>
      </c>
      <c r="FB62" s="1" t="s">
        <v>1154</v>
      </c>
      <c r="GI62" s="1" t="s">
        <v>1952</v>
      </c>
      <c r="GJ62" s="2">
        <v>0</v>
      </c>
      <c r="GK62" s="2">
        <v>1</v>
      </c>
      <c r="GL62" s="2">
        <v>1</v>
      </c>
      <c r="GM62" s="2">
        <v>0</v>
      </c>
      <c r="GN62" s="2">
        <v>1</v>
      </c>
      <c r="GO62" s="2">
        <v>1</v>
      </c>
      <c r="GP62" s="2">
        <v>0</v>
      </c>
      <c r="GQ62" s="2">
        <v>0</v>
      </c>
      <c r="GR62" s="2">
        <v>0</v>
      </c>
      <c r="GS62" s="2">
        <v>0</v>
      </c>
      <c r="GT62" s="2">
        <v>0</v>
      </c>
      <c r="GU62" s="2">
        <v>0</v>
      </c>
      <c r="GV62" s="2">
        <v>0</v>
      </c>
      <c r="AVS62" s="1">
        <v>134770767</v>
      </c>
      <c r="AVT62" s="1" t="s">
        <v>2660</v>
      </c>
      <c r="AVV62" s="1">
        <v>240</v>
      </c>
    </row>
    <row r="63" spans="1:1270" x14ac:dyDescent="0.3">
      <c r="A63" s="1" t="s">
        <v>2661</v>
      </c>
      <c r="B63" s="1" t="s">
        <v>2662</v>
      </c>
      <c r="C63" s="1" t="s">
        <v>2663</v>
      </c>
      <c r="D63" s="1" t="s">
        <v>2324</v>
      </c>
      <c r="E63" s="1" t="s">
        <v>2125</v>
      </c>
      <c r="F63" s="1" t="s">
        <v>2324</v>
      </c>
      <c r="I63" s="1" t="s">
        <v>2080</v>
      </c>
      <c r="J63" s="1" t="s">
        <v>2325</v>
      </c>
      <c r="K63" s="1" t="s">
        <v>2325</v>
      </c>
      <c r="N63" s="1" t="s">
        <v>1152</v>
      </c>
      <c r="O63" s="2">
        <v>1</v>
      </c>
      <c r="P63" s="2">
        <v>0</v>
      </c>
      <c r="Q63" s="2">
        <v>0</v>
      </c>
      <c r="R63" s="2">
        <v>0</v>
      </c>
      <c r="S63" s="2">
        <v>0</v>
      </c>
      <c r="U63" s="1" t="s">
        <v>1654</v>
      </c>
      <c r="W63" s="1" t="s">
        <v>1155</v>
      </c>
      <c r="X63" s="1" t="s">
        <v>1155</v>
      </c>
      <c r="AN63" s="1" t="s">
        <v>1179</v>
      </c>
      <c r="AO63" s="2">
        <v>200</v>
      </c>
      <c r="AP63" s="1" t="s">
        <v>1871</v>
      </c>
      <c r="AR63" s="1" t="s">
        <v>1649</v>
      </c>
      <c r="AS63" s="1" t="s">
        <v>1655</v>
      </c>
      <c r="AT63" s="1" t="s">
        <v>1155</v>
      </c>
      <c r="AU63" s="1" t="s">
        <v>1156</v>
      </c>
      <c r="AV63" s="1" t="s">
        <v>1919</v>
      </c>
      <c r="AW63" s="2">
        <v>1</v>
      </c>
      <c r="AX63" s="2">
        <v>0</v>
      </c>
      <c r="AY63" s="2">
        <v>1</v>
      </c>
      <c r="AZ63" s="2">
        <v>0</v>
      </c>
      <c r="BA63" s="2">
        <v>0</v>
      </c>
      <c r="BB63" s="2">
        <v>0</v>
      </c>
      <c r="BC63" s="2">
        <v>0</v>
      </c>
      <c r="BD63" s="2">
        <v>0</v>
      </c>
      <c r="BO63" s="1" t="s">
        <v>1184</v>
      </c>
      <c r="BP63" s="2">
        <v>1</v>
      </c>
      <c r="BQ63" s="2">
        <v>0</v>
      </c>
      <c r="BR63" s="2">
        <v>0</v>
      </c>
      <c r="BS63" s="2">
        <v>0</v>
      </c>
      <c r="BT63" s="2">
        <v>0</v>
      </c>
      <c r="BU63" s="2">
        <v>0</v>
      </c>
      <c r="BV63" s="2">
        <v>0</v>
      </c>
      <c r="BW63" s="2">
        <v>0</v>
      </c>
      <c r="BX63" s="2">
        <v>0</v>
      </c>
      <c r="BY63" s="2">
        <v>0</v>
      </c>
      <c r="BZ63" s="2">
        <v>0</v>
      </c>
      <c r="CA63" s="2">
        <v>0</v>
      </c>
      <c r="CC63" s="1" t="s">
        <v>1155</v>
      </c>
      <c r="CD63" s="1" t="s">
        <v>1979</v>
      </c>
      <c r="CF63" s="2">
        <v>100</v>
      </c>
      <c r="CG63" s="1" t="s">
        <v>1154</v>
      </c>
      <c r="CY63" s="1" t="s">
        <v>1388</v>
      </c>
      <c r="CZ63" s="2">
        <v>0</v>
      </c>
      <c r="DA63" s="2">
        <v>0</v>
      </c>
      <c r="DB63" s="2">
        <v>0</v>
      </c>
      <c r="DC63" s="2">
        <v>0</v>
      </c>
      <c r="DD63" s="2">
        <v>1</v>
      </c>
      <c r="DE63" s="2">
        <v>0</v>
      </c>
      <c r="DF63" s="2">
        <v>0</v>
      </c>
      <c r="DG63" s="2">
        <v>0</v>
      </c>
      <c r="DI63" s="1" t="s">
        <v>1155</v>
      </c>
      <c r="DJ63" s="1" t="s">
        <v>2224</v>
      </c>
      <c r="DK63" s="2">
        <v>0</v>
      </c>
      <c r="DL63" s="2">
        <v>1</v>
      </c>
      <c r="DM63" s="2">
        <v>0</v>
      </c>
      <c r="DN63" s="2">
        <v>0</v>
      </c>
      <c r="DO63" s="2">
        <v>0</v>
      </c>
      <c r="DQ63" s="1" t="s">
        <v>1163</v>
      </c>
      <c r="DR63" s="2">
        <v>0</v>
      </c>
      <c r="DS63" s="2">
        <v>0</v>
      </c>
      <c r="DT63" s="2">
        <v>0</v>
      </c>
      <c r="DU63" s="2">
        <v>0</v>
      </c>
      <c r="DV63" s="2">
        <v>1</v>
      </c>
      <c r="DX63" s="1" t="s">
        <v>1946</v>
      </c>
      <c r="DY63" s="2">
        <v>1</v>
      </c>
      <c r="DZ63" s="2">
        <v>0</v>
      </c>
      <c r="EA63" s="2">
        <v>0</v>
      </c>
      <c r="EB63" s="2">
        <v>0</v>
      </c>
      <c r="EC63" s="2">
        <v>0</v>
      </c>
      <c r="ED63" s="2">
        <v>0</v>
      </c>
      <c r="EE63" s="2">
        <v>0</v>
      </c>
      <c r="EF63" s="2">
        <v>0</v>
      </c>
      <c r="EG63" s="2">
        <v>0</v>
      </c>
      <c r="EH63" s="2">
        <v>0</v>
      </c>
      <c r="EI63" s="2">
        <v>0</v>
      </c>
      <c r="EJ63" s="2">
        <v>0</v>
      </c>
      <c r="EK63" s="2">
        <v>1</v>
      </c>
      <c r="EM63" s="1" t="s">
        <v>1933</v>
      </c>
      <c r="EN63" s="2">
        <v>0</v>
      </c>
      <c r="EO63" s="2">
        <v>0</v>
      </c>
      <c r="EP63" s="2">
        <v>0</v>
      </c>
      <c r="EQ63" s="2">
        <v>0</v>
      </c>
      <c r="ER63" s="2">
        <v>0</v>
      </c>
      <c r="ES63" s="2">
        <v>0</v>
      </c>
      <c r="ET63" s="2">
        <v>0</v>
      </c>
      <c r="EU63" s="2">
        <v>0</v>
      </c>
      <c r="EV63" s="2">
        <v>0</v>
      </c>
      <c r="EW63" s="2">
        <v>0</v>
      </c>
      <c r="EX63" s="2">
        <v>0</v>
      </c>
      <c r="EY63" s="2">
        <v>0</v>
      </c>
      <c r="EZ63" s="2">
        <v>1</v>
      </c>
      <c r="FB63" s="1" t="s">
        <v>1154</v>
      </c>
      <c r="GI63" s="1" t="s">
        <v>2664</v>
      </c>
      <c r="GJ63" s="2">
        <v>1</v>
      </c>
      <c r="GK63" s="2">
        <v>1</v>
      </c>
      <c r="GL63" s="2">
        <v>0</v>
      </c>
      <c r="GM63" s="2">
        <v>0</v>
      </c>
      <c r="GN63" s="2">
        <v>0</v>
      </c>
      <c r="GO63" s="2">
        <v>1</v>
      </c>
      <c r="GP63" s="2">
        <v>0</v>
      </c>
      <c r="GQ63" s="2">
        <v>0</v>
      </c>
      <c r="GR63" s="2">
        <v>0</v>
      </c>
      <c r="GS63" s="2">
        <v>0</v>
      </c>
      <c r="GT63" s="2">
        <v>0</v>
      </c>
      <c r="GU63" s="2">
        <v>0</v>
      </c>
      <c r="GV63" s="2">
        <v>0</v>
      </c>
      <c r="AVS63" s="1">
        <v>134770839</v>
      </c>
      <c r="AVT63" s="1" t="s">
        <v>2665</v>
      </c>
      <c r="AVV63" s="1">
        <v>241</v>
      </c>
    </row>
    <row r="64" spans="1:1270" s="56" customFormat="1" x14ac:dyDescent="0.3">
      <c r="A64" s="56" t="s">
        <v>2728</v>
      </c>
      <c r="B64" s="56" t="s">
        <v>2729</v>
      </c>
      <c r="C64" s="56" t="s">
        <v>2730</v>
      </c>
      <c r="D64" s="56" t="s">
        <v>2731</v>
      </c>
      <c r="E64" s="56" t="s">
        <v>2686</v>
      </c>
      <c r="F64" s="56" t="s">
        <v>2731</v>
      </c>
      <c r="I64" s="56" t="s">
        <v>2080</v>
      </c>
      <c r="J64" s="56" t="s">
        <v>2325</v>
      </c>
      <c r="K64" s="56" t="s">
        <v>2325</v>
      </c>
      <c r="N64" s="56" t="s">
        <v>1159</v>
      </c>
      <c r="O64" s="57">
        <v>0</v>
      </c>
      <c r="P64" s="57">
        <v>0</v>
      </c>
      <c r="Q64" s="57">
        <v>0</v>
      </c>
      <c r="R64" s="57">
        <v>0</v>
      </c>
      <c r="S64" s="57">
        <v>1</v>
      </c>
      <c r="AKT64" s="56" t="s">
        <v>2732</v>
      </c>
      <c r="AKU64" s="56" t="s">
        <v>1155</v>
      </c>
      <c r="ALF64" s="56" t="s">
        <v>1155</v>
      </c>
      <c r="ALG64" s="56" t="s">
        <v>1155</v>
      </c>
      <c r="ALN64" s="56" t="s">
        <v>2733</v>
      </c>
      <c r="ALO64" s="57">
        <v>1</v>
      </c>
      <c r="ALP64" s="57">
        <v>1</v>
      </c>
      <c r="ALQ64" s="57">
        <v>1</v>
      </c>
      <c r="ALR64" s="57">
        <v>0</v>
      </c>
      <c r="ALS64" s="57">
        <v>1</v>
      </c>
      <c r="ALT64" s="57">
        <v>0</v>
      </c>
      <c r="ALU64" s="57">
        <v>1</v>
      </c>
      <c r="ALV64" s="57">
        <v>0</v>
      </c>
      <c r="ALX64" s="56" t="s">
        <v>2734</v>
      </c>
      <c r="ALY64" s="57">
        <v>0</v>
      </c>
      <c r="ALZ64" s="57">
        <v>0</v>
      </c>
      <c r="AMA64" s="57">
        <v>0</v>
      </c>
      <c r="AMB64" s="57">
        <v>0</v>
      </c>
      <c r="AMC64" s="57">
        <v>0</v>
      </c>
      <c r="AMD64" s="57">
        <v>0</v>
      </c>
      <c r="AME64" s="57">
        <v>1</v>
      </c>
      <c r="AMF64" s="56" t="s">
        <v>1643</v>
      </c>
      <c r="AMG64" s="57">
        <v>1</v>
      </c>
      <c r="AMH64" s="57">
        <v>0</v>
      </c>
      <c r="AMI64" s="57">
        <v>0</v>
      </c>
      <c r="AMJ64" s="57">
        <v>0</v>
      </c>
      <c r="AMK64" s="57">
        <v>0</v>
      </c>
      <c r="AMM64" s="56" t="s">
        <v>1154</v>
      </c>
      <c r="AMW64" s="57">
        <v>175</v>
      </c>
      <c r="AMX64" s="56" t="s">
        <v>1154</v>
      </c>
      <c r="ANX64" s="56" t="s">
        <v>1154</v>
      </c>
      <c r="ANZ64" s="56" t="s">
        <v>2735</v>
      </c>
      <c r="AOA64" s="57">
        <v>0</v>
      </c>
      <c r="AOB64" s="57">
        <v>1</v>
      </c>
      <c r="AOC64" s="57">
        <v>0</v>
      </c>
      <c r="AOD64" s="57">
        <v>0</v>
      </c>
      <c r="AOE64" s="57">
        <v>0</v>
      </c>
      <c r="AOF64" s="57">
        <v>1</v>
      </c>
      <c r="AOG64" s="57">
        <v>0</v>
      </c>
      <c r="AOH64" s="57">
        <v>0</v>
      </c>
      <c r="AOJ64" s="56" t="s">
        <v>1165</v>
      </c>
      <c r="AOL64" s="56" t="s">
        <v>1153</v>
      </c>
      <c r="AOM64" s="56" t="s">
        <v>2736</v>
      </c>
      <c r="AOO64" s="56" t="s">
        <v>2737</v>
      </c>
      <c r="AOP64" s="57">
        <v>1</v>
      </c>
      <c r="AOQ64" s="57">
        <v>1</v>
      </c>
      <c r="AOR64" s="57">
        <v>0</v>
      </c>
      <c r="AOS64" s="57">
        <v>0</v>
      </c>
      <c r="AOT64" s="57">
        <v>0</v>
      </c>
      <c r="AOU64" s="57">
        <v>1</v>
      </c>
      <c r="AOV64" s="57">
        <v>0</v>
      </c>
      <c r="AOW64" s="57">
        <v>0</v>
      </c>
      <c r="AOY64" s="56" t="s">
        <v>1165</v>
      </c>
      <c r="APA64" s="56" t="s">
        <v>1153</v>
      </c>
      <c r="APB64" s="56" t="s">
        <v>2762</v>
      </c>
      <c r="APD64" s="56" t="s">
        <v>1386</v>
      </c>
      <c r="APF64" s="56" t="s">
        <v>1155</v>
      </c>
      <c r="APG64" s="56" t="s">
        <v>1164</v>
      </c>
      <c r="APQ64" s="56" t="s">
        <v>2279</v>
      </c>
      <c r="APR64" s="57">
        <v>0</v>
      </c>
      <c r="APS64" s="57">
        <v>1</v>
      </c>
      <c r="APT64" s="57">
        <v>0</v>
      </c>
      <c r="APU64" s="57">
        <v>1</v>
      </c>
      <c r="APV64" s="57">
        <v>0</v>
      </c>
      <c r="APW64" s="57">
        <v>0</v>
      </c>
      <c r="APX64" s="57">
        <v>0</v>
      </c>
      <c r="APZ64" s="56" t="s">
        <v>2738</v>
      </c>
      <c r="AQA64" s="57">
        <v>0</v>
      </c>
      <c r="AQB64" s="57">
        <v>1</v>
      </c>
      <c r="AQC64" s="57">
        <v>0</v>
      </c>
      <c r="AQD64" s="57">
        <v>1</v>
      </c>
      <c r="AQE64" s="57">
        <v>0</v>
      </c>
      <c r="AQF64" s="57">
        <v>0</v>
      </c>
      <c r="AQL64" s="56" t="s">
        <v>1979</v>
      </c>
      <c r="AQN64" s="57">
        <v>1000</v>
      </c>
      <c r="AQO64" s="56" t="s">
        <v>1162</v>
      </c>
      <c r="AQV64" s="56" t="s">
        <v>2739</v>
      </c>
      <c r="AQX64" s="57">
        <v>250</v>
      </c>
      <c r="AQY64" s="56" t="s">
        <v>1162</v>
      </c>
      <c r="ARG64" s="56" t="s">
        <v>1162</v>
      </c>
      <c r="ARH64" s="57">
        <v>0</v>
      </c>
      <c r="ARI64" s="57">
        <v>1</v>
      </c>
      <c r="ARJ64" s="57">
        <v>0</v>
      </c>
      <c r="ARK64" s="57">
        <v>0</v>
      </c>
      <c r="ARL64" s="57">
        <v>0</v>
      </c>
      <c r="ARM64" s="57">
        <v>0</v>
      </c>
      <c r="ARN64" s="57">
        <v>0</v>
      </c>
      <c r="ARO64" s="57">
        <v>0</v>
      </c>
      <c r="ARP64" s="57">
        <v>0</v>
      </c>
      <c r="ARQ64" s="57">
        <v>0</v>
      </c>
      <c r="ARR64" s="57">
        <v>0</v>
      </c>
      <c r="ARS64" s="57">
        <v>0</v>
      </c>
      <c r="ARU64" s="56" t="s">
        <v>1162</v>
      </c>
      <c r="ARV64" s="57">
        <v>1</v>
      </c>
      <c r="ARW64" s="57">
        <v>0</v>
      </c>
      <c r="ARX64" s="57">
        <v>0</v>
      </c>
      <c r="ARY64" s="57">
        <v>0</v>
      </c>
      <c r="ARZ64" s="57">
        <v>0</v>
      </c>
      <c r="ASA64" s="57">
        <v>0</v>
      </c>
      <c r="ASB64" s="57">
        <v>0</v>
      </c>
      <c r="ASD64" s="56" t="s">
        <v>1161</v>
      </c>
      <c r="ASN64" s="56" t="s">
        <v>1163</v>
      </c>
      <c r="ASO64" s="57">
        <v>0</v>
      </c>
      <c r="ASP64" s="57">
        <v>0</v>
      </c>
      <c r="ASQ64" s="57">
        <v>0</v>
      </c>
      <c r="ASR64" s="57">
        <v>0</v>
      </c>
      <c r="ASS64" s="57">
        <v>1</v>
      </c>
      <c r="ASU64" s="56" t="s">
        <v>1162</v>
      </c>
      <c r="ASV64" s="57">
        <v>1</v>
      </c>
      <c r="ASW64" s="57">
        <v>0</v>
      </c>
      <c r="ASX64" s="57">
        <v>0</v>
      </c>
      <c r="ASY64" s="57">
        <v>0</v>
      </c>
      <c r="ASZ64" s="57">
        <v>0</v>
      </c>
      <c r="ATA64" s="57">
        <v>0</v>
      </c>
      <c r="ATB64" s="57">
        <v>0</v>
      </c>
      <c r="ATC64" s="57">
        <v>0</v>
      </c>
      <c r="ATD64" s="57">
        <v>0</v>
      </c>
      <c r="ATE64" s="57">
        <v>0</v>
      </c>
      <c r="ATF64" s="57">
        <v>0</v>
      </c>
      <c r="ATG64" s="57">
        <v>0</v>
      </c>
      <c r="ATH64" s="57">
        <v>0</v>
      </c>
      <c r="ATJ64" s="56" t="s">
        <v>2740</v>
      </c>
      <c r="ATK64" s="57">
        <v>0</v>
      </c>
      <c r="ATL64" s="57">
        <v>1</v>
      </c>
      <c r="ATM64" s="57">
        <v>1</v>
      </c>
      <c r="ATN64" s="57">
        <v>1</v>
      </c>
      <c r="ATO64" s="57">
        <v>1</v>
      </c>
      <c r="ATP64" s="57">
        <v>0</v>
      </c>
      <c r="ATQ64" s="57">
        <v>0</v>
      </c>
      <c r="ATR64" s="57">
        <v>0</v>
      </c>
      <c r="ATS64" s="57">
        <v>0</v>
      </c>
      <c r="ATT64" s="57">
        <v>0</v>
      </c>
      <c r="ATU64" s="57">
        <v>0</v>
      </c>
      <c r="ATV64" s="57">
        <v>1</v>
      </c>
      <c r="ATW64" s="57">
        <v>0</v>
      </c>
      <c r="ATX64" s="57">
        <v>0</v>
      </c>
      <c r="ATY64" s="57">
        <v>0</v>
      </c>
      <c r="ATZ64" s="57">
        <v>0</v>
      </c>
      <c r="AUA64" s="57">
        <v>0</v>
      </c>
      <c r="AUC64" s="56" t="s">
        <v>1154</v>
      </c>
      <c r="AVG64" s="56" t="s">
        <v>2741</v>
      </c>
      <c r="AVH64" s="57">
        <v>0</v>
      </c>
      <c r="AVI64" s="57">
        <v>0</v>
      </c>
      <c r="AVJ64" s="57">
        <v>1</v>
      </c>
      <c r="AVK64" s="57">
        <v>1</v>
      </c>
      <c r="AVL64" s="57">
        <v>0</v>
      </c>
      <c r="AVM64" s="57">
        <v>0</v>
      </c>
      <c r="AVN64" s="57">
        <v>0</v>
      </c>
      <c r="AVO64" s="57">
        <v>0</v>
      </c>
      <c r="AVP64" s="57">
        <v>0</v>
      </c>
      <c r="AVS64" s="56">
        <v>158644716</v>
      </c>
      <c r="AVT64" s="56" t="s">
        <v>2742</v>
      </c>
      <c r="AVV64" s="56">
        <v>389</v>
      </c>
    </row>
    <row r="65" spans="1:1310" x14ac:dyDescent="0.3">
      <c r="A65" s="1" t="s">
        <v>2743</v>
      </c>
      <c r="B65" s="1" t="s">
        <v>2744</v>
      </c>
      <c r="C65" s="1" t="s">
        <v>2745</v>
      </c>
      <c r="D65" s="1" t="s">
        <v>2746</v>
      </c>
      <c r="E65" s="1" t="s">
        <v>2686</v>
      </c>
      <c r="F65" s="1" t="s">
        <v>2746</v>
      </c>
      <c r="I65" s="1" t="s">
        <v>2080</v>
      </c>
      <c r="J65" s="1" t="s">
        <v>2325</v>
      </c>
      <c r="K65" s="1" t="s">
        <v>2325</v>
      </c>
      <c r="N65" s="1" t="s">
        <v>1159</v>
      </c>
      <c r="O65" s="2">
        <v>0</v>
      </c>
      <c r="P65" s="2">
        <v>0</v>
      </c>
      <c r="Q65" s="2">
        <v>0</v>
      </c>
      <c r="R65" s="2">
        <v>0</v>
      </c>
      <c r="S65" s="2">
        <v>1</v>
      </c>
      <c r="AKT65" s="1" t="s">
        <v>2747</v>
      </c>
      <c r="AKU65" s="1" t="s">
        <v>1155</v>
      </c>
      <c r="ALF65" s="1" t="s">
        <v>1155</v>
      </c>
      <c r="ALG65" s="1" t="s">
        <v>1155</v>
      </c>
      <c r="ALN65" s="1" t="s">
        <v>2748</v>
      </c>
      <c r="ALO65" s="2">
        <v>1</v>
      </c>
      <c r="ALP65" s="2">
        <v>0</v>
      </c>
      <c r="ALQ65" s="2">
        <v>1</v>
      </c>
      <c r="ALR65" s="2">
        <v>1</v>
      </c>
      <c r="ALS65" s="2">
        <v>1</v>
      </c>
      <c r="ALT65" s="2">
        <v>0</v>
      </c>
      <c r="ALU65" s="2">
        <v>1</v>
      </c>
      <c r="ALV65" s="2">
        <v>0</v>
      </c>
      <c r="ALX65" s="1" t="s">
        <v>2749</v>
      </c>
      <c r="ALY65" s="2">
        <v>1</v>
      </c>
      <c r="ALZ65" s="2">
        <v>1</v>
      </c>
      <c r="AMA65" s="2">
        <v>1</v>
      </c>
      <c r="AMB65" s="2">
        <v>1</v>
      </c>
      <c r="AMC65" s="2">
        <v>1</v>
      </c>
      <c r="AMD65" s="2">
        <v>1</v>
      </c>
      <c r="AME65" s="2">
        <v>1</v>
      </c>
      <c r="AMF65" s="1" t="s">
        <v>2750</v>
      </c>
      <c r="AMG65" s="2">
        <v>0</v>
      </c>
      <c r="AMH65" s="2">
        <v>0</v>
      </c>
      <c r="AMI65" s="2">
        <v>1</v>
      </c>
      <c r="AMJ65" s="2">
        <v>0</v>
      </c>
      <c r="AMK65" s="2">
        <v>0</v>
      </c>
      <c r="AMM65" s="1" t="s">
        <v>1154</v>
      </c>
      <c r="AMW65" s="2">
        <v>45</v>
      </c>
      <c r="AMX65" s="1" t="s">
        <v>1155</v>
      </c>
      <c r="AMY65" s="1" t="s">
        <v>1160</v>
      </c>
      <c r="ANK65" s="1" t="s">
        <v>2751</v>
      </c>
      <c r="ANL65" s="2">
        <v>1</v>
      </c>
      <c r="ANM65" s="2">
        <v>0</v>
      </c>
      <c r="ANN65" s="2">
        <v>0</v>
      </c>
      <c r="ANO65" s="2">
        <v>1</v>
      </c>
      <c r="ANP65" s="2">
        <v>0</v>
      </c>
      <c r="ANQ65" s="2">
        <v>0</v>
      </c>
      <c r="ANR65" s="2">
        <v>0</v>
      </c>
      <c r="ANS65" s="2">
        <v>1</v>
      </c>
      <c r="ANT65" s="2">
        <v>0</v>
      </c>
      <c r="ANU65" s="2">
        <v>0</v>
      </c>
      <c r="ANV65" s="2">
        <v>0</v>
      </c>
      <c r="ANX65" s="1" t="s">
        <v>1154</v>
      </c>
      <c r="ANZ65" s="1" t="s">
        <v>2651</v>
      </c>
      <c r="AOA65" s="2">
        <v>1</v>
      </c>
      <c r="AOB65" s="2">
        <v>0</v>
      </c>
      <c r="AOC65" s="2">
        <v>0</v>
      </c>
      <c r="AOD65" s="2">
        <v>0</v>
      </c>
      <c r="AOE65" s="2">
        <v>0</v>
      </c>
      <c r="AOF65" s="2">
        <v>1</v>
      </c>
      <c r="AOG65" s="2">
        <v>0</v>
      </c>
      <c r="AOH65" s="2">
        <v>0</v>
      </c>
      <c r="AOJ65" s="1" t="s">
        <v>1153</v>
      </c>
      <c r="AOK65" s="1" t="s">
        <v>2752</v>
      </c>
      <c r="AOL65" s="1" t="s">
        <v>2753</v>
      </c>
      <c r="AOO65" s="1" t="s">
        <v>2651</v>
      </c>
      <c r="AOP65" s="2">
        <v>1</v>
      </c>
      <c r="AOQ65" s="2">
        <v>0</v>
      </c>
      <c r="AOR65" s="2">
        <v>0</v>
      </c>
      <c r="AOS65" s="2">
        <v>0</v>
      </c>
      <c r="AOT65" s="2">
        <v>0</v>
      </c>
      <c r="AOU65" s="2">
        <v>1</v>
      </c>
      <c r="AOV65" s="2">
        <v>0</v>
      </c>
      <c r="AOW65" s="2">
        <v>0</v>
      </c>
      <c r="AOY65" s="1" t="s">
        <v>2754</v>
      </c>
      <c r="APA65" s="1" t="s">
        <v>2753</v>
      </c>
      <c r="APD65" s="1" t="s">
        <v>1386</v>
      </c>
      <c r="APF65" s="1" t="s">
        <v>1155</v>
      </c>
      <c r="APG65" s="1" t="s">
        <v>1160</v>
      </c>
      <c r="APQ65" s="1" t="s">
        <v>2755</v>
      </c>
      <c r="APR65" s="2">
        <v>0</v>
      </c>
      <c r="APS65" s="2">
        <v>1</v>
      </c>
      <c r="APT65" s="2">
        <v>0</v>
      </c>
      <c r="APU65" s="2">
        <v>0</v>
      </c>
      <c r="APV65" s="2">
        <v>0</v>
      </c>
      <c r="APW65" s="2">
        <v>0</v>
      </c>
      <c r="APX65" s="2">
        <v>0</v>
      </c>
      <c r="APZ65" s="1" t="s">
        <v>1924</v>
      </c>
      <c r="AQA65" s="2">
        <v>0</v>
      </c>
      <c r="AQB65" s="2">
        <v>1</v>
      </c>
      <c r="AQC65" s="2">
        <v>0</v>
      </c>
      <c r="AQD65" s="2">
        <v>0</v>
      </c>
      <c r="AQE65" s="2">
        <v>0</v>
      </c>
      <c r="AQF65" s="2">
        <v>0</v>
      </c>
      <c r="AQL65" s="1" t="s">
        <v>1979</v>
      </c>
      <c r="AQN65" s="2">
        <v>416</v>
      </c>
      <c r="AQO65" s="1" t="s">
        <v>1162</v>
      </c>
      <c r="ARG65" s="1" t="s">
        <v>2756</v>
      </c>
      <c r="ARH65" s="2">
        <v>0</v>
      </c>
      <c r="ARI65" s="2">
        <v>1</v>
      </c>
      <c r="ARJ65" s="2">
        <v>1</v>
      </c>
      <c r="ARK65" s="2">
        <v>0</v>
      </c>
      <c r="ARL65" s="2">
        <v>0</v>
      </c>
      <c r="ARM65" s="2">
        <v>0</v>
      </c>
      <c r="ARN65" s="2">
        <v>0</v>
      </c>
      <c r="ARO65" s="2">
        <v>0</v>
      </c>
      <c r="ARP65" s="2">
        <v>0</v>
      </c>
      <c r="ARQ65" s="2">
        <v>0</v>
      </c>
      <c r="ARR65" s="2">
        <v>0</v>
      </c>
      <c r="ARS65" s="2">
        <v>0</v>
      </c>
      <c r="ARU65" s="1" t="s">
        <v>2757</v>
      </c>
      <c r="ARV65" s="2">
        <v>1</v>
      </c>
      <c r="ARW65" s="2">
        <v>0</v>
      </c>
      <c r="ARX65" s="2">
        <v>0</v>
      </c>
      <c r="ARY65" s="2">
        <v>0</v>
      </c>
      <c r="ARZ65" s="2">
        <v>1</v>
      </c>
      <c r="ASA65" s="2">
        <v>0</v>
      </c>
      <c r="ASB65" s="2">
        <v>0</v>
      </c>
      <c r="ASD65" s="1" t="s">
        <v>1155</v>
      </c>
      <c r="ASE65" s="1" t="s">
        <v>1383</v>
      </c>
      <c r="ASF65" s="2">
        <v>1</v>
      </c>
      <c r="ASG65" s="2">
        <v>0</v>
      </c>
      <c r="ASH65" s="2">
        <v>0</v>
      </c>
      <c r="ASI65" s="2">
        <v>0</v>
      </c>
      <c r="ASJ65" s="2">
        <v>0</v>
      </c>
      <c r="ASK65" s="2">
        <v>0</v>
      </c>
      <c r="ASL65" s="2">
        <v>0</v>
      </c>
      <c r="ASN65" s="1" t="s">
        <v>1163</v>
      </c>
      <c r="ASO65" s="2">
        <v>0</v>
      </c>
      <c r="ASP65" s="2">
        <v>0</v>
      </c>
      <c r="ASQ65" s="2">
        <v>0</v>
      </c>
      <c r="ASR65" s="2">
        <v>0</v>
      </c>
      <c r="ASS65" s="2">
        <v>1</v>
      </c>
      <c r="ASU65" s="1" t="s">
        <v>1162</v>
      </c>
      <c r="ASV65" s="2">
        <v>1</v>
      </c>
      <c r="ASW65" s="2">
        <v>0</v>
      </c>
      <c r="ASX65" s="2">
        <v>0</v>
      </c>
      <c r="ASY65" s="2">
        <v>0</v>
      </c>
      <c r="ASZ65" s="2">
        <v>0</v>
      </c>
      <c r="ATA65" s="2">
        <v>0</v>
      </c>
      <c r="ATB65" s="2">
        <v>0</v>
      </c>
      <c r="ATC65" s="2">
        <v>0</v>
      </c>
      <c r="ATD65" s="2">
        <v>0</v>
      </c>
      <c r="ATE65" s="2">
        <v>0</v>
      </c>
      <c r="ATF65" s="2">
        <v>0</v>
      </c>
      <c r="ATG65" s="2">
        <v>0</v>
      </c>
      <c r="ATH65" s="2">
        <v>0</v>
      </c>
      <c r="ATJ65" s="1" t="s">
        <v>2758</v>
      </c>
      <c r="ATK65" s="2">
        <v>1</v>
      </c>
      <c r="ATL65" s="2">
        <v>1</v>
      </c>
      <c r="ATM65" s="2">
        <v>0</v>
      </c>
      <c r="ATN65" s="2">
        <v>0</v>
      </c>
      <c r="ATO65" s="2">
        <v>0</v>
      </c>
      <c r="ATP65" s="2">
        <v>0</v>
      </c>
      <c r="ATQ65" s="2">
        <v>0</v>
      </c>
      <c r="ATR65" s="2">
        <v>0</v>
      </c>
      <c r="ATS65" s="2">
        <v>1</v>
      </c>
      <c r="ATT65" s="2">
        <v>0</v>
      </c>
      <c r="ATU65" s="2">
        <v>0</v>
      </c>
      <c r="ATV65" s="2">
        <v>1</v>
      </c>
      <c r="ATW65" s="2">
        <v>0</v>
      </c>
      <c r="ATX65" s="2">
        <v>0</v>
      </c>
      <c r="ATY65" s="2">
        <v>0</v>
      </c>
      <c r="ATZ65" s="2">
        <v>0</v>
      </c>
      <c r="AUA65" s="2">
        <v>0</v>
      </c>
      <c r="AUC65" s="1" t="s">
        <v>1154</v>
      </c>
      <c r="AVG65" s="1" t="s">
        <v>2759</v>
      </c>
      <c r="AVH65" s="2">
        <v>0</v>
      </c>
      <c r="AVI65" s="2">
        <v>1</v>
      </c>
      <c r="AVJ65" s="2">
        <v>1</v>
      </c>
      <c r="AVK65" s="2">
        <v>0</v>
      </c>
      <c r="AVL65" s="2">
        <v>0</v>
      </c>
      <c r="AVM65" s="2">
        <v>0</v>
      </c>
      <c r="AVN65" s="2">
        <v>0</v>
      </c>
      <c r="AVO65" s="2">
        <v>0</v>
      </c>
      <c r="AVP65" s="2">
        <v>0</v>
      </c>
      <c r="AVS65" s="1">
        <v>158644951</v>
      </c>
      <c r="AVT65" s="1" t="s">
        <v>2760</v>
      </c>
      <c r="AVV65" s="1">
        <v>390</v>
      </c>
      <c r="AXF65" s="56"/>
      <c r="AXG65" s="56"/>
      <c r="AXH65" s="56"/>
      <c r="AXI65" s="56"/>
      <c r="AXJ65" s="56"/>
    </row>
  </sheetData>
  <autoFilter ref="A1:AWH63"/>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S223"/>
  <sheetViews>
    <sheetView zoomScale="90" zoomScaleNormal="90" workbookViewId="0">
      <selection activeCell="A49" sqref="A49"/>
    </sheetView>
  </sheetViews>
  <sheetFormatPr defaultColWidth="8.81640625" defaultRowHeight="14" x14ac:dyDescent="0.3"/>
  <cols>
    <col min="1" max="1" width="16.36328125" style="1" customWidth="1"/>
    <col min="2" max="2" width="11.81640625" style="1" customWidth="1"/>
    <col min="3" max="4" width="13.08984375" style="1" customWidth="1"/>
    <col min="5" max="5" width="12.1796875" style="1" customWidth="1"/>
    <col min="6" max="6" width="12.08984375" style="1" customWidth="1"/>
    <col min="7" max="7" width="14" style="1" customWidth="1"/>
    <col min="8" max="8" width="12.453125" style="1" customWidth="1"/>
    <col min="9" max="9" width="12.36328125" style="1" customWidth="1"/>
    <col min="10" max="10" width="12.453125" style="1" customWidth="1"/>
    <col min="11" max="11" width="12.6328125" style="1" customWidth="1"/>
    <col min="12" max="12" width="9.81640625" style="1" customWidth="1"/>
    <col min="13" max="13" width="9.90625" style="1" customWidth="1"/>
    <col min="14" max="14" width="9.81640625" style="1" customWidth="1"/>
    <col min="15" max="15" width="11.36328125" style="1" customWidth="1"/>
    <col min="16" max="16" width="8.81640625" style="1"/>
    <col min="17" max="17" width="10.54296875" style="1" customWidth="1"/>
    <col min="18" max="18" width="8.81640625" style="1"/>
    <col min="19" max="26" width="8.81640625" style="9"/>
    <col min="27" max="16384" width="8.81640625" style="1"/>
  </cols>
  <sheetData>
    <row r="1" spans="1:26" s="9" customFormat="1" x14ac:dyDescent="0.3"/>
    <row r="2" spans="1:26" ht="15.5" x14ac:dyDescent="0.35">
      <c r="A2" s="8" t="s">
        <v>1284</v>
      </c>
      <c r="B2" s="9"/>
      <c r="C2" s="9"/>
      <c r="D2" s="9"/>
      <c r="E2" s="9"/>
      <c r="F2" s="9"/>
      <c r="G2" s="9"/>
      <c r="H2" s="9"/>
      <c r="I2" s="9"/>
      <c r="J2" s="9"/>
      <c r="K2" s="9"/>
      <c r="L2" s="9"/>
      <c r="M2" s="9"/>
      <c r="N2" s="9"/>
      <c r="O2" s="9"/>
      <c r="P2" s="9"/>
      <c r="Q2" s="9"/>
      <c r="R2" s="9"/>
    </row>
    <row r="3" spans="1:26" ht="15.5" x14ac:dyDescent="0.35">
      <c r="A3" s="28" t="s">
        <v>1396</v>
      </c>
      <c r="B3" s="20">
        <f>COUNTIFS('OBO_Cleaned Data'!N:N,"eau",'OBO_Cleaned Data'!K:K,"obo")</f>
        <v>53</v>
      </c>
      <c r="C3" s="9"/>
      <c r="D3" s="9"/>
      <c r="E3" s="9"/>
      <c r="F3" s="9"/>
      <c r="G3" s="9"/>
      <c r="H3" s="9"/>
      <c r="I3" s="9"/>
      <c r="J3" s="9"/>
      <c r="K3" s="9"/>
      <c r="L3" s="9"/>
      <c r="M3" s="9"/>
      <c r="N3" s="9"/>
      <c r="O3" s="9"/>
      <c r="P3" s="9"/>
      <c r="Q3" s="9"/>
      <c r="R3" s="9"/>
    </row>
    <row r="4" spans="1:26" ht="15.5" x14ac:dyDescent="0.35">
      <c r="A4" s="8"/>
      <c r="B4" s="9"/>
      <c r="C4" s="9"/>
      <c r="D4" s="9"/>
      <c r="E4" s="9"/>
      <c r="F4" s="9"/>
      <c r="G4" s="9"/>
      <c r="H4" s="9"/>
      <c r="I4" s="9"/>
      <c r="J4" s="9"/>
      <c r="K4" s="9"/>
      <c r="L4" s="9"/>
      <c r="M4" s="9"/>
      <c r="N4" s="9"/>
      <c r="O4" s="9"/>
      <c r="P4" s="9"/>
      <c r="Q4" s="9"/>
      <c r="R4" s="9"/>
    </row>
    <row r="5" spans="1:26" x14ac:dyDescent="0.3">
      <c r="A5" s="9"/>
      <c r="B5" s="9"/>
      <c r="C5" s="9"/>
      <c r="D5" s="9"/>
      <c r="E5" s="9"/>
      <c r="F5" s="9"/>
      <c r="G5" s="9"/>
      <c r="H5" s="9"/>
      <c r="I5" s="9"/>
      <c r="J5" s="9"/>
      <c r="K5" s="9"/>
      <c r="L5" s="9"/>
      <c r="M5" s="9"/>
      <c r="N5" s="9"/>
      <c r="O5" s="9"/>
      <c r="P5" s="9"/>
      <c r="Q5" s="9"/>
      <c r="R5" s="9"/>
    </row>
    <row r="6" spans="1:26" ht="31.5" customHeight="1" x14ac:dyDescent="0.3">
      <c r="A6" s="3"/>
      <c r="B6" s="7" t="s">
        <v>1192</v>
      </c>
      <c r="C6" s="7" t="s">
        <v>1658</v>
      </c>
      <c r="D6" s="7" t="s">
        <v>1193</v>
      </c>
      <c r="E6" s="7" t="s">
        <v>1390</v>
      </c>
      <c r="F6" s="7" t="s">
        <v>1194</v>
      </c>
      <c r="G6" s="7" t="s">
        <v>1195</v>
      </c>
      <c r="H6" s="7" t="s">
        <v>1993</v>
      </c>
      <c r="I6" s="7" t="s">
        <v>2675</v>
      </c>
      <c r="J6" s="50" t="s">
        <v>1998</v>
      </c>
      <c r="K6" s="9"/>
      <c r="L6" s="9"/>
      <c r="M6" s="9"/>
      <c r="N6" s="9"/>
      <c r="O6" s="9"/>
      <c r="P6" s="9"/>
      <c r="Q6" s="9"/>
      <c r="R6" s="9"/>
      <c r="Z6" s="1"/>
    </row>
    <row r="7" spans="1:26" x14ac:dyDescent="0.3">
      <c r="A7" s="3" t="s">
        <v>1198</v>
      </c>
      <c r="B7" s="23">
        <f>COUNTIF('OBO_Cleaned Data'!U:U,"pompe_pied")</f>
        <v>1</v>
      </c>
      <c r="C7" s="23">
        <f>COUNTIF('OBO_Cleaned Data'!U:U,"pompe_main")</f>
        <v>33</v>
      </c>
      <c r="D7" s="23">
        <f>COUNTIF('OBO_Cleaned Data'!U:U,"source_amenagee")</f>
        <v>1</v>
      </c>
      <c r="E7" s="23">
        <f>COUNTIF('OBO_Cleaned Data'!U:U,"source_non_amenagee")</f>
        <v>1</v>
      </c>
      <c r="F7" s="23">
        <f>COUNTIF('OBO_Cleaned Data'!U:U,"puits_protege")</f>
        <v>10</v>
      </c>
      <c r="G7" s="23">
        <f>COUNTIF('OBO_Cleaned Data'!U:U,"puits_non_protege")</f>
        <v>6</v>
      </c>
      <c r="H7" s="23">
        <f>COUNTIF('OBO_Cleaned Data'!U:U,"camion")</f>
        <v>0</v>
      </c>
      <c r="I7" s="23">
        <f>COUNTIF('OBO_Cleaned Data'!U:U,"fontaine")</f>
        <v>1</v>
      </c>
      <c r="J7" s="101">
        <f>SUM(B7:I7)</f>
        <v>53</v>
      </c>
      <c r="K7" s="9"/>
      <c r="L7" s="9"/>
      <c r="M7" s="9"/>
      <c r="N7" s="9"/>
      <c r="O7" s="9"/>
      <c r="P7" s="9"/>
      <c r="Q7" s="9"/>
      <c r="R7" s="9"/>
      <c r="Z7" s="1"/>
    </row>
    <row r="8" spans="1:26" s="98" customFormat="1" ht="26" x14ac:dyDescent="0.3">
      <c r="A8" s="93" t="s">
        <v>1995</v>
      </c>
      <c r="B8" s="96">
        <f>(B7/$B$3)</f>
        <v>1.8867924528301886E-2</v>
      </c>
      <c r="C8" s="96">
        <f t="shared" ref="C8:I8" si="0">(C7/$B$3)</f>
        <v>0.62264150943396224</v>
      </c>
      <c r="D8" s="96">
        <f t="shared" si="0"/>
        <v>1.8867924528301886E-2</v>
      </c>
      <c r="E8" s="96">
        <f t="shared" si="0"/>
        <v>1.8867924528301886E-2</v>
      </c>
      <c r="F8" s="96">
        <f t="shared" si="0"/>
        <v>0.18867924528301888</v>
      </c>
      <c r="G8" s="96">
        <f t="shared" si="0"/>
        <v>0.11320754716981132</v>
      </c>
      <c r="H8" s="96">
        <f t="shared" si="0"/>
        <v>0</v>
      </c>
      <c r="I8" s="96">
        <f t="shared" si="0"/>
        <v>1.8867924528301886E-2</v>
      </c>
      <c r="J8" s="94">
        <f>SUM(B8:I8)</f>
        <v>1</v>
      </c>
      <c r="K8" s="97"/>
      <c r="L8" s="97"/>
      <c r="M8" s="97"/>
      <c r="N8" s="97"/>
      <c r="O8" s="97"/>
      <c r="P8" s="97"/>
      <c r="Q8" s="97"/>
      <c r="R8" s="97"/>
      <c r="S8" s="97"/>
      <c r="T8" s="97"/>
      <c r="U8" s="97"/>
      <c r="V8" s="97"/>
      <c r="W8" s="97"/>
      <c r="X8" s="97"/>
      <c r="Y8" s="97"/>
    </row>
    <row r="9" spans="1:26" x14ac:dyDescent="0.3">
      <c r="A9" s="13"/>
      <c r="B9" s="15"/>
      <c r="C9" s="15"/>
      <c r="D9" s="15"/>
      <c r="E9" s="15"/>
      <c r="F9" s="15"/>
      <c r="G9" s="13"/>
      <c r="H9" s="9"/>
      <c r="I9" s="9"/>
      <c r="J9" s="9"/>
      <c r="K9" s="9"/>
      <c r="L9" s="9"/>
      <c r="M9" s="9"/>
      <c r="N9" s="9"/>
      <c r="O9" s="9"/>
      <c r="P9" s="9"/>
      <c r="Q9" s="9"/>
      <c r="R9" s="9"/>
    </row>
    <row r="10" spans="1:26" ht="15.5" x14ac:dyDescent="0.35">
      <c r="A10" s="8" t="s">
        <v>1275</v>
      </c>
      <c r="B10" s="15"/>
      <c r="C10" s="15"/>
      <c r="D10" s="15"/>
      <c r="E10" s="15"/>
      <c r="F10" s="15"/>
      <c r="G10" s="13"/>
      <c r="H10" s="9"/>
      <c r="I10" s="9"/>
      <c r="J10" s="9"/>
      <c r="K10" s="9"/>
      <c r="L10" s="9"/>
      <c r="M10" s="9"/>
      <c r="N10" s="9"/>
      <c r="O10" s="9"/>
      <c r="P10" s="9"/>
      <c r="Q10" s="9"/>
      <c r="R10" s="9"/>
    </row>
    <row r="11" spans="1:26" ht="15.5" x14ac:dyDescent="0.35">
      <c r="A11" s="28" t="s">
        <v>1295</v>
      </c>
      <c r="B11" s="9"/>
      <c r="C11" s="9"/>
      <c r="D11" s="9"/>
      <c r="E11" s="9"/>
      <c r="F11" s="9"/>
      <c r="G11" s="9"/>
      <c r="H11" s="9"/>
      <c r="I11" s="9"/>
      <c r="J11" s="9"/>
      <c r="K11" s="9"/>
      <c r="L11" s="9"/>
      <c r="M11" s="9"/>
      <c r="N11" s="9"/>
      <c r="O11" s="9"/>
      <c r="P11" s="9"/>
      <c r="Q11" s="9"/>
      <c r="R11" s="9"/>
    </row>
    <row r="12" spans="1:26" ht="42" x14ac:dyDescent="0.3">
      <c r="A12" s="3"/>
      <c r="B12" s="7" t="s">
        <v>1201</v>
      </c>
      <c r="C12" s="7" t="s">
        <v>1200</v>
      </c>
      <c r="D12" s="7" t="s">
        <v>1660</v>
      </c>
      <c r="E12" s="50" t="s">
        <v>1684</v>
      </c>
      <c r="F12" s="9"/>
      <c r="G12" s="9"/>
      <c r="H12" s="9"/>
      <c r="I12" s="9"/>
      <c r="J12" s="9"/>
      <c r="K12" s="9"/>
      <c r="L12" s="9"/>
      <c r="M12" s="9"/>
      <c r="N12" s="9"/>
      <c r="O12" s="9"/>
      <c r="P12" s="9"/>
      <c r="Q12" s="9"/>
      <c r="R12" s="9"/>
    </row>
    <row r="13" spans="1:26" x14ac:dyDescent="0.3">
      <c r="A13" s="3" t="s">
        <v>1198</v>
      </c>
      <c r="B13" s="23">
        <f>COUNTIF('OBO_Cleaned Data'!X:X,"oui")</f>
        <v>36</v>
      </c>
      <c r="C13" s="23">
        <f>COUNTIF('OBO_Cleaned Data'!X:X,"non")</f>
        <v>10</v>
      </c>
      <c r="D13" s="23">
        <f>COUNTIF('OBO_Cleaned Data'!X:X,"endommage")</f>
        <v>7</v>
      </c>
      <c r="E13" s="51">
        <f>SUM(B13,D13)</f>
        <v>43</v>
      </c>
      <c r="F13" s="9"/>
      <c r="G13" s="9"/>
      <c r="H13" s="9"/>
      <c r="I13" s="9"/>
      <c r="J13" s="9"/>
      <c r="K13" s="9"/>
      <c r="L13" s="9"/>
      <c r="M13" s="9"/>
      <c r="N13" s="9"/>
      <c r="O13" s="9"/>
      <c r="P13" s="9"/>
      <c r="Q13" s="9"/>
      <c r="R13" s="9"/>
    </row>
    <row r="14" spans="1:26" s="98" customFormat="1" ht="26" x14ac:dyDescent="0.3">
      <c r="A14" s="93" t="s">
        <v>1995</v>
      </c>
      <c r="B14" s="96">
        <f>(B13/$B$3)</f>
        <v>0.67924528301886788</v>
      </c>
      <c r="C14" s="96">
        <f t="shared" ref="C14:D14" si="1">(C13/$B$3)</f>
        <v>0.18867924528301888</v>
      </c>
      <c r="D14" s="96">
        <f t="shared" si="1"/>
        <v>0.13207547169811321</v>
      </c>
      <c r="E14" s="94">
        <f>E13/$B$3</f>
        <v>0.81132075471698117</v>
      </c>
      <c r="F14" s="97"/>
      <c r="G14" s="97"/>
      <c r="H14" s="97"/>
      <c r="I14" s="97"/>
      <c r="J14" s="97"/>
      <c r="K14" s="97"/>
      <c r="L14" s="97"/>
      <c r="M14" s="97"/>
      <c r="N14" s="97"/>
      <c r="O14" s="97"/>
      <c r="P14" s="97"/>
      <c r="Q14" s="97"/>
      <c r="R14" s="97"/>
      <c r="S14" s="97"/>
      <c r="T14" s="97"/>
      <c r="U14" s="97"/>
      <c r="V14" s="97"/>
      <c r="W14" s="97"/>
      <c r="X14" s="97"/>
      <c r="Y14" s="97"/>
      <c r="Z14" s="97"/>
    </row>
    <row r="15" spans="1:26" s="9" customFormat="1" x14ac:dyDescent="0.3">
      <c r="A15" s="13"/>
      <c r="B15" s="14"/>
      <c r="C15" s="14"/>
      <c r="D15" s="14"/>
      <c r="E15" s="14"/>
    </row>
    <row r="16" spans="1:26" x14ac:dyDescent="0.3">
      <c r="A16" s="13"/>
      <c r="B16" s="15"/>
      <c r="C16" s="16" t="s">
        <v>1661</v>
      </c>
      <c r="D16" s="13"/>
      <c r="E16" s="9"/>
      <c r="F16" s="9"/>
      <c r="G16" s="9"/>
      <c r="H16" s="9"/>
      <c r="I16" s="9"/>
      <c r="J16" s="9"/>
      <c r="K16" s="9"/>
      <c r="L16" s="9"/>
      <c r="M16" s="9"/>
      <c r="N16" s="9"/>
      <c r="O16" s="9"/>
      <c r="P16" s="9"/>
      <c r="Q16" s="9"/>
      <c r="R16" s="9"/>
    </row>
    <row r="17" spans="1:26" ht="42" x14ac:dyDescent="0.3">
      <c r="A17" s="9"/>
      <c r="B17" s="9"/>
      <c r="C17" s="3"/>
      <c r="D17" s="5" t="s">
        <v>1204</v>
      </c>
      <c r="E17" s="5" t="s">
        <v>1202</v>
      </c>
      <c r="F17" s="5" t="s">
        <v>1203</v>
      </c>
      <c r="G17" s="102" t="s">
        <v>1197</v>
      </c>
      <c r="H17" s="9"/>
      <c r="I17" s="9"/>
      <c r="J17" s="9"/>
      <c r="K17" s="9"/>
      <c r="L17" s="9"/>
      <c r="M17" s="9"/>
      <c r="N17" s="9"/>
      <c r="O17" s="9"/>
      <c r="P17" s="9"/>
      <c r="Q17" s="9"/>
      <c r="R17" s="9"/>
    </row>
    <row r="18" spans="1:26" x14ac:dyDescent="0.3">
      <c r="A18" s="9"/>
      <c r="B18" s="9"/>
      <c r="C18" s="3" t="s">
        <v>1198</v>
      </c>
      <c r="D18" s="23">
        <f>COUNTIF('OBO_Cleaned Data'!Y:Y,"non_maintenance")</f>
        <v>3</v>
      </c>
      <c r="E18" s="23">
        <f>COUNTIF('OBO_Cleaned Data'!Y:Y,"non_rehab")</f>
        <v>3</v>
      </c>
      <c r="F18" s="23">
        <f>COUNTIF('OBO_Cleaned Data'!Y:Y,"non_destruction")</f>
        <v>0</v>
      </c>
      <c r="G18" s="103">
        <f>SUM(D18:F18)</f>
        <v>6</v>
      </c>
      <c r="H18" s="9"/>
      <c r="I18" s="9"/>
      <c r="J18" s="9"/>
      <c r="K18" s="9"/>
      <c r="L18" s="9"/>
      <c r="M18" s="9"/>
      <c r="N18" s="9"/>
      <c r="O18" s="9"/>
      <c r="P18" s="9"/>
      <c r="Q18" s="9"/>
      <c r="R18" s="9"/>
    </row>
    <row r="19" spans="1:26" s="98" customFormat="1" ht="37.5" x14ac:dyDescent="0.3">
      <c r="A19" s="97"/>
      <c r="B19" s="97"/>
      <c r="C19" s="93" t="s">
        <v>1996</v>
      </c>
      <c r="D19" s="96">
        <f>D18/$D$13</f>
        <v>0.42857142857142855</v>
      </c>
      <c r="E19" s="96">
        <f>E18/$D$13</f>
        <v>0.42857142857142855</v>
      </c>
      <c r="F19" s="96">
        <f>F18/$D$13</f>
        <v>0</v>
      </c>
      <c r="G19" s="92">
        <f>SUM(D19:F19)</f>
        <v>0.8571428571428571</v>
      </c>
      <c r="H19" s="97"/>
      <c r="I19" s="97"/>
      <c r="J19" s="97"/>
      <c r="K19" s="97"/>
      <c r="L19" s="97"/>
      <c r="M19" s="97"/>
      <c r="N19" s="97"/>
      <c r="O19" s="97"/>
      <c r="P19" s="97"/>
      <c r="Q19" s="97"/>
      <c r="R19" s="97"/>
      <c r="S19" s="97"/>
      <c r="T19" s="97"/>
      <c r="U19" s="97"/>
      <c r="V19" s="97"/>
      <c r="W19" s="97"/>
      <c r="X19" s="97"/>
      <c r="Y19" s="97"/>
      <c r="Z19" s="97"/>
    </row>
    <row r="20" spans="1:26" x14ac:dyDescent="0.3">
      <c r="A20" s="9"/>
      <c r="B20" s="9"/>
      <c r="C20" s="9"/>
      <c r="D20" s="9"/>
      <c r="E20" s="9"/>
      <c r="F20" s="9"/>
      <c r="G20" s="9"/>
      <c r="H20" s="9"/>
      <c r="I20" s="9"/>
      <c r="J20" s="9"/>
      <c r="K20" s="9"/>
      <c r="L20" s="9"/>
      <c r="M20" s="9"/>
      <c r="N20" s="9"/>
      <c r="O20" s="9"/>
      <c r="P20" s="9"/>
      <c r="Q20" s="9"/>
      <c r="R20" s="9"/>
    </row>
    <row r="21" spans="1:26" x14ac:dyDescent="0.3">
      <c r="A21" s="9"/>
      <c r="B21" s="9"/>
      <c r="C21" s="16" t="s">
        <v>1662</v>
      </c>
      <c r="D21" s="13"/>
      <c r="E21" s="9"/>
      <c r="F21" s="9"/>
      <c r="G21" s="9"/>
      <c r="H21" s="9"/>
      <c r="I21" s="9"/>
      <c r="J21" s="9"/>
      <c r="K21" s="9"/>
      <c r="L21" s="9"/>
      <c r="M21" s="9"/>
      <c r="N21" s="9"/>
      <c r="O21" s="9"/>
      <c r="P21" s="9"/>
      <c r="Q21" s="9"/>
      <c r="R21" s="9"/>
    </row>
    <row r="22" spans="1:26" ht="28" x14ac:dyDescent="0.3">
      <c r="A22" s="9"/>
      <c r="B22" s="9"/>
      <c r="C22" s="3"/>
      <c r="D22" s="5" t="s">
        <v>1663</v>
      </c>
      <c r="E22" s="5" t="s">
        <v>1664</v>
      </c>
      <c r="F22" s="5" t="s">
        <v>1665</v>
      </c>
      <c r="G22" s="5" t="s">
        <v>1666</v>
      </c>
      <c r="H22" s="5" t="s">
        <v>1706</v>
      </c>
      <c r="I22" s="102" t="s">
        <v>1197</v>
      </c>
      <c r="J22" s="9"/>
      <c r="K22" s="9"/>
      <c r="L22" s="9"/>
      <c r="M22" s="9"/>
      <c r="N22" s="9"/>
      <c r="O22" s="9"/>
      <c r="P22" s="9"/>
      <c r="Q22" s="9"/>
      <c r="R22" s="9"/>
    </row>
    <row r="23" spans="1:26" x14ac:dyDescent="0.3">
      <c r="A23" s="9"/>
      <c r="B23" s="9"/>
      <c r="C23" s="3" t="s">
        <v>1198</v>
      </c>
      <c r="D23" s="23">
        <f>COUNTIF('OBO_Cleaned Data'!AA:AA,"moins_six_mois")</f>
        <v>3</v>
      </c>
      <c r="E23" s="23">
        <f>COUNTIF('OBO_Cleaned Data'!AA:AA,"six_mois_un_an")</f>
        <v>1</v>
      </c>
      <c r="F23" s="23">
        <f>COUNTIF('OBO_Cleaned Data'!AA:AA,"un_an_trois_ans")</f>
        <v>1</v>
      </c>
      <c r="G23" s="23">
        <f>COUNTIF('OBO_Cleaned Data'!AA:AA,"plus_trois_ans")</f>
        <v>2</v>
      </c>
      <c r="H23" s="23">
        <f>COUNTIF('OBO_Cleaned Data'!AA:AA,"nsp")</f>
        <v>0</v>
      </c>
      <c r="I23" s="103">
        <f>SUM(D23:H23)</f>
        <v>7</v>
      </c>
      <c r="J23" s="9"/>
      <c r="K23" s="9"/>
      <c r="L23" s="9"/>
      <c r="M23" s="9"/>
      <c r="N23" s="9"/>
      <c r="O23" s="9"/>
      <c r="P23" s="9"/>
      <c r="Q23" s="9"/>
      <c r="R23" s="9"/>
    </row>
    <row r="24" spans="1:26" s="98" customFormat="1" ht="36.5" customHeight="1" x14ac:dyDescent="0.3">
      <c r="A24" s="97"/>
      <c r="B24" s="97"/>
      <c r="C24" s="93" t="s">
        <v>1996</v>
      </c>
      <c r="D24" s="96">
        <f>D23/$D$13</f>
        <v>0.42857142857142855</v>
      </c>
      <c r="E24" s="96">
        <f>E23/$D$13</f>
        <v>0.14285714285714285</v>
      </c>
      <c r="F24" s="96">
        <f>F23/$D$13</f>
        <v>0.14285714285714285</v>
      </c>
      <c r="G24" s="96">
        <f t="shared" ref="G24:H24" si="2">G23/$D$13</f>
        <v>0.2857142857142857</v>
      </c>
      <c r="H24" s="96">
        <f t="shared" si="2"/>
        <v>0</v>
      </c>
      <c r="I24" s="92">
        <f>SUM(D24:H24)</f>
        <v>0.99999999999999989</v>
      </c>
      <c r="J24" s="97"/>
      <c r="K24" s="97"/>
      <c r="L24" s="97"/>
      <c r="M24" s="97"/>
      <c r="N24" s="97"/>
      <c r="O24" s="97"/>
      <c r="P24" s="97"/>
      <c r="Q24" s="97"/>
      <c r="R24" s="97"/>
      <c r="S24" s="97"/>
      <c r="T24" s="97"/>
      <c r="U24" s="97"/>
      <c r="V24" s="97"/>
      <c r="W24" s="97"/>
      <c r="X24" s="97"/>
      <c r="Y24" s="97"/>
      <c r="Z24" s="97"/>
    </row>
    <row r="25" spans="1:26" s="9" customFormat="1" x14ac:dyDescent="0.3">
      <c r="D25" s="48"/>
      <c r="E25" s="48"/>
      <c r="F25" s="48"/>
      <c r="G25" s="48"/>
      <c r="H25" s="48"/>
    </row>
    <row r="26" spans="1:26" x14ac:dyDescent="0.3">
      <c r="A26" s="9"/>
      <c r="B26" s="9"/>
      <c r="C26" s="16" t="s">
        <v>1205</v>
      </c>
      <c r="D26" s="9"/>
      <c r="E26" s="95" t="s">
        <v>1994</v>
      </c>
      <c r="F26" s="9"/>
      <c r="G26" s="9"/>
      <c r="H26" s="9"/>
      <c r="I26" s="9"/>
      <c r="J26" s="9"/>
      <c r="K26" s="9"/>
      <c r="L26" s="9"/>
      <c r="M26" s="9"/>
      <c r="N26" s="9"/>
      <c r="O26" s="9"/>
      <c r="P26" s="9"/>
      <c r="Q26" s="9"/>
      <c r="R26" s="9"/>
    </row>
    <row r="27" spans="1:26" ht="28" x14ac:dyDescent="0.3">
      <c r="A27" s="9"/>
      <c r="B27" s="9"/>
      <c r="C27" s="3"/>
      <c r="D27" s="5" t="s">
        <v>1206</v>
      </c>
      <c r="E27" s="5" t="s">
        <v>1207</v>
      </c>
      <c r="F27" s="5" t="s">
        <v>1208</v>
      </c>
      <c r="G27" s="5" t="s">
        <v>1209</v>
      </c>
      <c r="H27" s="5" t="s">
        <v>1210</v>
      </c>
      <c r="I27" s="5" t="s">
        <v>1211</v>
      </c>
      <c r="J27" s="9"/>
      <c r="K27" s="9"/>
      <c r="L27" s="9"/>
      <c r="M27" s="9"/>
      <c r="N27" s="9"/>
      <c r="O27" s="9"/>
      <c r="P27" s="9"/>
      <c r="Q27" s="9"/>
      <c r="R27" s="9"/>
      <c r="X27" s="1"/>
      <c r="Y27" s="1"/>
      <c r="Z27" s="1"/>
    </row>
    <row r="28" spans="1:26" x14ac:dyDescent="0.3">
      <c r="A28" s="9"/>
      <c r="B28" s="9"/>
      <c r="C28" s="3" t="s">
        <v>1198</v>
      </c>
      <c r="D28" s="23">
        <f>COUNTIF('OBO_Cleaned Data'!AC:AC,"1")</f>
        <v>4</v>
      </c>
      <c r="E28" s="23">
        <f>COUNTIF('OBO_Cleaned Data'!AD:AD,"1")</f>
        <v>0</v>
      </c>
      <c r="F28" s="23">
        <f>COUNTIF('OBO_Cleaned Data'!AF:AF,"1")</f>
        <v>0</v>
      </c>
      <c r="G28" s="23">
        <f>COUNTIF('OBO_Cleaned Data'!AH:AH,"1")</f>
        <v>3</v>
      </c>
      <c r="H28" s="23">
        <f>COUNTIF('OBO_Cleaned Data'!AI:AI,"1")</f>
        <v>2</v>
      </c>
      <c r="I28" s="23">
        <f>COUNTIF('OBO_Cleaned Data'!AK:AK,"1")</f>
        <v>1</v>
      </c>
      <c r="J28" s="73"/>
      <c r="K28" s="9"/>
      <c r="L28" s="9"/>
      <c r="M28" s="9"/>
      <c r="N28" s="9"/>
      <c r="O28" s="9"/>
      <c r="P28" s="9"/>
      <c r="Q28" s="9"/>
      <c r="R28" s="9"/>
      <c r="X28" s="1"/>
      <c r="Y28" s="1"/>
      <c r="Z28" s="1"/>
    </row>
    <row r="29" spans="1:26" s="97" customFormat="1" ht="37.5" x14ac:dyDescent="0.3">
      <c r="A29" s="99"/>
      <c r="B29" s="100"/>
      <c r="C29" s="93" t="s">
        <v>1997</v>
      </c>
      <c r="D29" s="96">
        <f>D28/$C$13</f>
        <v>0.4</v>
      </c>
      <c r="E29" s="96">
        <f t="shared" ref="E29:I29" si="3">E28/$C$13</f>
        <v>0</v>
      </c>
      <c r="F29" s="96">
        <f t="shared" si="3"/>
        <v>0</v>
      </c>
      <c r="G29" s="96">
        <f t="shared" si="3"/>
        <v>0.3</v>
      </c>
      <c r="H29" s="96">
        <f t="shared" si="3"/>
        <v>0.2</v>
      </c>
      <c r="I29" s="96">
        <f t="shared" si="3"/>
        <v>0.1</v>
      </c>
      <c r="J29" s="9"/>
    </row>
    <row r="30" spans="1:26" s="9" customFormat="1" x14ac:dyDescent="0.3">
      <c r="A30" s="13"/>
      <c r="B30" s="14"/>
      <c r="C30" s="89"/>
      <c r="D30" s="14"/>
      <c r="E30" s="14"/>
      <c r="I30" s="73" t="s">
        <v>2676</v>
      </c>
    </row>
    <row r="31" spans="1:26" x14ac:dyDescent="0.3">
      <c r="A31" s="9"/>
      <c r="B31" s="9"/>
      <c r="C31" s="16" t="s">
        <v>1667</v>
      </c>
      <c r="D31" s="13"/>
      <c r="E31" s="9"/>
      <c r="F31" s="9"/>
      <c r="G31" s="9"/>
      <c r="H31" s="9"/>
      <c r="I31" s="9"/>
      <c r="J31" s="9"/>
      <c r="K31" s="9"/>
      <c r="L31" s="9"/>
      <c r="M31" s="9"/>
      <c r="N31" s="9"/>
      <c r="O31" s="9"/>
      <c r="P31" s="9"/>
      <c r="Q31" s="9"/>
      <c r="R31" s="9"/>
    </row>
    <row r="32" spans="1:26" ht="28" x14ac:dyDescent="0.3">
      <c r="A32" s="9"/>
      <c r="B32" s="9"/>
      <c r="C32" s="3"/>
      <c r="D32" s="5" t="s">
        <v>1663</v>
      </c>
      <c r="E32" s="5" t="s">
        <v>1664</v>
      </c>
      <c r="F32" s="5" t="s">
        <v>1665</v>
      </c>
      <c r="G32" s="5" t="s">
        <v>1666</v>
      </c>
      <c r="H32" s="5" t="s">
        <v>1706</v>
      </c>
      <c r="I32" s="102" t="s">
        <v>1197</v>
      </c>
      <c r="J32" s="9"/>
      <c r="K32" s="9"/>
      <c r="L32" s="9"/>
      <c r="M32" s="9"/>
      <c r="N32" s="9"/>
      <c r="O32" s="9"/>
      <c r="P32" s="9"/>
      <c r="Q32" s="9"/>
      <c r="R32" s="9"/>
    </row>
    <row r="33" spans="1:26" x14ac:dyDescent="0.3">
      <c r="A33" s="9"/>
      <c r="B33" s="9"/>
      <c r="C33" s="3" t="s">
        <v>1198</v>
      </c>
      <c r="D33" s="23">
        <f>COUNTIF('OBO_Cleaned Data'!AM:AM,"moins_six_mois")</f>
        <v>4</v>
      </c>
      <c r="E33" s="23">
        <f>COUNTIF('OBO_Cleaned Data'!AM:AM,"six_mois_un_an")</f>
        <v>2</v>
      </c>
      <c r="F33" s="23">
        <f>COUNTIF('OBO_Cleaned Data'!AM:AM,"un_an_trois_ans")</f>
        <v>4</v>
      </c>
      <c r="G33" s="23">
        <f>COUNTIF('OBO_Cleaned Data'!AM:AM,"plus_trois_ans")</f>
        <v>0</v>
      </c>
      <c r="H33" s="23">
        <f>COUNTIF('OBO_Cleaned Data'!AM:AM,"nsp")</f>
        <v>0</v>
      </c>
      <c r="I33" s="103">
        <f>SUM(D33:H33)</f>
        <v>10</v>
      </c>
      <c r="J33" s="9"/>
      <c r="K33" s="9"/>
      <c r="L33" s="9"/>
      <c r="M33" s="9"/>
      <c r="N33" s="9"/>
      <c r="O33" s="9"/>
      <c r="P33" s="9"/>
      <c r="Q33" s="9"/>
      <c r="R33" s="9"/>
    </row>
    <row r="34" spans="1:26" s="98" customFormat="1" ht="41.5" customHeight="1" x14ac:dyDescent="0.3">
      <c r="A34" s="97"/>
      <c r="B34" s="97"/>
      <c r="C34" s="93" t="s">
        <v>1997</v>
      </c>
      <c r="D34" s="96">
        <f>D33/$C$13</f>
        <v>0.4</v>
      </c>
      <c r="E34" s="96">
        <f t="shared" ref="E34:H34" si="4">E33/$C$13</f>
        <v>0.2</v>
      </c>
      <c r="F34" s="96">
        <f t="shared" si="4"/>
        <v>0.4</v>
      </c>
      <c r="G34" s="96">
        <f t="shared" si="4"/>
        <v>0</v>
      </c>
      <c r="H34" s="96">
        <f t="shared" si="4"/>
        <v>0</v>
      </c>
      <c r="I34" s="92">
        <f>SUM(D34:H34)</f>
        <v>1</v>
      </c>
      <c r="J34" s="97"/>
      <c r="K34" s="97"/>
      <c r="L34" s="97"/>
      <c r="M34" s="97"/>
      <c r="N34" s="97"/>
      <c r="O34" s="97"/>
      <c r="P34" s="97"/>
      <c r="Q34" s="97"/>
      <c r="R34" s="97"/>
      <c r="S34" s="97"/>
      <c r="T34" s="97"/>
      <c r="U34" s="97"/>
      <c r="V34" s="97"/>
      <c r="W34" s="97"/>
      <c r="X34" s="97"/>
      <c r="Y34" s="97"/>
      <c r="Z34" s="97"/>
    </row>
    <row r="35" spans="1:26" s="9" customFormat="1" x14ac:dyDescent="0.3">
      <c r="A35" s="13"/>
      <c r="B35" s="14"/>
      <c r="C35" s="14"/>
      <c r="D35" s="14"/>
      <c r="E35" s="14"/>
    </row>
    <row r="36" spans="1:26" ht="15.5" x14ac:dyDescent="0.35">
      <c r="A36" s="28" t="s">
        <v>1294</v>
      </c>
      <c r="B36" s="95" t="s">
        <v>1994</v>
      </c>
      <c r="C36" s="9"/>
      <c r="D36" s="9"/>
      <c r="E36" s="9"/>
      <c r="F36" s="9"/>
      <c r="G36" s="9"/>
      <c r="H36" s="9"/>
      <c r="I36" s="9"/>
      <c r="J36" s="9"/>
      <c r="K36" s="9"/>
      <c r="L36" s="9"/>
      <c r="M36" s="9"/>
      <c r="N36" s="9"/>
      <c r="O36" s="9"/>
      <c r="P36" s="9"/>
      <c r="Q36" s="9"/>
      <c r="R36" s="9"/>
    </row>
    <row r="37" spans="1:26" ht="56" x14ac:dyDescent="0.3">
      <c r="A37" s="3"/>
      <c r="B37" s="7" t="s">
        <v>1698</v>
      </c>
      <c r="C37" s="7" t="s">
        <v>1691</v>
      </c>
      <c r="D37" s="7" t="s">
        <v>1692</v>
      </c>
      <c r="E37" s="7" t="s">
        <v>1693</v>
      </c>
      <c r="F37" s="7" t="s">
        <v>1694</v>
      </c>
      <c r="G37" s="7" t="s">
        <v>1695</v>
      </c>
      <c r="H37" s="7" t="s">
        <v>1229</v>
      </c>
      <c r="I37" s="7" t="s">
        <v>1696</v>
      </c>
      <c r="J37" s="7" t="s">
        <v>1697</v>
      </c>
      <c r="K37" s="7" t="s">
        <v>1706</v>
      </c>
      <c r="L37" s="7" t="s">
        <v>1196</v>
      </c>
      <c r="M37" s="9"/>
      <c r="N37" s="9"/>
      <c r="O37" s="9"/>
      <c r="P37" s="9"/>
      <c r="Q37" s="9"/>
      <c r="R37" s="9"/>
    </row>
    <row r="38" spans="1:26" x14ac:dyDescent="0.3">
      <c r="A38" s="3" t="s">
        <v>1198</v>
      </c>
      <c r="B38" s="23">
        <f>COUNTIF('OBO_Cleaned Data'!BP:BP,"1")</f>
        <v>6</v>
      </c>
      <c r="C38" s="23">
        <f>COUNTIF('OBO_Cleaned Data'!BQ:BQ,"1")</f>
        <v>0</v>
      </c>
      <c r="D38" s="23">
        <f>COUNTIF('OBO_Cleaned Data'!BR:BR,"1")</f>
        <v>3</v>
      </c>
      <c r="E38" s="23">
        <f>COUNTIF('OBO_Cleaned Data'!BY:BY,"1")</f>
        <v>0</v>
      </c>
      <c r="F38" s="23">
        <f>COUNTIF('OBO_Cleaned Data'!BZ:BZ,"1")</f>
        <v>7</v>
      </c>
      <c r="G38" s="23">
        <f>COUNTIF('OBO_Cleaned Data'!BS:BS,"1")</f>
        <v>6</v>
      </c>
      <c r="H38" s="23">
        <f>COUNTIF('OBO_Cleaned Data'!BT:BT,"1")</f>
        <v>1</v>
      </c>
      <c r="I38" s="23">
        <f>COUNTIF('OBO_Cleaned Data'!BU:BU,"1")</f>
        <v>23</v>
      </c>
      <c r="J38" s="23">
        <f>COUNTIF('OBO_Cleaned Data'!CA:CA,"1")</f>
        <v>1</v>
      </c>
      <c r="K38" s="23">
        <f>COUNTIF('OBO_Cleaned Data'!BW:BW,"1")</f>
        <v>6</v>
      </c>
      <c r="L38" s="23">
        <f>COUNTIF('OBO_Cleaned Data'!BX:BX,"1")</f>
        <v>0</v>
      </c>
      <c r="M38" s="9"/>
      <c r="N38" s="9"/>
      <c r="O38" s="9"/>
      <c r="P38" s="9"/>
      <c r="Q38" s="9"/>
      <c r="R38" s="9"/>
    </row>
    <row r="39" spans="1:26" s="98" customFormat="1" ht="26" x14ac:dyDescent="0.3">
      <c r="A39" s="93" t="s">
        <v>1995</v>
      </c>
      <c r="B39" s="96">
        <f>B38/$B$3</f>
        <v>0.11320754716981132</v>
      </c>
      <c r="C39" s="96">
        <f t="shared" ref="C39:L39" si="5">C38/$B$3</f>
        <v>0</v>
      </c>
      <c r="D39" s="96">
        <f t="shared" si="5"/>
        <v>5.6603773584905662E-2</v>
      </c>
      <c r="E39" s="96">
        <f t="shared" si="5"/>
        <v>0</v>
      </c>
      <c r="F39" s="96">
        <f t="shared" si="5"/>
        <v>0.13207547169811321</v>
      </c>
      <c r="G39" s="96">
        <f t="shared" si="5"/>
        <v>0.11320754716981132</v>
      </c>
      <c r="H39" s="96">
        <f t="shared" si="5"/>
        <v>1.8867924528301886E-2</v>
      </c>
      <c r="I39" s="96">
        <f t="shared" si="5"/>
        <v>0.43396226415094341</v>
      </c>
      <c r="J39" s="96">
        <f t="shared" si="5"/>
        <v>1.8867924528301886E-2</v>
      </c>
      <c r="K39" s="96">
        <f t="shared" si="5"/>
        <v>0.11320754716981132</v>
      </c>
      <c r="L39" s="96">
        <f t="shared" si="5"/>
        <v>0</v>
      </c>
      <c r="M39" s="97"/>
      <c r="N39" s="97"/>
      <c r="O39" s="97"/>
      <c r="P39" s="97"/>
      <c r="Q39" s="97"/>
      <c r="R39" s="97"/>
      <c r="S39" s="97"/>
      <c r="T39" s="97"/>
      <c r="U39" s="97"/>
      <c r="V39" s="97"/>
      <c r="W39" s="97"/>
      <c r="X39" s="97"/>
      <c r="Y39" s="97"/>
      <c r="Z39" s="97"/>
    </row>
    <row r="40" spans="1:26" x14ac:dyDescent="0.3">
      <c r="A40" s="9"/>
      <c r="B40" s="9"/>
      <c r="C40" s="9"/>
      <c r="D40" s="9"/>
      <c r="E40" s="9"/>
      <c r="F40" s="9"/>
      <c r="G40" s="9"/>
      <c r="H40" s="9"/>
      <c r="I40" s="9"/>
      <c r="J40" s="9"/>
      <c r="K40" s="9"/>
      <c r="L40" s="9"/>
      <c r="M40" s="9"/>
      <c r="N40" s="9"/>
      <c r="O40" s="9"/>
      <c r="P40" s="9"/>
      <c r="Q40" s="9"/>
      <c r="R40" s="9"/>
    </row>
    <row r="41" spans="1:26" x14ac:dyDescent="0.3">
      <c r="A41" s="9"/>
      <c r="B41" s="9"/>
      <c r="C41" s="9"/>
      <c r="D41" s="9"/>
      <c r="E41" s="9"/>
      <c r="F41" s="9"/>
      <c r="G41" s="9"/>
      <c r="H41" s="9"/>
      <c r="I41" s="9"/>
      <c r="J41" s="9"/>
      <c r="K41" s="9"/>
      <c r="L41" s="9"/>
      <c r="M41" s="9"/>
      <c r="N41" s="9"/>
      <c r="O41" s="9"/>
      <c r="P41" s="9"/>
      <c r="Q41" s="9"/>
      <c r="R41" s="9"/>
    </row>
    <row r="42" spans="1:26" ht="15.5" x14ac:dyDescent="0.35">
      <c r="A42" s="8" t="s">
        <v>1285</v>
      </c>
      <c r="B42" s="9"/>
      <c r="C42" s="9"/>
      <c r="D42" s="9"/>
      <c r="E42" s="9"/>
      <c r="F42" s="9"/>
      <c r="G42" s="9"/>
      <c r="H42" s="9"/>
      <c r="I42" s="9"/>
      <c r="J42" s="9"/>
      <c r="K42" s="9"/>
      <c r="L42" s="9"/>
      <c r="M42" s="9"/>
      <c r="N42" s="9"/>
      <c r="O42" s="9"/>
      <c r="P42" s="9"/>
      <c r="Q42" s="9"/>
      <c r="R42" s="9"/>
    </row>
    <row r="43" spans="1:26" ht="15.5" x14ac:dyDescent="0.35">
      <c r="A43" s="28" t="s">
        <v>1213</v>
      </c>
      <c r="C43" s="9"/>
      <c r="D43" s="9"/>
      <c r="E43" s="9"/>
      <c r="F43" s="9"/>
      <c r="G43" s="9"/>
      <c r="H43" s="9"/>
      <c r="I43" s="9"/>
      <c r="J43" s="9"/>
      <c r="K43" s="9"/>
      <c r="L43" s="9"/>
      <c r="M43" s="9"/>
      <c r="N43" s="9"/>
      <c r="O43" s="9"/>
      <c r="P43" s="9"/>
      <c r="Q43" s="9"/>
      <c r="R43" s="9"/>
    </row>
    <row r="44" spans="1:26" ht="42" x14ac:dyDescent="0.3">
      <c r="A44" s="3"/>
      <c r="B44" s="7" t="s">
        <v>1668</v>
      </c>
      <c r="C44" s="7" t="s">
        <v>1669</v>
      </c>
      <c r="D44" s="7" t="s">
        <v>1670</v>
      </c>
      <c r="E44" s="7" t="s">
        <v>1671</v>
      </c>
      <c r="F44" s="102" t="s">
        <v>1197</v>
      </c>
      <c r="G44" s="9"/>
      <c r="H44" s="9"/>
      <c r="I44" s="9"/>
      <c r="J44" s="9"/>
      <c r="K44" s="9"/>
      <c r="L44" s="9"/>
      <c r="M44" s="9"/>
      <c r="N44" s="9"/>
      <c r="O44" s="9"/>
      <c r="P44" s="9"/>
      <c r="Q44" s="9"/>
      <c r="R44" s="9"/>
    </row>
    <row r="45" spans="1:26" x14ac:dyDescent="0.3">
      <c r="A45" s="3" t="s">
        <v>1198</v>
      </c>
      <c r="B45" s="3">
        <f>COUNTIF('OBO_Cleaned Data'!AN:AN, "oui_potable")</f>
        <v>31</v>
      </c>
      <c r="C45" s="3">
        <f>COUNTIF('OBO_Cleaned Data'!AN:AN, "oui_pas_potable")</f>
        <v>7</v>
      </c>
      <c r="D45" s="3">
        <f>COUNTIF('OBO_Cleaned Data'!AN:AN, "oui_traitee")</f>
        <v>0</v>
      </c>
      <c r="E45" s="3">
        <f>COUNTIF('OBO_Cleaned Data'!AN:AN, "non")</f>
        <v>5</v>
      </c>
      <c r="F45" s="103">
        <f>SUM(B45:E45)</f>
        <v>43</v>
      </c>
      <c r="G45" s="9"/>
      <c r="H45" s="9"/>
      <c r="I45" s="9"/>
      <c r="J45" s="9"/>
      <c r="K45" s="9"/>
      <c r="L45" s="9"/>
      <c r="M45" s="9"/>
      <c r="N45" s="9"/>
      <c r="O45" s="9"/>
      <c r="P45" s="9"/>
      <c r="Q45" s="9"/>
      <c r="R45" s="9"/>
    </row>
    <row r="46" spans="1:26" s="98" customFormat="1" ht="37.5" x14ac:dyDescent="0.3">
      <c r="A46" s="93" t="s">
        <v>1685</v>
      </c>
      <c r="B46" s="96">
        <f>(B45/$E$13)</f>
        <v>0.72093023255813948</v>
      </c>
      <c r="C46" s="96">
        <f t="shared" ref="C46:E46" si="6">(C45/$E$13)</f>
        <v>0.16279069767441862</v>
      </c>
      <c r="D46" s="96">
        <f t="shared" si="6"/>
        <v>0</v>
      </c>
      <c r="E46" s="96">
        <f t="shared" si="6"/>
        <v>0.11627906976744186</v>
      </c>
      <c r="F46" s="92">
        <f>SUM(B46:E46)</f>
        <v>1</v>
      </c>
      <c r="G46" s="97"/>
      <c r="H46" s="97"/>
      <c r="I46" s="97"/>
      <c r="J46" s="97"/>
      <c r="K46" s="97"/>
      <c r="L46" s="97"/>
      <c r="M46" s="97"/>
      <c r="N46" s="97"/>
      <c r="O46" s="97"/>
      <c r="P46" s="97"/>
      <c r="Q46" s="97"/>
      <c r="R46" s="97"/>
      <c r="S46" s="97"/>
      <c r="T46" s="97"/>
      <c r="U46" s="97"/>
      <c r="V46" s="97"/>
      <c r="W46" s="97"/>
      <c r="X46" s="97"/>
      <c r="Y46" s="97"/>
      <c r="Z46" s="97"/>
    </row>
    <row r="47" spans="1:26" ht="15" customHeight="1" x14ac:dyDescent="0.3">
      <c r="A47" s="13"/>
      <c r="B47" s="14"/>
      <c r="C47" s="14"/>
      <c r="D47" s="13"/>
      <c r="E47" s="9"/>
      <c r="F47" s="9"/>
      <c r="G47" s="9"/>
      <c r="H47" s="9"/>
      <c r="I47" s="9"/>
      <c r="J47" s="9"/>
      <c r="K47" s="9"/>
      <c r="L47" s="9"/>
      <c r="M47" s="9"/>
      <c r="N47" s="9"/>
      <c r="O47" s="9"/>
      <c r="P47" s="9"/>
      <c r="Q47" s="9"/>
      <c r="R47" s="9"/>
    </row>
    <row r="48" spans="1:26" ht="15.5" x14ac:dyDescent="0.35">
      <c r="A48" s="59" t="s">
        <v>1214</v>
      </c>
      <c r="D48" s="9"/>
      <c r="E48" s="9"/>
      <c r="F48" s="9"/>
      <c r="G48" s="9"/>
      <c r="H48" s="9"/>
      <c r="I48" s="9"/>
      <c r="J48" s="9"/>
      <c r="K48" s="9"/>
      <c r="L48" s="9"/>
      <c r="M48" s="9"/>
      <c r="N48" s="9"/>
      <c r="O48" s="9"/>
      <c r="P48" s="9"/>
      <c r="Q48" s="9"/>
      <c r="R48" s="9"/>
    </row>
    <row r="49" spans="1:45" x14ac:dyDescent="0.3">
      <c r="A49" s="18">
        <f>AVERAGE('OBO_Cleaned Data'!AO:AO)</f>
        <v>99.439024390243901</v>
      </c>
      <c r="B49" s="9"/>
      <c r="C49" s="73"/>
      <c r="D49" s="9"/>
      <c r="E49" s="9"/>
      <c r="F49" s="9"/>
      <c r="G49" s="9"/>
      <c r="H49" s="9"/>
      <c r="I49" s="9"/>
      <c r="J49" s="9"/>
      <c r="K49" s="9"/>
      <c r="L49" s="9"/>
      <c r="M49" s="9"/>
      <c r="N49" s="9"/>
      <c r="O49" s="9"/>
      <c r="P49" s="9"/>
      <c r="Q49" s="9"/>
      <c r="R49" s="9"/>
    </row>
    <row r="50" spans="1:45" x14ac:dyDescent="0.3">
      <c r="A50" s="18"/>
      <c r="B50" s="9"/>
      <c r="C50" s="9"/>
      <c r="D50" s="9"/>
      <c r="E50" s="9"/>
      <c r="F50" s="9"/>
      <c r="G50" s="9"/>
      <c r="H50" s="9"/>
      <c r="I50" s="9"/>
      <c r="J50" s="9"/>
      <c r="K50" s="9"/>
      <c r="L50" s="9"/>
      <c r="M50" s="9"/>
      <c r="N50" s="9"/>
      <c r="O50" s="9"/>
      <c r="P50" s="9"/>
      <c r="Q50" s="9"/>
      <c r="R50" s="9"/>
    </row>
    <row r="51" spans="1:45" ht="15.5" x14ac:dyDescent="0.35">
      <c r="A51" s="28" t="s">
        <v>1504</v>
      </c>
      <c r="B51" s="9"/>
      <c r="C51" s="9"/>
      <c r="D51" s="9"/>
      <c r="E51" s="9"/>
      <c r="F51" s="9"/>
      <c r="G51" s="9"/>
      <c r="H51" s="9"/>
      <c r="I51" s="9"/>
      <c r="J51" s="9"/>
      <c r="K51" s="9"/>
      <c r="L51" s="9"/>
      <c r="M51" s="9"/>
      <c r="N51" s="9"/>
      <c r="O51" s="9"/>
      <c r="P51" s="9"/>
      <c r="Q51" s="9"/>
      <c r="R51" s="9"/>
      <c r="AA51" s="9"/>
      <c r="AB51" s="9"/>
      <c r="AC51" s="9"/>
      <c r="AD51" s="9"/>
      <c r="AE51" s="9"/>
      <c r="AF51" s="9"/>
      <c r="AG51" s="9"/>
      <c r="AH51" s="9"/>
      <c r="AI51" s="9"/>
      <c r="AJ51" s="9"/>
      <c r="AK51" s="9"/>
      <c r="AL51" s="9"/>
      <c r="AM51" s="9"/>
      <c r="AN51" s="9"/>
      <c r="AO51" s="9"/>
      <c r="AP51" s="9"/>
      <c r="AQ51" s="9"/>
      <c r="AR51" s="9"/>
      <c r="AS51" s="9"/>
    </row>
    <row r="52" spans="1:45" ht="42" x14ac:dyDescent="0.3">
      <c r="A52" s="3"/>
      <c r="B52" s="7" t="s">
        <v>1505</v>
      </c>
      <c r="C52" s="7" t="s">
        <v>1506</v>
      </c>
      <c r="D52" s="7" t="s">
        <v>1507</v>
      </c>
      <c r="E52" s="7" t="s">
        <v>1508</v>
      </c>
      <c r="F52" s="7" t="s">
        <v>1509</v>
      </c>
      <c r="G52" s="7" t="s">
        <v>1706</v>
      </c>
      <c r="H52" s="7" t="s">
        <v>1211</v>
      </c>
      <c r="I52" s="102" t="s">
        <v>1197</v>
      </c>
      <c r="J52" s="9"/>
      <c r="K52" s="9"/>
      <c r="L52" s="9"/>
      <c r="M52" s="9"/>
      <c r="N52" s="9"/>
      <c r="O52" s="9"/>
      <c r="P52" s="9"/>
      <c r="Q52" s="9"/>
      <c r="R52" s="9"/>
      <c r="AA52" s="9"/>
      <c r="AB52" s="9"/>
      <c r="AC52" s="9"/>
      <c r="AD52" s="9"/>
      <c r="AE52" s="9"/>
      <c r="AF52" s="9"/>
      <c r="AG52" s="9"/>
      <c r="AH52" s="9"/>
      <c r="AI52" s="9"/>
      <c r="AJ52" s="9"/>
      <c r="AK52" s="9"/>
      <c r="AL52" s="9"/>
      <c r="AM52" s="9"/>
      <c r="AN52" s="9"/>
      <c r="AO52" s="9"/>
      <c r="AP52" s="9"/>
      <c r="AQ52" s="9"/>
      <c r="AR52" s="9"/>
      <c r="AS52" s="9"/>
    </row>
    <row r="53" spans="1:45" x14ac:dyDescent="0.3">
      <c r="A53" s="3" t="s">
        <v>1198</v>
      </c>
      <c r="B53" s="3">
        <f>COUNTIF('OBO_Cleaned Data'!AP:AP,"maisons_alentours")</f>
        <v>5</v>
      </c>
      <c r="C53" s="3">
        <f>COUNTIF('OBO_Cleaned Data'!AP:AP,"quartier")</f>
        <v>7</v>
      </c>
      <c r="D53" s="3">
        <f>COUNTIF('OBO_Cleaned Data'!AP:AP,"plusieurs_quartiers")</f>
        <v>31</v>
      </c>
      <c r="E53" s="3">
        <f>COUNTIF('OBO_Cleaned Data'!AP:AP,"localite")</f>
        <v>0</v>
      </c>
      <c r="F53" s="3">
        <f>COUNTIF('OBO_Cleaned Data'!AP:AP,"localite_environs")</f>
        <v>0</v>
      </c>
      <c r="G53" s="3">
        <f>COUNTIF('OBO_Cleaned Data'!AP:AP,"nsp")</f>
        <v>0</v>
      </c>
      <c r="H53" s="3">
        <f>COUNTIF('OBO_Cleaned Data'!AP:AP,"autre")</f>
        <v>0</v>
      </c>
      <c r="I53" s="103">
        <f>SUM(B53:H53)</f>
        <v>43</v>
      </c>
      <c r="J53" s="9"/>
      <c r="K53" s="9"/>
      <c r="L53" s="9"/>
      <c r="M53" s="9"/>
      <c r="N53" s="9"/>
      <c r="O53" s="9"/>
      <c r="P53" s="9"/>
      <c r="Q53" s="9"/>
      <c r="R53" s="9"/>
      <c r="AA53" s="9"/>
      <c r="AB53" s="9"/>
      <c r="AC53" s="9"/>
      <c r="AD53" s="9"/>
      <c r="AE53" s="9"/>
      <c r="AF53" s="9"/>
      <c r="AG53" s="9"/>
      <c r="AH53" s="9"/>
      <c r="AI53" s="9"/>
      <c r="AJ53" s="9"/>
      <c r="AK53" s="9"/>
      <c r="AL53" s="9"/>
      <c r="AM53" s="9"/>
      <c r="AN53" s="9"/>
      <c r="AO53" s="9"/>
      <c r="AP53" s="9"/>
      <c r="AQ53" s="9"/>
      <c r="AR53" s="9"/>
      <c r="AS53" s="9"/>
    </row>
    <row r="54" spans="1:45" s="55" customFormat="1" ht="37" x14ac:dyDescent="0.3">
      <c r="A54" s="53" t="s">
        <v>1685</v>
      </c>
      <c r="B54" s="96">
        <f>(B53/$E$13)</f>
        <v>0.11627906976744186</v>
      </c>
      <c r="C54" s="96">
        <f t="shared" ref="C54:H54" si="7">(C53/$E$13)</f>
        <v>0.16279069767441862</v>
      </c>
      <c r="D54" s="96">
        <f t="shared" si="7"/>
        <v>0.72093023255813948</v>
      </c>
      <c r="E54" s="96">
        <f t="shared" si="7"/>
        <v>0</v>
      </c>
      <c r="F54" s="96">
        <f t="shared" si="7"/>
        <v>0</v>
      </c>
      <c r="G54" s="96">
        <f t="shared" si="7"/>
        <v>0</v>
      </c>
      <c r="H54" s="96">
        <f t="shared" si="7"/>
        <v>0</v>
      </c>
      <c r="I54" s="92">
        <f>SUM(B54:H54)</f>
        <v>1</v>
      </c>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row>
    <row r="55" spans="1:45" s="9" customFormat="1" x14ac:dyDescent="0.3"/>
    <row r="56" spans="1:45" ht="15.5" x14ac:dyDescent="0.35">
      <c r="A56" s="28" t="s">
        <v>1672</v>
      </c>
      <c r="B56" s="9"/>
      <c r="C56" s="9"/>
      <c r="D56" s="9"/>
      <c r="E56" s="9"/>
      <c r="F56" s="9"/>
      <c r="G56" s="9"/>
      <c r="H56" s="9"/>
      <c r="I56" s="9"/>
      <c r="J56" s="9"/>
      <c r="K56" s="9"/>
      <c r="L56" s="9"/>
      <c r="M56" s="9"/>
      <c r="N56" s="9"/>
      <c r="O56" s="9"/>
      <c r="P56" s="9"/>
      <c r="Q56" s="9"/>
      <c r="R56" s="9"/>
      <c r="AA56" s="9"/>
      <c r="AB56" s="9"/>
      <c r="AC56" s="9"/>
      <c r="AD56" s="9"/>
      <c r="AE56" s="9"/>
      <c r="AF56" s="9"/>
      <c r="AG56" s="9"/>
      <c r="AH56" s="9"/>
      <c r="AI56" s="9"/>
      <c r="AJ56" s="9"/>
      <c r="AK56" s="9"/>
      <c r="AL56" s="9"/>
      <c r="AM56" s="9"/>
      <c r="AN56" s="9"/>
      <c r="AO56" s="9"/>
      <c r="AP56" s="9"/>
      <c r="AQ56" s="9"/>
      <c r="AR56" s="9"/>
      <c r="AS56" s="9"/>
    </row>
    <row r="57" spans="1:45" ht="28" x14ac:dyDescent="0.3">
      <c r="A57" s="3"/>
      <c r="B57" s="7" t="s">
        <v>1673</v>
      </c>
      <c r="C57" s="7" t="s">
        <v>1674</v>
      </c>
      <c r="D57" s="7" t="s">
        <v>1675</v>
      </c>
      <c r="E57" s="7" t="s">
        <v>1676</v>
      </c>
      <c r="F57" s="7" t="s">
        <v>1677</v>
      </c>
      <c r="G57" s="102" t="s">
        <v>1197</v>
      </c>
      <c r="H57" s="9"/>
      <c r="I57" s="9"/>
      <c r="J57" s="9"/>
      <c r="K57" s="9"/>
      <c r="L57" s="9"/>
      <c r="M57" s="9"/>
      <c r="N57" s="9"/>
      <c r="O57" s="9"/>
      <c r="P57" s="9"/>
      <c r="Q57" s="9"/>
      <c r="R57" s="9"/>
      <c r="AA57" s="9"/>
      <c r="AB57" s="9"/>
      <c r="AC57" s="9"/>
      <c r="AD57" s="9"/>
      <c r="AE57" s="9"/>
      <c r="AF57" s="9"/>
      <c r="AG57" s="9"/>
      <c r="AH57" s="9"/>
      <c r="AI57" s="9"/>
      <c r="AJ57" s="9"/>
      <c r="AK57" s="9"/>
      <c r="AL57" s="9"/>
      <c r="AM57" s="9"/>
      <c r="AN57" s="9"/>
      <c r="AO57" s="9"/>
      <c r="AP57" s="9"/>
      <c r="AQ57" s="9"/>
      <c r="AR57" s="9"/>
      <c r="AS57" s="9"/>
    </row>
    <row r="58" spans="1:45" x14ac:dyDescent="0.3">
      <c r="A58" s="3" t="s">
        <v>1198</v>
      </c>
      <c r="B58" s="3">
        <f>COUNTIF('OBO_Cleaned Data'!AR:AR,"moins_trente_min")</f>
        <v>35</v>
      </c>
      <c r="C58" s="3">
        <f>COUNTIF('OBO_Cleaned Data'!AR:AR,"une_heure")</f>
        <v>8</v>
      </c>
      <c r="D58" s="3">
        <f>COUNTIF('OBO_Cleaned Data'!AR:AR,"une_deux_heures")</f>
        <v>0</v>
      </c>
      <c r="E58" s="3">
        <f>COUNTIF('OBO_Cleaned Data'!AR:AR,"deux_trois_heures")</f>
        <v>0</v>
      </c>
      <c r="F58" s="3">
        <f>COUNTIF('OBO_Cleaned Data'!AR:AR,"plus_trois_heures")</f>
        <v>0</v>
      </c>
      <c r="G58" s="103">
        <f>SUM(B58:F58)</f>
        <v>43</v>
      </c>
      <c r="H58" s="9"/>
      <c r="I58" s="9"/>
      <c r="J58" s="9"/>
      <c r="K58" s="9"/>
      <c r="L58" s="9"/>
      <c r="M58" s="9"/>
      <c r="N58" s="9"/>
      <c r="O58" s="9"/>
      <c r="P58" s="9"/>
      <c r="Q58" s="9"/>
      <c r="R58" s="9"/>
      <c r="AA58" s="9"/>
      <c r="AB58" s="9"/>
      <c r="AC58" s="9"/>
      <c r="AD58" s="9"/>
      <c r="AE58" s="9"/>
      <c r="AF58" s="9"/>
      <c r="AG58" s="9"/>
      <c r="AH58" s="9"/>
      <c r="AI58" s="9"/>
      <c r="AJ58" s="9"/>
      <c r="AK58" s="9"/>
      <c r="AL58" s="9"/>
      <c r="AM58" s="9"/>
      <c r="AN58" s="9"/>
      <c r="AO58" s="9"/>
      <c r="AP58" s="9"/>
      <c r="AQ58" s="9"/>
      <c r="AR58" s="9"/>
      <c r="AS58" s="9"/>
    </row>
    <row r="59" spans="1:45" s="55" customFormat="1" ht="37" x14ac:dyDescent="0.3">
      <c r="A59" s="53" t="s">
        <v>1685</v>
      </c>
      <c r="B59" s="88">
        <f>(B58/$E$13)</f>
        <v>0.81395348837209303</v>
      </c>
      <c r="C59" s="88">
        <f t="shared" ref="C59:F59" si="8">(C58/$E$13)</f>
        <v>0.18604651162790697</v>
      </c>
      <c r="D59" s="88">
        <f t="shared" si="8"/>
        <v>0</v>
      </c>
      <c r="E59" s="88">
        <f t="shared" si="8"/>
        <v>0</v>
      </c>
      <c r="F59" s="88">
        <f t="shared" si="8"/>
        <v>0</v>
      </c>
      <c r="G59" s="92">
        <f>SUM(B59:F59)</f>
        <v>1</v>
      </c>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row>
    <row r="60" spans="1:45" s="9" customFormat="1" x14ac:dyDescent="0.3">
      <c r="A60" s="13"/>
      <c r="B60" s="13"/>
      <c r="C60" s="13"/>
      <c r="D60" s="13"/>
      <c r="E60" s="13"/>
      <c r="F60" s="13"/>
    </row>
    <row r="61" spans="1:45" s="9" customFormat="1" ht="15.5" x14ac:dyDescent="0.35">
      <c r="A61" s="28" t="s">
        <v>1678</v>
      </c>
      <c r="D61" s="13"/>
      <c r="E61" s="13"/>
      <c r="F61" s="13"/>
    </row>
    <row r="62" spans="1:45" s="9" customFormat="1" ht="28" x14ac:dyDescent="0.3">
      <c r="A62" s="3"/>
      <c r="B62" s="7" t="s">
        <v>2057</v>
      </c>
      <c r="C62" s="7" t="s">
        <v>1679</v>
      </c>
      <c r="D62" s="7" t="s">
        <v>1674</v>
      </c>
      <c r="E62" s="7" t="s">
        <v>1680</v>
      </c>
      <c r="F62" s="7" t="s">
        <v>1681</v>
      </c>
      <c r="G62" s="7" t="s">
        <v>1677</v>
      </c>
      <c r="H62" s="7" t="s">
        <v>1706</v>
      </c>
      <c r="I62" s="102" t="s">
        <v>1197</v>
      </c>
    </row>
    <row r="63" spans="1:45" s="9" customFormat="1" x14ac:dyDescent="0.3">
      <c r="A63" s="3" t="s">
        <v>1198</v>
      </c>
      <c r="B63" s="3">
        <f>COUNTIF('OBO_Cleaned Data'!AS:AS,"aucun")</f>
        <v>7</v>
      </c>
      <c r="C63" s="3">
        <f>COUNTIF('OBO_Cleaned Data'!AS:AS,"moins_trente_minutes")</f>
        <v>27</v>
      </c>
      <c r="D63" s="3">
        <f>COUNTIF('OBO_Cleaned Data'!AS:AS,"moins_une_heure")</f>
        <v>7</v>
      </c>
      <c r="E63" s="3">
        <f>COUNTIF('OBO_Cleaned Data'!AS:AS,"plus_une_heure")</f>
        <v>1</v>
      </c>
      <c r="F63" s="3">
        <f>COUNTIF('OBO_Cleaned Data'!AS:AS,"plus_deux_heures")</f>
        <v>1</v>
      </c>
      <c r="G63" s="3">
        <f>COUNTIF('OBO_Cleaned Data'!AS:AS,"plus_trois_heure")</f>
        <v>0</v>
      </c>
      <c r="H63" s="3">
        <f>COUNTIF('OBO_Cleaned Data'!AS:AS,"nsp")</f>
        <v>0</v>
      </c>
      <c r="I63" s="103">
        <f>SUM(B63:H63)</f>
        <v>43</v>
      </c>
    </row>
    <row r="64" spans="1:45" s="55" customFormat="1" ht="37" x14ac:dyDescent="0.3">
      <c r="A64" s="53" t="s">
        <v>1685</v>
      </c>
      <c r="B64" s="88">
        <f>(B63/$E$13)</f>
        <v>0.16279069767441862</v>
      </c>
      <c r="C64" s="88">
        <f t="shared" ref="C64:H64" si="9">(C63/$E$13)</f>
        <v>0.62790697674418605</v>
      </c>
      <c r="D64" s="88">
        <f t="shared" si="9"/>
        <v>0.16279069767441862</v>
      </c>
      <c r="E64" s="88">
        <f t="shared" si="9"/>
        <v>2.3255813953488372E-2</v>
      </c>
      <c r="F64" s="88">
        <f t="shared" si="9"/>
        <v>2.3255813953488372E-2</v>
      </c>
      <c r="G64" s="88">
        <f t="shared" si="9"/>
        <v>0</v>
      </c>
      <c r="H64" s="88">
        <f t="shared" si="9"/>
        <v>0</v>
      </c>
      <c r="I64" s="92">
        <f>SUM(B64:H64)</f>
        <v>1.0000000000000002</v>
      </c>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row>
    <row r="65" spans="1:26" x14ac:dyDescent="0.3">
      <c r="A65" s="9"/>
      <c r="B65" s="9"/>
      <c r="C65" s="9"/>
      <c r="D65" s="9"/>
      <c r="E65" s="9"/>
      <c r="F65" s="9"/>
      <c r="G65" s="9"/>
      <c r="H65" s="9"/>
      <c r="I65" s="9"/>
      <c r="J65" s="9"/>
      <c r="K65" s="9"/>
      <c r="L65" s="9"/>
      <c r="M65" s="9"/>
      <c r="N65" s="9"/>
      <c r="O65" s="9"/>
      <c r="P65" s="9"/>
      <c r="Q65" s="9"/>
      <c r="R65" s="9"/>
    </row>
    <row r="66" spans="1:26" ht="15.5" x14ac:dyDescent="0.35">
      <c r="A66" s="59" t="s">
        <v>1683</v>
      </c>
      <c r="D66" s="9"/>
      <c r="E66" s="9"/>
      <c r="F66" s="9"/>
      <c r="G66" s="9"/>
      <c r="H66" s="9"/>
      <c r="I66" s="9"/>
      <c r="J66" s="9"/>
      <c r="K66" s="9"/>
      <c r="L66" s="9"/>
      <c r="M66" s="9"/>
      <c r="N66" s="9"/>
      <c r="O66" s="9"/>
      <c r="P66" s="9"/>
      <c r="Q66" s="9"/>
      <c r="R66" s="9"/>
    </row>
    <row r="67" spans="1:26" x14ac:dyDescent="0.3">
      <c r="A67" s="3"/>
      <c r="B67" s="7" t="s">
        <v>1201</v>
      </c>
      <c r="C67" s="7" t="s">
        <v>1200</v>
      </c>
      <c r="D67" s="102" t="s">
        <v>1197</v>
      </c>
      <c r="E67" s="9"/>
      <c r="F67" s="9"/>
      <c r="G67" s="9"/>
      <c r="H67" s="9"/>
      <c r="I67" s="9"/>
      <c r="J67" s="9"/>
      <c r="K67" s="9"/>
      <c r="L67" s="9"/>
      <c r="M67" s="9"/>
      <c r="N67" s="9"/>
      <c r="O67" s="9"/>
      <c r="P67" s="9"/>
      <c r="Q67" s="9"/>
      <c r="R67" s="9"/>
    </row>
    <row r="68" spans="1:26" x14ac:dyDescent="0.3">
      <c r="A68" s="3" t="s">
        <v>1198</v>
      </c>
      <c r="B68" s="3">
        <f>COUNTIF('OBO_Cleaned Data'!AT:AT,"OUI")</f>
        <v>32</v>
      </c>
      <c r="C68" s="3">
        <f>COUNTIF('OBO_Cleaned Data'!AT:AT,"non")</f>
        <v>11</v>
      </c>
      <c r="D68" s="103">
        <f>SUM(B68:C68)</f>
        <v>43</v>
      </c>
      <c r="E68" s="9"/>
      <c r="F68" s="9"/>
      <c r="G68" s="9"/>
      <c r="H68" s="9"/>
      <c r="I68" s="9"/>
      <c r="J68" s="9"/>
      <c r="K68" s="9"/>
      <c r="L68" s="9"/>
      <c r="M68" s="9"/>
      <c r="N68" s="9"/>
      <c r="O68" s="9"/>
      <c r="P68" s="9"/>
      <c r="Q68" s="9"/>
      <c r="R68" s="9"/>
    </row>
    <row r="69" spans="1:26" s="55" customFormat="1" ht="37" x14ac:dyDescent="0.3">
      <c r="A69" s="53" t="s">
        <v>1685</v>
      </c>
      <c r="B69" s="88">
        <f>(B68/$E$13)</f>
        <v>0.7441860465116279</v>
      </c>
      <c r="C69" s="88">
        <f>(C68/$E$13)</f>
        <v>0.2558139534883721</v>
      </c>
      <c r="D69" s="92">
        <f>SUM(B69:C69)</f>
        <v>1</v>
      </c>
      <c r="E69" s="35"/>
      <c r="F69" s="35"/>
      <c r="G69" s="35"/>
      <c r="H69" s="35"/>
      <c r="I69" s="35"/>
      <c r="J69" s="35"/>
      <c r="K69" s="35"/>
      <c r="L69" s="35"/>
      <c r="M69" s="35"/>
      <c r="N69" s="35"/>
      <c r="O69" s="35"/>
      <c r="P69" s="35"/>
      <c r="Q69" s="35"/>
      <c r="R69" s="35"/>
      <c r="S69" s="35"/>
      <c r="T69" s="35"/>
      <c r="U69" s="35"/>
      <c r="V69" s="35"/>
      <c r="W69" s="35"/>
      <c r="X69" s="35"/>
      <c r="Y69" s="35"/>
      <c r="Z69" s="35"/>
    </row>
    <row r="70" spans="1:26" x14ac:dyDescent="0.3">
      <c r="A70" s="9"/>
      <c r="B70" s="9"/>
      <c r="C70" s="9"/>
      <c r="D70" s="9"/>
      <c r="E70" s="9"/>
      <c r="F70" s="9"/>
      <c r="G70" s="9"/>
      <c r="H70" s="9"/>
      <c r="I70" s="9"/>
      <c r="J70" s="9"/>
      <c r="K70" s="9"/>
      <c r="L70" s="9"/>
      <c r="M70" s="9"/>
      <c r="N70" s="9"/>
      <c r="O70" s="9"/>
      <c r="P70" s="9"/>
      <c r="Q70" s="9"/>
      <c r="R70" s="9"/>
    </row>
    <row r="71" spans="1:26" x14ac:dyDescent="0.3">
      <c r="A71" s="9"/>
      <c r="B71" s="17" t="s">
        <v>1215</v>
      </c>
      <c r="C71" s="9"/>
      <c r="D71" s="9"/>
      <c r="E71" s="9"/>
      <c r="F71" s="9"/>
      <c r="G71" s="9"/>
      <c r="H71" s="9"/>
      <c r="I71" s="9"/>
      <c r="J71" s="9"/>
      <c r="K71" s="9"/>
      <c r="L71" s="9"/>
      <c r="M71" s="9"/>
      <c r="N71" s="9"/>
      <c r="O71" s="9"/>
      <c r="P71" s="9"/>
      <c r="Q71" s="9"/>
      <c r="R71" s="9"/>
    </row>
    <row r="72" spans="1:26" ht="28" x14ac:dyDescent="0.3">
      <c r="A72" s="9"/>
      <c r="B72" s="3"/>
      <c r="C72" s="11" t="s">
        <v>1217</v>
      </c>
      <c r="D72" s="11" t="s">
        <v>1392</v>
      </c>
      <c r="E72" s="11" t="s">
        <v>1216</v>
      </c>
      <c r="F72" s="11" t="s">
        <v>1391</v>
      </c>
      <c r="G72" s="102" t="s">
        <v>1197</v>
      </c>
      <c r="H72" s="9"/>
      <c r="I72" s="9"/>
      <c r="J72" s="9"/>
      <c r="K72" s="9"/>
      <c r="L72" s="9"/>
      <c r="M72" s="9"/>
      <c r="N72" s="9"/>
      <c r="O72" s="9"/>
      <c r="P72" s="9"/>
      <c r="Q72" s="9"/>
      <c r="R72" s="9"/>
    </row>
    <row r="73" spans="1:26" x14ac:dyDescent="0.3">
      <c r="A73" s="9"/>
      <c r="B73" s="3" t="s">
        <v>1198</v>
      </c>
      <c r="C73" s="3">
        <f>COUNTIF('OBO_Cleaned Data'!AU:AU,"bcp_diminue")</f>
        <v>1</v>
      </c>
      <c r="D73" s="3">
        <f>COUNTIF('OBO_Cleaned Data'!AU:AU,"peu_diminue")</f>
        <v>0</v>
      </c>
      <c r="E73" s="3">
        <f>COUNTIF('OBO_Cleaned Data'!AU:AU,"bcp_augmente")</f>
        <v>20</v>
      </c>
      <c r="F73" s="3">
        <f>COUNTIF('OBO_Cleaned Data'!AU:AU,"PEU_augmente")</f>
        <v>11</v>
      </c>
      <c r="G73" s="103">
        <f>SUM(C73:F73)</f>
        <v>32</v>
      </c>
      <c r="H73" s="9"/>
      <c r="I73" s="9"/>
      <c r="J73" s="9"/>
      <c r="K73" s="9"/>
      <c r="L73" s="9"/>
      <c r="M73" s="9"/>
      <c r="N73" s="9"/>
      <c r="O73" s="9"/>
      <c r="P73" s="9"/>
      <c r="Q73" s="9"/>
      <c r="R73" s="9"/>
    </row>
    <row r="74" spans="1:26" ht="60.5" x14ac:dyDescent="0.3">
      <c r="A74" s="9"/>
      <c r="B74" s="52" t="s">
        <v>1999</v>
      </c>
      <c r="C74" s="6">
        <f>(C73/$B$68)</f>
        <v>3.125E-2</v>
      </c>
      <c r="D74" s="6">
        <f>(D73/$B$68)</f>
        <v>0</v>
      </c>
      <c r="E74" s="6">
        <f>(E73/$B$68)</f>
        <v>0.625</v>
      </c>
      <c r="F74" s="6">
        <f>(F73/$B$68)</f>
        <v>0.34375</v>
      </c>
      <c r="G74" s="92">
        <f>SUM(C74:F74)</f>
        <v>1</v>
      </c>
      <c r="H74" s="9"/>
      <c r="I74" s="9"/>
      <c r="J74" s="9"/>
      <c r="K74" s="9"/>
      <c r="L74" s="9"/>
      <c r="M74" s="9"/>
      <c r="N74" s="9"/>
      <c r="O74" s="9"/>
      <c r="P74" s="9"/>
      <c r="Q74" s="9"/>
      <c r="R74" s="9"/>
    </row>
    <row r="75" spans="1:26" x14ac:dyDescent="0.3">
      <c r="A75" s="9"/>
      <c r="B75" s="9"/>
      <c r="C75" s="9"/>
      <c r="D75" s="9"/>
      <c r="E75" s="9"/>
      <c r="F75" s="9"/>
      <c r="G75" s="9"/>
      <c r="H75" s="9"/>
      <c r="I75" s="9"/>
      <c r="J75" s="9"/>
      <c r="K75" s="9"/>
      <c r="L75" s="9"/>
      <c r="M75" s="9"/>
      <c r="N75" s="9"/>
      <c r="O75" s="9"/>
      <c r="P75" s="9"/>
      <c r="Q75" s="9"/>
      <c r="R75" s="9"/>
    </row>
    <row r="76" spans="1:26" x14ac:dyDescent="0.3">
      <c r="A76" s="9"/>
      <c r="B76" s="17" t="s">
        <v>1218</v>
      </c>
      <c r="C76" s="9"/>
      <c r="D76" s="95" t="s">
        <v>1994</v>
      </c>
      <c r="E76" s="9"/>
      <c r="F76" s="9"/>
      <c r="G76" s="9"/>
      <c r="H76" s="9"/>
      <c r="I76" s="9"/>
      <c r="J76" s="9"/>
      <c r="K76" s="9"/>
      <c r="L76" s="9"/>
      <c r="M76" s="9"/>
      <c r="N76" s="9"/>
      <c r="O76" s="9"/>
      <c r="P76" s="9"/>
      <c r="Q76" s="9"/>
      <c r="R76" s="9"/>
    </row>
    <row r="77" spans="1:26" s="12" customFormat="1" ht="57" customHeight="1" x14ac:dyDescent="0.3">
      <c r="A77" s="19"/>
      <c r="B77" s="3"/>
      <c r="C77" s="10" t="s">
        <v>1223</v>
      </c>
      <c r="D77" s="10" t="s">
        <v>1224</v>
      </c>
      <c r="E77" s="10" t="s">
        <v>1219</v>
      </c>
      <c r="F77" s="10" t="s">
        <v>1220</v>
      </c>
      <c r="G77" s="10" t="s">
        <v>1221</v>
      </c>
      <c r="H77" s="10" t="s">
        <v>1222</v>
      </c>
      <c r="I77" s="10" t="s">
        <v>1706</v>
      </c>
      <c r="J77" s="10" t="s">
        <v>1196</v>
      </c>
      <c r="K77" s="19"/>
      <c r="L77" s="19"/>
      <c r="M77" s="19"/>
      <c r="N77" s="19"/>
      <c r="O77" s="19"/>
      <c r="P77" s="19"/>
      <c r="Q77" s="19"/>
      <c r="R77" s="19"/>
      <c r="S77" s="19"/>
      <c r="T77" s="19"/>
      <c r="U77" s="19"/>
      <c r="V77" s="19"/>
      <c r="W77" s="19"/>
      <c r="X77" s="19"/>
      <c r="Y77" s="19"/>
      <c r="Z77" s="19"/>
    </row>
    <row r="78" spans="1:26" x14ac:dyDescent="0.3">
      <c r="A78" s="9"/>
      <c r="B78" s="3" t="s">
        <v>1198</v>
      </c>
      <c r="C78" s="3">
        <f>COUNTIF('OBO_Cleaned Data'!AV:AV,"1")</f>
        <v>0</v>
      </c>
      <c r="D78" s="3">
        <f>COUNTIF('OBO_Cleaned Data'!AW:AW,"1")</f>
        <v>20</v>
      </c>
      <c r="E78" s="3">
        <f>COUNTIF('OBO_Cleaned Data'!AX:AX,"1")</f>
        <v>1</v>
      </c>
      <c r="F78" s="3">
        <f>COUNTIF('OBO_Cleaned Data'!AY:AY,"1")</f>
        <v>11</v>
      </c>
      <c r="G78" s="3">
        <f>COUNTIF('OBO_Cleaned Data'!AZ:AZ,"1")</f>
        <v>13</v>
      </c>
      <c r="H78" s="3">
        <f>COUNTIF('OBO_Cleaned Data'!BA:BA,"1")</f>
        <v>2</v>
      </c>
      <c r="I78" s="3">
        <f>COUNTIF('OBO_Cleaned Data'!BB:BB,"1")</f>
        <v>2</v>
      </c>
      <c r="J78" s="3">
        <f>COUNTIF('OBO_Cleaned Data'!BC:BC,"1")</f>
        <v>0</v>
      </c>
      <c r="K78" s="19"/>
      <c r="L78" s="9"/>
      <c r="M78" s="9"/>
      <c r="N78" s="9"/>
      <c r="O78" s="9"/>
      <c r="P78" s="9"/>
      <c r="Q78" s="9"/>
      <c r="R78" s="9"/>
    </row>
    <row r="79" spans="1:26" ht="60.5" x14ac:dyDescent="0.3">
      <c r="A79" s="9"/>
      <c r="B79" s="52" t="s">
        <v>2000</v>
      </c>
      <c r="C79" s="6">
        <f t="shared" ref="C79:J79" si="10">C78/$E$73</f>
        <v>0</v>
      </c>
      <c r="D79" s="6">
        <f t="shared" si="10"/>
        <v>1</v>
      </c>
      <c r="E79" s="6">
        <f t="shared" si="10"/>
        <v>0.05</v>
      </c>
      <c r="F79" s="6">
        <f t="shared" si="10"/>
        <v>0.55000000000000004</v>
      </c>
      <c r="G79" s="6">
        <f t="shared" si="10"/>
        <v>0.65</v>
      </c>
      <c r="H79" s="6">
        <f t="shared" si="10"/>
        <v>0.1</v>
      </c>
      <c r="I79" s="6">
        <f t="shared" si="10"/>
        <v>0.1</v>
      </c>
      <c r="J79" s="6">
        <f t="shared" si="10"/>
        <v>0</v>
      </c>
      <c r="K79" s="19"/>
      <c r="L79" s="9"/>
      <c r="M79" s="9"/>
      <c r="N79" s="9"/>
      <c r="O79" s="9"/>
      <c r="P79" s="9"/>
      <c r="Q79" s="9"/>
      <c r="R79" s="9"/>
    </row>
    <row r="80" spans="1:26" s="9" customFormat="1" x14ac:dyDescent="0.3">
      <c r="B80" s="14"/>
      <c r="C80" s="14"/>
      <c r="D80" s="14"/>
      <c r="E80" s="14"/>
      <c r="F80" s="14"/>
      <c r="G80" s="14"/>
      <c r="H80" s="14"/>
      <c r="I80" s="14"/>
    </row>
    <row r="81" spans="1:26" x14ac:dyDescent="0.3">
      <c r="A81" s="9"/>
      <c r="B81" s="17" t="s">
        <v>1300</v>
      </c>
      <c r="C81" s="9"/>
      <c r="D81" s="95" t="s">
        <v>1994</v>
      </c>
      <c r="E81" s="9"/>
      <c r="F81" s="9"/>
      <c r="G81" s="9"/>
      <c r="H81" s="9"/>
      <c r="I81" s="9"/>
      <c r="J81" s="9"/>
      <c r="K81" s="9"/>
      <c r="L81" s="9"/>
      <c r="M81" s="9"/>
      <c r="N81" s="9"/>
      <c r="O81" s="9"/>
      <c r="P81" s="9"/>
      <c r="Q81" s="9"/>
      <c r="R81" s="9"/>
    </row>
    <row r="82" spans="1:26" s="12" customFormat="1" ht="57" customHeight="1" x14ac:dyDescent="0.3">
      <c r="A82" s="19"/>
      <c r="B82" s="3"/>
      <c r="C82" s="10" t="s">
        <v>1686</v>
      </c>
      <c r="D82" s="10" t="s">
        <v>1687</v>
      </c>
      <c r="E82" s="10" t="s">
        <v>1688</v>
      </c>
      <c r="F82" s="10" t="s">
        <v>1689</v>
      </c>
      <c r="G82" s="10" t="s">
        <v>1690</v>
      </c>
      <c r="H82" s="10" t="s">
        <v>1706</v>
      </c>
      <c r="I82" s="10" t="s">
        <v>1196</v>
      </c>
      <c r="J82" s="19"/>
      <c r="K82" s="19"/>
      <c r="L82" s="19"/>
      <c r="M82" s="19"/>
      <c r="N82" s="19"/>
      <c r="O82" s="19"/>
      <c r="P82" s="19"/>
      <c r="Q82" s="19"/>
      <c r="R82" s="19"/>
      <c r="S82" s="19"/>
      <c r="T82" s="19"/>
      <c r="U82" s="19"/>
      <c r="V82" s="19"/>
      <c r="W82" s="19"/>
      <c r="X82" s="19"/>
      <c r="Y82" s="19"/>
      <c r="Z82" s="19"/>
    </row>
    <row r="83" spans="1:26" x14ac:dyDescent="0.3">
      <c r="A83" s="9"/>
      <c r="B83" s="3" t="s">
        <v>1198</v>
      </c>
      <c r="C83" s="3">
        <f>COUNTIF('OBO_Cleaned Data'!BF:BF,"1")</f>
        <v>0</v>
      </c>
      <c r="D83" s="3">
        <f>COUNTIF('OBO_Cleaned Data'!BG:BG,"1")</f>
        <v>1</v>
      </c>
      <c r="E83" s="3">
        <f>COUNTIF('OBO_Cleaned Data'!BH:BH,"1")</f>
        <v>0</v>
      </c>
      <c r="F83" s="3">
        <f>COUNTIF('OBO_Cleaned Data'!BI:BI,"1")</f>
        <v>0</v>
      </c>
      <c r="G83" s="3">
        <f>COUNTIF('OBO_Cleaned Data'!BJ:BJ,"1")</f>
        <v>1</v>
      </c>
      <c r="H83" s="3">
        <f>COUNTIF('OBO_Cleaned Data'!BK:BK,"1")</f>
        <v>1</v>
      </c>
      <c r="I83" s="3">
        <f>COUNTIF('OBO_Cleaned Data'!BL:BL,"1")</f>
        <v>0</v>
      </c>
      <c r="J83" s="9"/>
      <c r="K83" s="9"/>
      <c r="L83" s="9"/>
      <c r="M83" s="9"/>
      <c r="N83" s="9"/>
      <c r="O83" s="9"/>
      <c r="P83" s="9"/>
      <c r="Q83" s="9"/>
      <c r="R83" s="9"/>
    </row>
    <row r="84" spans="1:26" ht="60.5" x14ac:dyDescent="0.3">
      <c r="A84" s="9"/>
      <c r="B84" s="52" t="s">
        <v>2001</v>
      </c>
      <c r="C84" s="6" t="e">
        <f t="shared" ref="C84:I84" si="11">C83/$D$73</f>
        <v>#DIV/0!</v>
      </c>
      <c r="D84" s="6" t="e">
        <f t="shared" si="11"/>
        <v>#DIV/0!</v>
      </c>
      <c r="E84" s="6" t="e">
        <f t="shared" si="11"/>
        <v>#DIV/0!</v>
      </c>
      <c r="F84" s="6" t="e">
        <f t="shared" si="11"/>
        <v>#DIV/0!</v>
      </c>
      <c r="G84" s="6" t="e">
        <f t="shared" si="11"/>
        <v>#DIV/0!</v>
      </c>
      <c r="H84" s="6" t="e">
        <f t="shared" si="11"/>
        <v>#DIV/0!</v>
      </c>
      <c r="I84" s="6" t="e">
        <f t="shared" si="11"/>
        <v>#DIV/0!</v>
      </c>
      <c r="J84" s="9"/>
      <c r="K84" s="9"/>
      <c r="L84" s="9"/>
      <c r="M84" s="9"/>
      <c r="N84" s="9"/>
      <c r="O84" s="9"/>
      <c r="P84" s="9"/>
      <c r="Q84" s="9"/>
      <c r="R84" s="9"/>
    </row>
    <row r="85" spans="1:26" s="9" customFormat="1" x14ac:dyDescent="0.3">
      <c r="B85" s="14"/>
      <c r="C85" s="14"/>
      <c r="D85" s="14"/>
      <c r="E85" s="14"/>
      <c r="F85" s="14"/>
      <c r="G85" s="14"/>
      <c r="H85" s="14"/>
      <c r="I85" s="14"/>
    </row>
    <row r="86" spans="1:26" x14ac:dyDescent="0.3">
      <c r="A86" s="9"/>
      <c r="B86" s="9"/>
      <c r="C86" s="9"/>
      <c r="D86" s="9"/>
      <c r="E86" s="9"/>
      <c r="F86" s="9"/>
      <c r="G86" s="9"/>
      <c r="H86" s="9"/>
      <c r="I86" s="9"/>
      <c r="J86" s="9"/>
      <c r="K86" s="9"/>
      <c r="L86" s="9"/>
      <c r="M86" s="9"/>
      <c r="N86" s="9"/>
      <c r="O86" s="9"/>
      <c r="P86" s="9"/>
      <c r="Q86" s="9"/>
      <c r="R86" s="9"/>
    </row>
    <row r="87" spans="1:26" ht="15.5" x14ac:dyDescent="0.35">
      <c r="A87" s="8" t="s">
        <v>1286</v>
      </c>
      <c r="B87" s="9"/>
      <c r="C87" s="9"/>
      <c r="D87" s="9"/>
      <c r="E87" s="9"/>
      <c r="F87" s="9"/>
      <c r="G87" s="9"/>
      <c r="H87" s="9"/>
      <c r="I87" s="9"/>
      <c r="J87" s="9"/>
      <c r="K87" s="9"/>
      <c r="L87" s="9"/>
      <c r="M87" s="9"/>
      <c r="N87" s="9"/>
      <c r="O87" s="9"/>
      <c r="P87" s="9"/>
      <c r="Q87" s="9"/>
      <c r="R87" s="9"/>
    </row>
    <row r="88" spans="1:26" ht="15.5" x14ac:dyDescent="0.35">
      <c r="A88" s="28" t="s">
        <v>1659</v>
      </c>
      <c r="B88" s="9"/>
      <c r="C88" s="9"/>
      <c r="D88" s="9"/>
      <c r="E88" s="9"/>
      <c r="F88" s="9"/>
      <c r="G88" s="9"/>
      <c r="H88" s="9"/>
      <c r="I88" s="9"/>
      <c r="J88" s="9"/>
      <c r="K88" s="9"/>
      <c r="L88" s="9"/>
      <c r="M88" s="9"/>
      <c r="N88" s="9"/>
      <c r="O88" s="9"/>
      <c r="P88" s="9"/>
      <c r="Q88" s="9"/>
      <c r="R88" s="9"/>
    </row>
    <row r="89" spans="1:26" x14ac:dyDescent="0.3">
      <c r="A89" s="3"/>
      <c r="B89" s="7" t="s">
        <v>1201</v>
      </c>
      <c r="C89" s="7" t="s">
        <v>1200</v>
      </c>
      <c r="D89" s="7" t="s">
        <v>1706</v>
      </c>
      <c r="E89" s="102" t="s">
        <v>1197</v>
      </c>
      <c r="F89" s="9"/>
      <c r="G89" s="9"/>
      <c r="H89" s="9"/>
      <c r="I89" s="9"/>
      <c r="J89" s="9"/>
      <c r="K89" s="9"/>
      <c r="L89" s="9"/>
      <c r="M89" s="9"/>
      <c r="N89" s="9"/>
      <c r="O89" s="9"/>
      <c r="P89" s="9"/>
      <c r="Q89" s="9"/>
      <c r="R89" s="9"/>
    </row>
    <row r="90" spans="1:26" x14ac:dyDescent="0.3">
      <c r="A90" s="3" t="s">
        <v>1198</v>
      </c>
      <c r="B90" s="3">
        <f>COUNTIF('OBO_Cleaned Data'!W:W,"OUI")</f>
        <v>31</v>
      </c>
      <c r="C90" s="3">
        <f>COUNTIF('OBO_Cleaned Data'!W:W,"non")</f>
        <v>21</v>
      </c>
      <c r="D90" s="3">
        <f>COUNTIF('OBO_Cleaned Data'!W:W,"nsp")</f>
        <v>1</v>
      </c>
      <c r="E90" s="103">
        <f>SUM(B90:D90)</f>
        <v>53</v>
      </c>
      <c r="F90" s="9"/>
      <c r="G90" s="9"/>
      <c r="H90" s="9"/>
      <c r="I90" s="9"/>
      <c r="J90" s="9"/>
      <c r="K90" s="9"/>
      <c r="L90" s="9"/>
      <c r="M90" s="9"/>
      <c r="N90" s="9"/>
      <c r="O90" s="9"/>
      <c r="P90" s="9"/>
      <c r="Q90" s="9"/>
      <c r="R90" s="9"/>
    </row>
    <row r="91" spans="1:26" ht="26" x14ac:dyDescent="0.3">
      <c r="A91" s="52" t="s">
        <v>1995</v>
      </c>
      <c r="B91" s="6">
        <f>(B90/$B$3)</f>
        <v>0.58490566037735847</v>
      </c>
      <c r="C91" s="6">
        <f>(C90/$B$3)</f>
        <v>0.39622641509433965</v>
      </c>
      <c r="D91" s="6">
        <f>(D90/$B$3)</f>
        <v>1.8867924528301886E-2</v>
      </c>
      <c r="E91" s="92">
        <f>SUM(B91:D91)</f>
        <v>1</v>
      </c>
      <c r="F91" s="9"/>
      <c r="G91" s="9"/>
      <c r="H91" s="9"/>
      <c r="I91" s="9"/>
      <c r="J91" s="9"/>
      <c r="K91" s="9"/>
      <c r="L91" s="9"/>
      <c r="M91" s="9"/>
      <c r="N91" s="9"/>
      <c r="O91" s="9"/>
      <c r="P91" s="9"/>
      <c r="Q91" s="9"/>
      <c r="R91" s="9"/>
    </row>
    <row r="92" spans="1:26" ht="15.5" x14ac:dyDescent="0.35">
      <c r="A92" s="8"/>
      <c r="B92" s="9"/>
      <c r="C92" s="9"/>
      <c r="D92" s="9"/>
      <c r="E92" s="9"/>
      <c r="F92" s="9"/>
      <c r="G92" s="9"/>
      <c r="H92" s="9"/>
      <c r="I92" s="9"/>
      <c r="J92" s="9"/>
      <c r="K92" s="9"/>
      <c r="L92" s="9"/>
      <c r="M92" s="9"/>
      <c r="N92" s="9"/>
      <c r="O92" s="9"/>
      <c r="P92" s="9"/>
      <c r="Q92" s="9"/>
      <c r="R92" s="9"/>
    </row>
    <row r="93" spans="1:26" ht="15.5" x14ac:dyDescent="0.35">
      <c r="A93" s="28" t="s">
        <v>1287</v>
      </c>
      <c r="B93" s="9"/>
      <c r="C93" s="9"/>
      <c r="D93" s="9"/>
      <c r="E93" s="9"/>
      <c r="F93" s="9"/>
      <c r="G93" s="9"/>
      <c r="H93" s="9"/>
      <c r="I93" s="9"/>
      <c r="J93" s="9"/>
      <c r="K93" s="9"/>
      <c r="L93" s="9"/>
      <c r="M93" s="9"/>
      <c r="N93" s="9"/>
      <c r="O93" s="9"/>
      <c r="P93" s="9"/>
      <c r="Q93" s="9"/>
      <c r="R93" s="9"/>
    </row>
    <row r="94" spans="1:26" x14ac:dyDescent="0.3">
      <c r="A94" s="3"/>
      <c r="B94" s="7" t="s">
        <v>1201</v>
      </c>
      <c r="C94" s="7" t="s">
        <v>1200</v>
      </c>
      <c r="D94" s="102" t="s">
        <v>1197</v>
      </c>
      <c r="E94" s="9"/>
      <c r="F94" s="9"/>
      <c r="G94" s="9"/>
      <c r="H94" s="9"/>
      <c r="I94" s="9"/>
      <c r="J94" s="9"/>
      <c r="K94" s="9"/>
      <c r="L94" s="9"/>
      <c r="M94" s="9"/>
      <c r="N94" s="9"/>
      <c r="O94" s="9"/>
      <c r="P94" s="9"/>
      <c r="Q94" s="9"/>
      <c r="R94" s="9"/>
    </row>
    <row r="95" spans="1:26" x14ac:dyDescent="0.3">
      <c r="A95" s="3" t="s">
        <v>1198</v>
      </c>
      <c r="B95" s="3">
        <f>COUNTIF('OBO_Cleaned Data'!CC:CC,"oui")</f>
        <v>7</v>
      </c>
      <c r="C95" s="3">
        <f>COUNTIF('OBO_Cleaned Data'!CC:CC,"non")</f>
        <v>36</v>
      </c>
      <c r="D95" s="103">
        <f>SUM(A95:C95)</f>
        <v>43</v>
      </c>
      <c r="E95" s="9"/>
      <c r="F95" s="9"/>
      <c r="G95" s="9"/>
      <c r="H95" s="9"/>
      <c r="I95" s="9"/>
      <c r="J95" s="9"/>
      <c r="K95" s="9"/>
      <c r="L95" s="9"/>
      <c r="M95" s="9"/>
      <c r="N95" s="9"/>
      <c r="O95" s="9"/>
      <c r="P95" s="9"/>
      <c r="Q95" s="9"/>
      <c r="R95" s="9"/>
    </row>
    <row r="96" spans="1:26" ht="37" x14ac:dyDescent="0.3">
      <c r="A96" s="53" t="s">
        <v>1685</v>
      </c>
      <c r="B96" s="6">
        <f>(B95/$E$13)</f>
        <v>0.16279069767441862</v>
      </c>
      <c r="C96" s="6">
        <f>(C95/$E$13)</f>
        <v>0.83720930232558144</v>
      </c>
      <c r="D96" s="92">
        <f>SUM(A96:C96)</f>
        <v>1</v>
      </c>
      <c r="E96" s="9"/>
      <c r="F96" s="9"/>
      <c r="G96" s="9"/>
      <c r="H96" s="9"/>
      <c r="I96" s="9"/>
      <c r="J96" s="9"/>
      <c r="K96" s="9"/>
      <c r="L96" s="9"/>
      <c r="M96" s="9"/>
      <c r="N96" s="9"/>
      <c r="O96" s="9"/>
      <c r="P96" s="9"/>
      <c r="Q96" s="9"/>
      <c r="R96" s="9"/>
    </row>
    <row r="97" spans="2:11" s="9" customFormat="1" x14ac:dyDescent="0.3"/>
    <row r="98" spans="2:11" s="9" customFormat="1" x14ac:dyDescent="0.3">
      <c r="B98" s="17" t="s">
        <v>1232</v>
      </c>
    </row>
    <row r="99" spans="2:11" s="9" customFormat="1" x14ac:dyDescent="0.3">
      <c r="B99" s="18">
        <f>AVERAGE('OBO_Cleaned Data'!CF:CF)</f>
        <v>114.28571428571429</v>
      </c>
      <c r="C99" s="21" t="s">
        <v>1233</v>
      </c>
      <c r="D99" s="20" t="s">
        <v>2307</v>
      </c>
      <c r="F99" s="73"/>
    </row>
    <row r="100" spans="2:11" s="9" customFormat="1" x14ac:dyDescent="0.3"/>
    <row r="101" spans="2:11" s="9" customFormat="1" x14ac:dyDescent="0.3">
      <c r="B101" s="17" t="s">
        <v>1234</v>
      </c>
    </row>
    <row r="102" spans="2:11" s="9" customFormat="1" x14ac:dyDescent="0.3">
      <c r="B102" s="3"/>
      <c r="C102" s="10" t="s">
        <v>1201</v>
      </c>
      <c r="D102" s="10" t="s">
        <v>1200</v>
      </c>
      <c r="E102" s="10" t="s">
        <v>2006</v>
      </c>
      <c r="F102" s="102" t="s">
        <v>1197</v>
      </c>
    </row>
    <row r="103" spans="2:11" s="9" customFormat="1" x14ac:dyDescent="0.3">
      <c r="B103" s="3" t="s">
        <v>1198</v>
      </c>
      <c r="C103" s="3">
        <f>COUNTIF('OBO_Cleaned Data'!CG:CG,"OUI")</f>
        <v>0</v>
      </c>
      <c r="D103" s="3">
        <f>COUNTIF('OBO_Cleaned Data'!CG:CG,"non")</f>
        <v>7</v>
      </c>
      <c r="E103" s="3">
        <f>COUNTIF('OBO_Cleaned Data'!CG:CG,"nsp")</f>
        <v>0</v>
      </c>
      <c r="F103" s="103">
        <f>SUM(C103:D103)</f>
        <v>7</v>
      </c>
    </row>
    <row r="104" spans="2:11" s="9" customFormat="1" ht="37.5" x14ac:dyDescent="0.3">
      <c r="B104" s="52" t="s">
        <v>2002</v>
      </c>
      <c r="C104" s="6">
        <f>(C103/$B$95)</f>
        <v>0</v>
      </c>
      <c r="D104" s="6">
        <f>(D103/$B$95)</f>
        <v>1</v>
      </c>
      <c r="E104" s="6">
        <f>(E103/$B$95)</f>
        <v>0</v>
      </c>
      <c r="F104" s="92">
        <f>SUM(C104:E104)</f>
        <v>1</v>
      </c>
      <c r="K104" s="1"/>
    </row>
    <row r="105" spans="2:11" s="9" customFormat="1" x14ac:dyDescent="0.3">
      <c r="B105" s="13"/>
      <c r="C105" s="14"/>
      <c r="D105" s="14"/>
      <c r="K105" s="1"/>
    </row>
    <row r="106" spans="2:11" s="9" customFormat="1" x14ac:dyDescent="0.3">
      <c r="B106" s="17" t="s">
        <v>1215</v>
      </c>
    </row>
    <row r="107" spans="2:11" s="9" customFormat="1" ht="28" x14ac:dyDescent="0.3">
      <c r="B107" s="3"/>
      <c r="C107" s="11" t="s">
        <v>1217</v>
      </c>
      <c r="D107" s="11" t="s">
        <v>1392</v>
      </c>
      <c r="E107" s="11" t="s">
        <v>1216</v>
      </c>
      <c r="F107" s="11" t="s">
        <v>1391</v>
      </c>
      <c r="G107" s="102" t="s">
        <v>1197</v>
      </c>
    </row>
    <row r="108" spans="2:11" s="9" customFormat="1" x14ac:dyDescent="0.3">
      <c r="B108" s="3" t="s">
        <v>1198</v>
      </c>
      <c r="C108" s="3">
        <f>COUNTIF('OBO_Cleaned Data'!CH:CH,"bcp_diminue")</f>
        <v>0</v>
      </c>
      <c r="D108" s="3">
        <f>COUNTIF('OBO_Cleaned Data'!CH:CH,"peu_diminue")</f>
        <v>0</v>
      </c>
      <c r="E108" s="3">
        <f>COUNTIF('OBO_Cleaned Data'!CH:CH,"bcp_augmente")</f>
        <v>0</v>
      </c>
      <c r="F108" s="3">
        <f>COUNTIF('OBO_Cleaned Data'!CH:CH,"PEU_augmente")</f>
        <v>0</v>
      </c>
      <c r="G108" s="103">
        <f>SUM(C108:F108)</f>
        <v>0</v>
      </c>
      <c r="I108" s="73" t="s">
        <v>2677</v>
      </c>
    </row>
    <row r="109" spans="2:11" s="9" customFormat="1" ht="60.5" x14ac:dyDescent="0.3">
      <c r="B109" s="52" t="s">
        <v>2003</v>
      </c>
      <c r="C109" s="6" t="e">
        <f>(C108/$C$103)</f>
        <v>#DIV/0!</v>
      </c>
      <c r="D109" s="6" t="e">
        <f>(D108/$C$103)</f>
        <v>#DIV/0!</v>
      </c>
      <c r="E109" s="6" t="e">
        <f>(E108/$C$103)</f>
        <v>#DIV/0!</v>
      </c>
      <c r="F109" s="6" t="e">
        <f>(F108/$C$103)</f>
        <v>#DIV/0!</v>
      </c>
      <c r="G109" s="92" t="e">
        <f>SUM(C109:F109)</f>
        <v>#DIV/0!</v>
      </c>
    </row>
    <row r="110" spans="2:11" s="9" customFormat="1" x14ac:dyDescent="0.3"/>
    <row r="111" spans="2:11" s="9" customFormat="1" x14ac:dyDescent="0.3">
      <c r="B111" s="1" t="s">
        <v>1235</v>
      </c>
      <c r="C111" s="1"/>
    </row>
    <row r="112" spans="2:11" s="9" customFormat="1" ht="42" x14ac:dyDescent="0.3">
      <c r="B112" s="10" t="s">
        <v>1236</v>
      </c>
      <c r="C112" s="10" t="s">
        <v>1237</v>
      </c>
      <c r="D112" s="10" t="s">
        <v>1238</v>
      </c>
      <c r="E112" s="10" t="s">
        <v>1239</v>
      </c>
      <c r="F112" s="10" t="s">
        <v>2006</v>
      </c>
      <c r="G112" s="10" t="s">
        <v>1196</v>
      </c>
      <c r="H112" s="102" t="s">
        <v>1197</v>
      </c>
    </row>
    <row r="113" spans="1:26" x14ac:dyDescent="0.3">
      <c r="A113" s="9"/>
      <c r="B113" s="3">
        <f>COUNTIF('OBO_Cleaned Data'!CJ:CJ,"1")</f>
        <v>0</v>
      </c>
      <c r="C113" s="3">
        <f>COUNTIF('OBO_Cleaned Data'!CK:CK,"1")</f>
        <v>0</v>
      </c>
      <c r="D113" s="3">
        <f>COUNTIF('OBO_Cleaned Data'!CL:CL,"1")</f>
        <v>0</v>
      </c>
      <c r="E113" s="3">
        <f>COUNTIF('OBO_Cleaned Data'!CM:CM,"1")</f>
        <v>0</v>
      </c>
      <c r="F113" s="3">
        <f>COUNTIF('OBO_Cleaned Data'!CN:CN,"1")</f>
        <v>0</v>
      </c>
      <c r="G113" s="3">
        <f>COUNTIF('OBO_Cleaned Data'!CO:CO,"1")</f>
        <v>0</v>
      </c>
      <c r="H113" s="103">
        <f>SUM(B113:G113)</f>
        <v>0</v>
      </c>
      <c r="I113" s="9"/>
      <c r="J113" s="9"/>
      <c r="K113" s="9"/>
      <c r="L113" s="9"/>
      <c r="M113" s="9"/>
      <c r="N113" s="9"/>
      <c r="O113" s="9"/>
      <c r="P113" s="9"/>
      <c r="Q113" s="9"/>
      <c r="R113" s="9"/>
    </row>
    <row r="114" spans="1:26" x14ac:dyDescent="0.3">
      <c r="A114" s="9"/>
      <c r="B114" s="13"/>
      <c r="C114" s="15"/>
      <c r="D114" s="15"/>
      <c r="E114" s="13"/>
      <c r="F114" s="15"/>
      <c r="G114" s="15"/>
      <c r="H114" s="9"/>
      <c r="I114" s="9"/>
      <c r="J114" s="9"/>
      <c r="K114" s="9"/>
      <c r="L114" s="9"/>
      <c r="M114" s="9"/>
      <c r="N114" s="9"/>
      <c r="O114" s="9"/>
      <c r="P114" s="9"/>
      <c r="Q114" s="9"/>
      <c r="R114" s="9"/>
    </row>
    <row r="115" spans="1:26" ht="15.5" x14ac:dyDescent="0.35">
      <c r="A115" s="28" t="s">
        <v>1702</v>
      </c>
      <c r="B115" s="13"/>
      <c r="C115" s="15"/>
      <c r="D115" s="15"/>
      <c r="E115" s="13"/>
      <c r="F115" s="15"/>
      <c r="G115" s="15"/>
      <c r="H115" s="9"/>
      <c r="I115" s="9"/>
      <c r="J115" s="9"/>
      <c r="K115" s="9"/>
      <c r="L115" s="9"/>
      <c r="M115" s="9"/>
      <c r="N115" s="9"/>
      <c r="O115" s="9"/>
      <c r="P115" s="9"/>
      <c r="Q115" s="9"/>
      <c r="R115" s="9"/>
    </row>
    <row r="116" spans="1:26" s="55" customFormat="1" ht="42" x14ac:dyDescent="0.35">
      <c r="A116" s="42"/>
      <c r="B116" s="7" t="s">
        <v>1703</v>
      </c>
      <c r="C116" s="7" t="s">
        <v>1699</v>
      </c>
      <c r="D116" s="7" t="s">
        <v>1700</v>
      </c>
      <c r="E116" s="7" t="s">
        <v>1698</v>
      </c>
      <c r="F116" s="7" t="s">
        <v>1704</v>
      </c>
      <c r="G116" s="7" t="s">
        <v>1701</v>
      </c>
      <c r="H116" s="7" t="s">
        <v>1706</v>
      </c>
      <c r="I116" s="7" t="s">
        <v>1196</v>
      </c>
      <c r="J116" s="102" t="s">
        <v>1197</v>
      </c>
      <c r="K116" s="35"/>
      <c r="L116" s="35"/>
      <c r="M116" s="35"/>
      <c r="N116" s="35"/>
      <c r="O116" s="35"/>
      <c r="P116" s="35"/>
      <c r="Q116" s="35"/>
      <c r="R116" s="35"/>
      <c r="S116" s="35"/>
      <c r="T116" s="35"/>
      <c r="U116" s="35"/>
      <c r="V116" s="35"/>
      <c r="W116" s="35"/>
      <c r="X116" s="35"/>
      <c r="Y116" s="35"/>
      <c r="Z116" s="35"/>
    </row>
    <row r="117" spans="1:26" x14ac:dyDescent="0.3">
      <c r="A117" s="3" t="s">
        <v>1198</v>
      </c>
      <c r="B117" s="3">
        <f>COUNTIF('OBO_Cleaned Data'!CZ:CZ,"1")</f>
        <v>0</v>
      </c>
      <c r="C117" s="3">
        <f>COUNTIF('OBO_Cleaned Data'!DA:DA,"1")</f>
        <v>0</v>
      </c>
      <c r="D117" s="3">
        <f>COUNTIF('OBO_Cleaned Data'!DB:DB,"1")</f>
        <v>2</v>
      </c>
      <c r="E117" s="3">
        <f>COUNTIF('OBO_Cleaned Data'!DC:DC,"1")</f>
        <v>0</v>
      </c>
      <c r="F117" s="3">
        <f>COUNTIF('OBO_Cleaned Data'!DD:DD,"1")</f>
        <v>4</v>
      </c>
      <c r="G117" s="3">
        <f>COUNTIF('OBO_Cleaned Data'!DE:DE,"1")</f>
        <v>1</v>
      </c>
      <c r="H117" s="3">
        <f>COUNTIF('OBO_Cleaned Data'!DF:DF,"1")</f>
        <v>0</v>
      </c>
      <c r="I117" s="3">
        <f>COUNTIF('OBO_Cleaned Data'!DG:DG,"1")</f>
        <v>0</v>
      </c>
      <c r="J117" s="103">
        <f>SUM(B117:I117)</f>
        <v>7</v>
      </c>
      <c r="K117" s="9"/>
      <c r="L117" s="9"/>
      <c r="M117" s="9"/>
      <c r="N117" s="9"/>
      <c r="O117" s="9"/>
      <c r="P117" s="9"/>
      <c r="Q117" s="9"/>
      <c r="R117" s="9"/>
    </row>
    <row r="118" spans="1:26" ht="37.5" x14ac:dyDescent="0.3">
      <c r="A118" s="52" t="s">
        <v>1722</v>
      </c>
      <c r="B118" s="6">
        <f>B117/$B$95</f>
        <v>0</v>
      </c>
      <c r="C118" s="6">
        <f t="shared" ref="C118:I118" si="12">C117/$B$95</f>
        <v>0</v>
      </c>
      <c r="D118" s="6">
        <f t="shared" si="12"/>
        <v>0.2857142857142857</v>
      </c>
      <c r="E118" s="6">
        <f t="shared" si="12"/>
        <v>0</v>
      </c>
      <c r="F118" s="6">
        <f t="shared" si="12"/>
        <v>0.5714285714285714</v>
      </c>
      <c r="G118" s="6">
        <f t="shared" si="12"/>
        <v>0.14285714285714285</v>
      </c>
      <c r="H118" s="6">
        <f t="shared" si="12"/>
        <v>0</v>
      </c>
      <c r="I118" s="6">
        <f t="shared" si="12"/>
        <v>0</v>
      </c>
      <c r="J118" s="92">
        <f>SUM(B118:I118)</f>
        <v>1</v>
      </c>
      <c r="K118" s="9"/>
      <c r="L118" s="9"/>
      <c r="M118" s="9"/>
      <c r="N118" s="9"/>
      <c r="O118" s="9"/>
      <c r="P118" s="9"/>
      <c r="Q118" s="9"/>
      <c r="R118" s="9"/>
    </row>
    <row r="119" spans="1:26" s="9" customFormat="1" x14ac:dyDescent="0.3">
      <c r="A119" s="13"/>
      <c r="B119" s="14"/>
      <c r="C119" s="14"/>
      <c r="D119" s="14"/>
      <c r="E119" s="14"/>
      <c r="F119" s="14"/>
      <c r="G119" s="14"/>
      <c r="H119" s="14"/>
      <c r="I119" s="14"/>
    </row>
    <row r="120" spans="1:26" ht="15.5" x14ac:dyDescent="0.35">
      <c r="A120" s="58" t="s">
        <v>1705</v>
      </c>
      <c r="B120" s="14"/>
      <c r="C120" s="14"/>
      <c r="D120" s="14"/>
      <c r="E120" s="14"/>
      <c r="F120" s="14"/>
      <c r="G120" s="14"/>
      <c r="H120" s="14"/>
      <c r="I120" s="14"/>
      <c r="J120" s="9"/>
      <c r="K120" s="9"/>
      <c r="L120" s="9"/>
      <c r="M120" s="9"/>
      <c r="N120" s="9"/>
      <c r="O120" s="9"/>
      <c r="P120" s="9"/>
      <c r="Q120" s="9"/>
      <c r="R120" s="9"/>
    </row>
    <row r="121" spans="1:26" x14ac:dyDescent="0.3">
      <c r="A121" s="3"/>
      <c r="B121" s="7" t="s">
        <v>1201</v>
      </c>
      <c r="C121" s="7" t="s">
        <v>1200</v>
      </c>
      <c r="D121" s="7" t="s">
        <v>1706</v>
      </c>
      <c r="E121" s="102" t="s">
        <v>1197</v>
      </c>
      <c r="F121" s="9"/>
      <c r="G121" s="9"/>
      <c r="H121" s="9"/>
      <c r="I121" s="9"/>
      <c r="J121" s="9"/>
      <c r="K121" s="9"/>
      <c r="L121" s="9"/>
      <c r="M121" s="9"/>
      <c r="N121" s="9"/>
      <c r="O121" s="9"/>
      <c r="P121" s="9"/>
      <c r="Q121" s="9"/>
      <c r="R121" s="9"/>
    </row>
    <row r="122" spans="1:26" x14ac:dyDescent="0.3">
      <c r="A122" s="3" t="s">
        <v>1198</v>
      </c>
      <c r="B122" s="3">
        <f>COUNTIF('OBO_Cleaned Data'!DI:DI,"OUI")</f>
        <v>5</v>
      </c>
      <c r="C122" s="3">
        <f>COUNTIF('OBO_Cleaned Data'!DI:DI,"non")</f>
        <v>2</v>
      </c>
      <c r="D122" s="3">
        <f>COUNTIF('OBO_Cleaned Data'!DI:DI,"nsp")</f>
        <v>0</v>
      </c>
      <c r="E122" s="103">
        <f>SUM(B122:D122)</f>
        <v>7</v>
      </c>
      <c r="F122" s="9"/>
      <c r="G122" s="9"/>
      <c r="H122" s="9"/>
      <c r="I122" s="9"/>
      <c r="J122" s="9"/>
      <c r="K122" s="9"/>
      <c r="L122" s="9"/>
      <c r="M122" s="9"/>
      <c r="N122" s="9"/>
      <c r="O122" s="9"/>
      <c r="P122" s="9"/>
      <c r="Q122" s="9"/>
      <c r="R122" s="9"/>
    </row>
    <row r="123" spans="1:26" ht="37.5" x14ac:dyDescent="0.3">
      <c r="A123" s="52" t="s">
        <v>1722</v>
      </c>
      <c r="B123" s="6">
        <f>(B122/$B$95)</f>
        <v>0.7142857142857143</v>
      </c>
      <c r="C123" s="6">
        <f>(C122/$B$95)</f>
        <v>0.2857142857142857</v>
      </c>
      <c r="D123" s="6">
        <f>(D122/$B$95)</f>
        <v>0</v>
      </c>
      <c r="E123" s="92">
        <f>SUM(B123:D123)</f>
        <v>1</v>
      </c>
      <c r="F123" s="9"/>
      <c r="G123" s="9"/>
      <c r="H123" s="9"/>
      <c r="I123" s="9"/>
      <c r="J123" s="9"/>
      <c r="K123" s="9"/>
      <c r="L123" s="9"/>
      <c r="M123" s="9"/>
      <c r="N123" s="9"/>
      <c r="O123" s="9"/>
      <c r="P123" s="9"/>
      <c r="Q123" s="9"/>
      <c r="R123" s="9"/>
    </row>
    <row r="124" spans="1:26" x14ac:dyDescent="0.3">
      <c r="A124" s="9"/>
      <c r="B124" s="9"/>
      <c r="C124" s="9"/>
      <c r="D124" s="9"/>
      <c r="E124" s="9"/>
      <c r="F124" s="9"/>
      <c r="G124" s="9"/>
      <c r="H124" s="9"/>
      <c r="I124" s="9"/>
      <c r="J124" s="9"/>
      <c r="K124" s="9"/>
      <c r="L124" s="9"/>
      <c r="M124" s="9"/>
      <c r="N124" s="9"/>
      <c r="O124" s="9"/>
      <c r="P124" s="9"/>
      <c r="Q124" s="9"/>
      <c r="R124" s="9"/>
    </row>
    <row r="125" spans="1:26" ht="15.5" x14ac:dyDescent="0.35">
      <c r="A125" s="28" t="s">
        <v>1288</v>
      </c>
      <c r="B125" s="9"/>
      <c r="C125" s="95" t="s">
        <v>1994</v>
      </c>
      <c r="D125" s="9"/>
      <c r="E125" s="9"/>
      <c r="F125" s="9"/>
      <c r="G125" s="9"/>
      <c r="H125" s="9"/>
      <c r="I125" s="9"/>
      <c r="J125" s="9"/>
      <c r="K125" s="9"/>
      <c r="L125" s="9"/>
      <c r="M125" s="9"/>
      <c r="N125" s="9"/>
      <c r="O125" s="9"/>
      <c r="P125" s="9"/>
      <c r="Q125" s="9"/>
      <c r="R125" s="9"/>
    </row>
    <row r="126" spans="1:26" x14ac:dyDescent="0.3">
      <c r="A126" s="3"/>
      <c r="B126" s="7" t="s">
        <v>1240</v>
      </c>
      <c r="C126" s="7" t="s">
        <v>1241</v>
      </c>
      <c r="D126" s="7" t="s">
        <v>1706</v>
      </c>
      <c r="E126" s="7" t="s">
        <v>1196</v>
      </c>
      <c r="F126" s="7" t="s">
        <v>1242</v>
      </c>
      <c r="G126" s="9"/>
      <c r="H126" s="9"/>
      <c r="I126" s="9"/>
      <c r="J126" s="9"/>
      <c r="K126" s="9"/>
      <c r="L126" s="9"/>
      <c r="M126" s="9"/>
      <c r="N126" s="9"/>
      <c r="O126" s="9"/>
      <c r="P126" s="9"/>
      <c r="Q126" s="9"/>
      <c r="R126" s="9"/>
    </row>
    <row r="127" spans="1:26" x14ac:dyDescent="0.3">
      <c r="A127" s="3" t="s">
        <v>1198</v>
      </c>
      <c r="B127" s="3">
        <f>COUNTIF('OBO_Cleaned Data'!DR:DR,"1")</f>
        <v>6</v>
      </c>
      <c r="C127" s="3">
        <f>COUNTIF('OBO_Cleaned Data'!DS:DS,"1")</f>
        <v>8</v>
      </c>
      <c r="D127" s="3">
        <f>COUNTIF('OBO_Cleaned Data'!DT:DT,"1")</f>
        <v>2</v>
      </c>
      <c r="E127" s="3">
        <f>COUNTIF('OBO_Cleaned Data'!DU:DU,"1")</f>
        <v>2</v>
      </c>
      <c r="F127" s="3">
        <f>COUNTIF('OBO_Cleaned Data'!DV:DV,"1")</f>
        <v>25</v>
      </c>
      <c r="G127" s="9"/>
      <c r="H127" s="9"/>
      <c r="I127" s="9"/>
      <c r="J127" s="9"/>
      <c r="K127" s="9"/>
      <c r="L127" s="9"/>
      <c r="M127" s="9"/>
      <c r="N127" s="9"/>
      <c r="O127" s="9"/>
      <c r="P127" s="9"/>
      <c r="Q127" s="9"/>
      <c r="R127" s="9"/>
    </row>
    <row r="128" spans="1:26" s="55" customFormat="1" ht="25.5" x14ac:dyDescent="0.3">
      <c r="A128" s="53" t="s">
        <v>2056</v>
      </c>
      <c r="B128" s="54">
        <f>(B127/$B$3)</f>
        <v>0.11320754716981132</v>
      </c>
      <c r="C128" s="54">
        <f t="shared" ref="C128:F128" si="13">(C127/$B$3)</f>
        <v>0.15094339622641509</v>
      </c>
      <c r="D128" s="54">
        <f t="shared" si="13"/>
        <v>3.7735849056603772E-2</v>
      </c>
      <c r="E128" s="54">
        <f t="shared" si="13"/>
        <v>3.7735849056603772E-2</v>
      </c>
      <c r="F128" s="54">
        <f t="shared" si="13"/>
        <v>0.47169811320754718</v>
      </c>
      <c r="G128" s="9"/>
      <c r="H128" s="35"/>
      <c r="I128" s="35"/>
      <c r="J128" s="35"/>
      <c r="K128" s="35"/>
      <c r="L128" s="35"/>
      <c r="M128" s="35"/>
      <c r="N128" s="35"/>
      <c r="O128" s="35"/>
      <c r="P128" s="35"/>
      <c r="Q128" s="35"/>
      <c r="R128" s="35"/>
      <c r="S128" s="35"/>
      <c r="T128" s="35"/>
      <c r="U128" s="35"/>
      <c r="V128" s="35"/>
      <c r="W128" s="35"/>
      <c r="X128" s="35"/>
      <c r="Y128" s="35"/>
      <c r="Z128" s="35"/>
    </row>
    <row r="129" spans="1:26" x14ac:dyDescent="0.3">
      <c r="A129" s="9"/>
      <c r="B129" s="9"/>
      <c r="C129" s="9"/>
      <c r="D129" s="9"/>
      <c r="E129" s="73" t="s">
        <v>2670</v>
      </c>
      <c r="F129" s="9"/>
      <c r="G129" s="9"/>
      <c r="H129" s="9"/>
      <c r="I129" s="9"/>
      <c r="J129" s="9"/>
      <c r="K129" s="9"/>
      <c r="L129" s="9"/>
      <c r="M129" s="9"/>
      <c r="N129" s="9"/>
      <c r="O129" s="9"/>
      <c r="P129" s="9"/>
      <c r="Q129" s="9"/>
      <c r="R129" s="9"/>
    </row>
    <row r="130" spans="1:26" ht="15.5" x14ac:dyDescent="0.35">
      <c r="A130" s="28" t="s">
        <v>1289</v>
      </c>
      <c r="B130" s="9"/>
      <c r="C130" s="95" t="s">
        <v>1994</v>
      </c>
      <c r="D130" s="9"/>
      <c r="E130" s="9"/>
      <c r="F130" s="9"/>
      <c r="G130" s="9"/>
      <c r="H130" s="9"/>
      <c r="I130" s="9"/>
      <c r="J130" s="9"/>
      <c r="K130" s="9"/>
      <c r="L130" s="9"/>
      <c r="M130" s="9"/>
      <c r="N130" s="9"/>
      <c r="O130" s="9"/>
      <c r="P130" s="9"/>
      <c r="Q130" s="9"/>
      <c r="R130" s="9"/>
    </row>
    <row r="131" spans="1:26" s="91" customFormat="1" ht="56" x14ac:dyDescent="0.35">
      <c r="A131" s="7" t="s">
        <v>1243</v>
      </c>
      <c r="B131" s="7" t="s">
        <v>1707</v>
      </c>
      <c r="C131" s="7" t="s">
        <v>1708</v>
      </c>
      <c r="D131" s="7" t="s">
        <v>1468</v>
      </c>
      <c r="E131" s="7" t="s">
        <v>1244</v>
      </c>
      <c r="F131" s="7" t="s">
        <v>1245</v>
      </c>
      <c r="G131" s="7" t="s">
        <v>1709</v>
      </c>
      <c r="H131" s="7" t="s">
        <v>1710</v>
      </c>
      <c r="I131" s="7" t="s">
        <v>1711</v>
      </c>
      <c r="J131" s="7" t="s">
        <v>1712</v>
      </c>
      <c r="K131" s="7" t="s">
        <v>1706</v>
      </c>
      <c r="L131" s="7" t="s">
        <v>1196</v>
      </c>
      <c r="M131" s="104"/>
      <c r="N131" s="104"/>
      <c r="O131" s="90"/>
      <c r="P131" s="90"/>
      <c r="Q131" s="90"/>
      <c r="R131" s="90"/>
      <c r="S131" s="90"/>
      <c r="T131" s="90"/>
      <c r="U131" s="90"/>
      <c r="V131" s="90"/>
      <c r="W131" s="90"/>
      <c r="X131" s="90"/>
      <c r="Y131" s="90"/>
      <c r="Z131" s="90"/>
    </row>
    <row r="132" spans="1:26" ht="14.5" x14ac:dyDescent="0.3">
      <c r="A132" s="3">
        <f>COUNTIF('OBO_Cleaned Data'!DY:DY,"1")</f>
        <v>11</v>
      </c>
      <c r="B132" s="3">
        <f>COUNTIF('OBO_Cleaned Data'!DZ:DZ,"1")</f>
        <v>17</v>
      </c>
      <c r="C132" s="3">
        <f>COUNTIF('OBO_Cleaned Data'!EA:EA,"1")</f>
        <v>4</v>
      </c>
      <c r="D132" s="3">
        <f>COUNTIF('OBO_Cleaned Data'!EB:EB,"1")</f>
        <v>0</v>
      </c>
      <c r="E132" s="3">
        <f>COUNTIF('OBO_Cleaned Data'!EC:EC,"1")</f>
        <v>1</v>
      </c>
      <c r="F132" s="3">
        <f>COUNTIF('OBO_Cleaned Data'!ED:ED,"1")</f>
        <v>12</v>
      </c>
      <c r="G132" s="3">
        <f>COUNTIF('OBO_Cleaned Data'!EE:EE,"1")</f>
        <v>0</v>
      </c>
      <c r="H132" s="3">
        <f>COUNTIF('OBO_Cleaned Data'!EF:EF,"1")</f>
        <v>6</v>
      </c>
      <c r="I132" s="3">
        <f>COUNTIF('OBO_Cleaned Data'!EG:EG,"1")</f>
        <v>16</v>
      </c>
      <c r="J132" s="3">
        <f>COUNTIF('OBO_Cleaned Data'!EH:EH,"1")</f>
        <v>2</v>
      </c>
      <c r="K132" s="3">
        <f>COUNTIF('OBO_Cleaned Data'!EI:EI,"1")</f>
        <v>0</v>
      </c>
      <c r="L132" s="3">
        <f>COUNTIF('OBO_Cleaned Data'!EJ:EJ,"1")</f>
        <v>0</v>
      </c>
      <c r="M132" s="104"/>
      <c r="N132" s="9"/>
      <c r="O132" s="9"/>
      <c r="P132" s="9"/>
      <c r="Q132" s="9"/>
      <c r="R132" s="9"/>
    </row>
    <row r="133" spans="1:26" ht="14.5" x14ac:dyDescent="0.3">
      <c r="A133" s="9"/>
      <c r="B133" s="9"/>
      <c r="C133" s="9"/>
      <c r="D133" s="9"/>
      <c r="E133" s="9"/>
      <c r="F133" s="9"/>
      <c r="G133" s="9"/>
      <c r="H133" s="9"/>
      <c r="I133" s="9"/>
      <c r="J133" s="9"/>
      <c r="K133" s="9"/>
      <c r="L133" s="73"/>
      <c r="M133" s="104"/>
      <c r="N133" s="9"/>
      <c r="O133" s="9"/>
      <c r="P133" s="9"/>
      <c r="Q133" s="9"/>
      <c r="R133" s="9"/>
    </row>
    <row r="134" spans="1:26" ht="15.5" x14ac:dyDescent="0.35">
      <c r="A134" s="28" t="s">
        <v>1290</v>
      </c>
      <c r="B134" s="9"/>
      <c r="C134" s="95" t="s">
        <v>1994</v>
      </c>
      <c r="D134" s="9"/>
      <c r="E134" s="9"/>
      <c r="F134" s="9"/>
      <c r="G134" s="9"/>
      <c r="H134" s="9"/>
      <c r="I134" s="9"/>
      <c r="J134" s="9"/>
      <c r="K134" s="9"/>
      <c r="L134" s="9"/>
      <c r="M134" s="9"/>
      <c r="N134" s="9"/>
      <c r="O134" s="9"/>
      <c r="P134" s="9"/>
      <c r="Q134" s="9"/>
      <c r="R134" s="9"/>
    </row>
    <row r="135" spans="1:26" s="91" customFormat="1" ht="42" x14ac:dyDescent="0.35">
      <c r="A135" s="7" t="s">
        <v>1713</v>
      </c>
      <c r="B135" s="7" t="s">
        <v>1698</v>
      </c>
      <c r="C135" s="7" t="s">
        <v>1714</v>
      </c>
      <c r="D135" s="7" t="s">
        <v>1715</v>
      </c>
      <c r="E135" s="7" t="s">
        <v>1716</v>
      </c>
      <c r="F135" s="7" t="s">
        <v>1717</v>
      </c>
      <c r="G135" s="7" t="s">
        <v>1718</v>
      </c>
      <c r="H135" s="7" t="s">
        <v>1719</v>
      </c>
      <c r="I135" s="7" t="s">
        <v>1720</v>
      </c>
      <c r="J135" s="7" t="s">
        <v>1242</v>
      </c>
      <c r="K135" s="7" t="s">
        <v>1706</v>
      </c>
      <c r="L135" s="7" t="s">
        <v>1196</v>
      </c>
      <c r="M135" s="90"/>
      <c r="N135" s="90"/>
      <c r="O135" s="90"/>
      <c r="P135" s="90"/>
      <c r="Q135" s="90"/>
      <c r="R135" s="90"/>
      <c r="S135" s="90"/>
      <c r="T135" s="90"/>
      <c r="U135" s="90"/>
      <c r="V135" s="90"/>
      <c r="W135" s="90"/>
      <c r="X135" s="90"/>
      <c r="Y135" s="90"/>
      <c r="Z135" s="90"/>
    </row>
    <row r="136" spans="1:26" x14ac:dyDescent="0.3">
      <c r="A136" s="23">
        <f>COUNTIF('OBO_Cleaned Data'!EN:EN,"1")</f>
        <v>1</v>
      </c>
      <c r="B136" s="23">
        <f>COUNTIF('OBO_Cleaned Data'!EO:EO,"1")</f>
        <v>0</v>
      </c>
      <c r="C136" s="23">
        <f>COUNTIF('OBO_Cleaned Data'!EP:EP,"1")</f>
        <v>0</v>
      </c>
      <c r="D136" s="23">
        <f>COUNTIF('OBO_Cleaned Data'!EQ:EQ,"1")</f>
        <v>0</v>
      </c>
      <c r="E136" s="23">
        <f>COUNTIF('OBO_Cleaned Data'!ER:ER,"1")</f>
        <v>17</v>
      </c>
      <c r="F136" s="23">
        <f>COUNTIF('OBO_Cleaned Data'!ES:ES,"1")</f>
        <v>9</v>
      </c>
      <c r="G136" s="23">
        <f>COUNTIF('OBO_Cleaned Data'!ET:ET,"1")</f>
        <v>4</v>
      </c>
      <c r="H136" s="23">
        <f>COUNTIF('OBO_Cleaned Data'!EU:EU,"1")</f>
        <v>1</v>
      </c>
      <c r="I136" s="23">
        <f>COUNTIF('OBO_Cleaned Data'!EV:EV,"1")</f>
        <v>1</v>
      </c>
      <c r="J136" s="23">
        <f>COUNTIF('OBO_Cleaned Data'!EW:EW,"1")</f>
        <v>13</v>
      </c>
      <c r="K136" s="23">
        <f>COUNTIF('OBO_Cleaned Data'!EX:EX,"1")</f>
        <v>1</v>
      </c>
      <c r="L136" s="23">
        <f>COUNTIF('OBO_Cleaned Data'!EY:EY,"1")</f>
        <v>1</v>
      </c>
      <c r="M136" s="90"/>
      <c r="N136" s="9"/>
      <c r="O136" s="9"/>
      <c r="P136" s="9"/>
      <c r="Q136" s="9"/>
      <c r="R136" s="9"/>
    </row>
    <row r="137" spans="1:26" x14ac:dyDescent="0.3">
      <c r="A137" s="9"/>
      <c r="B137" s="9"/>
      <c r="C137" s="9"/>
      <c r="D137" s="9"/>
      <c r="E137" s="9"/>
      <c r="F137" s="9"/>
      <c r="G137" s="9"/>
      <c r="H137" s="9"/>
      <c r="I137" s="9"/>
      <c r="J137" s="9"/>
      <c r="K137" s="9"/>
      <c r="L137" s="73" t="s">
        <v>2678</v>
      </c>
      <c r="M137" s="90"/>
      <c r="N137" s="9"/>
      <c r="O137" s="9"/>
      <c r="P137" s="9"/>
      <c r="Q137" s="9"/>
      <c r="R137" s="9"/>
    </row>
    <row r="138" spans="1:26" ht="15.5" x14ac:dyDescent="0.35">
      <c r="A138" s="28" t="s">
        <v>1324</v>
      </c>
      <c r="B138" s="9"/>
      <c r="C138" s="9"/>
      <c r="D138" s="9"/>
      <c r="E138" s="9"/>
      <c r="F138" s="9"/>
      <c r="G138" s="9"/>
      <c r="H138" s="9"/>
      <c r="I138" s="9"/>
      <c r="J138" s="9"/>
      <c r="K138" s="9"/>
      <c r="L138" s="9"/>
      <c r="M138" s="90"/>
      <c r="N138" s="9"/>
      <c r="O138" s="9"/>
      <c r="P138" s="9"/>
      <c r="Q138" s="9"/>
      <c r="R138" s="9"/>
    </row>
    <row r="139" spans="1:26" x14ac:dyDescent="0.3">
      <c r="A139" s="3"/>
      <c r="B139" s="7" t="s">
        <v>1201</v>
      </c>
      <c r="C139" s="7" t="s">
        <v>1200</v>
      </c>
      <c r="D139" s="102" t="s">
        <v>1197</v>
      </c>
      <c r="E139" s="9"/>
      <c r="F139" s="9"/>
      <c r="G139" s="9"/>
      <c r="H139" s="9"/>
      <c r="I139" s="9"/>
      <c r="J139" s="9"/>
      <c r="K139" s="9"/>
      <c r="L139" s="9"/>
      <c r="M139" s="9"/>
      <c r="N139" s="9"/>
      <c r="O139" s="9"/>
      <c r="P139" s="9"/>
      <c r="Q139" s="9"/>
      <c r="R139" s="9"/>
    </row>
    <row r="140" spans="1:26" x14ac:dyDescent="0.3">
      <c r="A140" s="3" t="s">
        <v>1198</v>
      </c>
      <c r="B140" s="23">
        <f>COUNTIF('OBO_Cleaned Data'!FB:FB,"OUI")</f>
        <v>14</v>
      </c>
      <c r="C140" s="23">
        <f>COUNTIF('OBO_Cleaned Data'!FB:FB,"non")</f>
        <v>39</v>
      </c>
      <c r="D140" s="103">
        <f>SUM(B140:C140)</f>
        <v>53</v>
      </c>
      <c r="E140" s="9"/>
      <c r="F140" s="9"/>
      <c r="G140" s="9"/>
      <c r="H140" s="9"/>
      <c r="I140" s="9"/>
      <c r="J140" s="9"/>
      <c r="K140" s="9"/>
      <c r="L140" s="9"/>
      <c r="M140" s="9"/>
      <c r="N140" s="9"/>
      <c r="O140" s="9"/>
      <c r="P140" s="9"/>
      <c r="Q140" s="9"/>
      <c r="R140" s="9"/>
    </row>
    <row r="141" spans="1:26" ht="26" x14ac:dyDescent="0.3">
      <c r="A141" s="52" t="s">
        <v>1995</v>
      </c>
      <c r="B141" s="6">
        <f>(B140/$B$3)</f>
        <v>0.26415094339622641</v>
      </c>
      <c r="C141" s="6">
        <f>(C140/$B$3)</f>
        <v>0.73584905660377353</v>
      </c>
      <c r="D141" s="92">
        <f>SUM(B141:C141)</f>
        <v>1</v>
      </c>
      <c r="E141" s="9"/>
      <c r="F141" s="9"/>
      <c r="G141" s="9"/>
      <c r="H141" s="9"/>
      <c r="I141" s="9"/>
      <c r="J141" s="9"/>
      <c r="K141" s="9"/>
      <c r="L141" s="9"/>
      <c r="M141" s="9"/>
      <c r="N141" s="9"/>
      <c r="O141" s="9"/>
      <c r="P141" s="9"/>
      <c r="Q141" s="9"/>
      <c r="R141" s="9"/>
    </row>
    <row r="142" spans="1:26" x14ac:dyDescent="0.3">
      <c r="A142" s="9"/>
      <c r="B142" s="9"/>
      <c r="C142" s="9"/>
      <c r="D142" s="9"/>
      <c r="E142" s="9"/>
      <c r="F142" s="9"/>
      <c r="G142" s="9"/>
      <c r="H142" s="9"/>
      <c r="I142" s="9"/>
      <c r="J142" s="9"/>
      <c r="K142" s="9"/>
      <c r="L142" s="9"/>
      <c r="M142" s="9"/>
      <c r="N142" s="9"/>
      <c r="O142" s="9"/>
      <c r="P142" s="9"/>
      <c r="Q142" s="9"/>
      <c r="R142" s="9"/>
    </row>
    <row r="143" spans="1:26" x14ac:dyDescent="0.3">
      <c r="A143" s="9"/>
      <c r="B143" s="17" t="s">
        <v>1252</v>
      </c>
      <c r="C143" s="9"/>
      <c r="D143" s="95" t="s">
        <v>1994</v>
      </c>
      <c r="E143" s="9"/>
      <c r="F143" s="9"/>
      <c r="G143" s="9"/>
      <c r="H143" s="9"/>
      <c r="I143" s="9"/>
      <c r="J143" s="9"/>
      <c r="K143" s="9"/>
      <c r="L143" s="9"/>
      <c r="M143" s="9"/>
      <c r="N143" s="9"/>
      <c r="O143" s="9"/>
      <c r="P143" s="9"/>
      <c r="Q143" s="9"/>
      <c r="R143" s="9"/>
    </row>
    <row r="144" spans="1:26" s="55" customFormat="1" ht="28" x14ac:dyDescent="0.3">
      <c r="A144" s="35"/>
      <c r="B144" s="3"/>
      <c r="C144" s="10" t="s">
        <v>1723</v>
      </c>
      <c r="D144" s="10" t="s">
        <v>1359</v>
      </c>
      <c r="E144" s="10" t="s">
        <v>1724</v>
      </c>
      <c r="F144" s="10" t="s">
        <v>1725</v>
      </c>
      <c r="G144" s="10" t="s">
        <v>1726</v>
      </c>
      <c r="H144" s="10" t="s">
        <v>1706</v>
      </c>
      <c r="I144" s="10" t="s">
        <v>1196</v>
      </c>
      <c r="J144" s="9"/>
      <c r="K144" s="60"/>
      <c r="L144" s="35"/>
      <c r="M144" s="35"/>
      <c r="N144" s="35"/>
      <c r="O144" s="35"/>
      <c r="P144" s="35"/>
      <c r="Q144" s="35"/>
      <c r="R144" s="35"/>
      <c r="S144" s="35"/>
      <c r="T144" s="35"/>
      <c r="U144" s="35"/>
      <c r="V144" s="35"/>
      <c r="W144" s="35"/>
      <c r="X144" s="35"/>
      <c r="Y144" s="35"/>
      <c r="Z144" s="35"/>
    </row>
    <row r="145" spans="1:26" x14ac:dyDescent="0.3">
      <c r="A145" s="9"/>
      <c r="B145" s="3" t="s">
        <v>1198</v>
      </c>
      <c r="C145" s="23">
        <f>COUNTIF('OBO_Cleaned Data'!FD:FD,"1")</f>
        <v>2</v>
      </c>
      <c r="D145" s="23">
        <f>COUNTIF('OBO_Cleaned Data'!FE:FE,"1")</f>
        <v>0</v>
      </c>
      <c r="E145" s="23">
        <f>COUNTIF('OBO_Cleaned Data'!FF:FF,"1")</f>
        <v>0</v>
      </c>
      <c r="F145" s="23">
        <f>COUNTIF('OBO_Cleaned Data'!FG:FG,"1")</f>
        <v>0</v>
      </c>
      <c r="G145" s="23">
        <f>COUNTIF('OBO_Cleaned Data'!FH:FH,"1")</f>
        <v>12</v>
      </c>
      <c r="H145" s="23">
        <f>COUNTIF('OBO_Cleaned Data'!FI:FI,"1")</f>
        <v>0</v>
      </c>
      <c r="I145" s="23">
        <f>COUNTIF('OBO_Cleaned Data'!FJ:FJ,"1")</f>
        <v>0</v>
      </c>
      <c r="J145" s="9"/>
      <c r="K145" s="9"/>
      <c r="L145" s="9"/>
      <c r="M145" s="9"/>
      <c r="N145" s="9"/>
      <c r="O145" s="9"/>
      <c r="P145" s="9"/>
      <c r="Q145" s="9"/>
      <c r="R145" s="9"/>
    </row>
    <row r="146" spans="1:26" ht="49" x14ac:dyDescent="0.3">
      <c r="A146" s="9"/>
      <c r="B146" s="52" t="s">
        <v>2004</v>
      </c>
      <c r="C146" s="6">
        <f>C145/$B$140</f>
        <v>0.14285714285714285</v>
      </c>
      <c r="D146" s="6">
        <f t="shared" ref="D146:I146" si="14">D145/$B$140</f>
        <v>0</v>
      </c>
      <c r="E146" s="6">
        <f t="shared" si="14"/>
        <v>0</v>
      </c>
      <c r="F146" s="6">
        <f t="shared" si="14"/>
        <v>0</v>
      </c>
      <c r="G146" s="6">
        <f t="shared" si="14"/>
        <v>0.8571428571428571</v>
      </c>
      <c r="H146" s="6">
        <f t="shared" si="14"/>
        <v>0</v>
      </c>
      <c r="I146" s="6">
        <f t="shared" si="14"/>
        <v>0</v>
      </c>
      <c r="J146" s="9"/>
      <c r="K146" s="9"/>
      <c r="L146" s="9"/>
      <c r="M146" s="9"/>
      <c r="N146" s="9"/>
      <c r="O146" s="9"/>
      <c r="P146" s="9"/>
      <c r="Q146" s="9"/>
      <c r="R146" s="9"/>
    </row>
    <row r="147" spans="1:26" x14ac:dyDescent="0.3">
      <c r="A147" s="9"/>
      <c r="B147" s="9"/>
      <c r="C147" s="9"/>
      <c r="D147" s="9"/>
      <c r="E147" s="9"/>
      <c r="F147" s="9"/>
      <c r="G147" s="9"/>
      <c r="H147" s="9"/>
      <c r="I147" s="9"/>
      <c r="J147" s="9"/>
      <c r="K147" s="9"/>
      <c r="L147" s="9"/>
      <c r="M147" s="9"/>
      <c r="N147" s="9"/>
      <c r="O147" s="9"/>
      <c r="P147" s="9"/>
      <c r="Q147" s="9"/>
      <c r="R147" s="9"/>
    </row>
    <row r="148" spans="1:26" x14ac:dyDescent="0.3">
      <c r="A148" s="9"/>
      <c r="B148" s="17" t="s">
        <v>1255</v>
      </c>
      <c r="C148" s="9"/>
      <c r="D148" s="95" t="s">
        <v>1994</v>
      </c>
      <c r="E148" s="9"/>
      <c r="F148" s="9"/>
      <c r="G148" s="9"/>
      <c r="H148" s="9"/>
      <c r="I148" s="9"/>
      <c r="J148" s="9"/>
      <c r="K148" s="9"/>
      <c r="L148" s="9"/>
      <c r="M148" s="9"/>
      <c r="N148" s="9"/>
      <c r="O148" s="9"/>
      <c r="P148" s="9"/>
      <c r="Q148" s="9"/>
      <c r="R148" s="9"/>
    </row>
    <row r="149" spans="1:26" s="55" customFormat="1" ht="56" x14ac:dyDescent="0.3">
      <c r="A149" s="35"/>
      <c r="B149" s="3"/>
      <c r="C149" s="10" t="s">
        <v>1729</v>
      </c>
      <c r="D149" s="10" t="s">
        <v>1727</v>
      </c>
      <c r="E149" s="10" t="s">
        <v>1258</v>
      </c>
      <c r="F149" s="10" t="s">
        <v>1259</v>
      </c>
      <c r="G149" s="10" t="s">
        <v>1728</v>
      </c>
      <c r="H149" s="10" t="s">
        <v>1256</v>
      </c>
      <c r="I149" s="10" t="s">
        <v>1257</v>
      </c>
      <c r="J149" s="10" t="s">
        <v>1730</v>
      </c>
      <c r="K149" s="10" t="s">
        <v>1731</v>
      </c>
      <c r="L149" s="10" t="s">
        <v>1732</v>
      </c>
      <c r="M149" s="10" t="s">
        <v>1733</v>
      </c>
      <c r="N149" s="10" t="s">
        <v>1706</v>
      </c>
      <c r="O149" s="10" t="s">
        <v>1211</v>
      </c>
      <c r="P149" s="60"/>
      <c r="Q149" s="60"/>
      <c r="S149" s="35"/>
      <c r="T149" s="35"/>
      <c r="U149" s="35"/>
      <c r="V149" s="35"/>
      <c r="W149" s="35"/>
      <c r="X149" s="35"/>
      <c r="Y149" s="35"/>
      <c r="Z149" s="35"/>
    </row>
    <row r="150" spans="1:26" x14ac:dyDescent="0.3">
      <c r="A150" s="9"/>
      <c r="B150" s="3" t="s">
        <v>1198</v>
      </c>
      <c r="C150" s="23">
        <f>COUNTIF('OBO_Cleaned Data'!FM:FM,"1")</f>
        <v>1</v>
      </c>
      <c r="D150" s="23">
        <f>COUNTIF('OBO_Cleaned Data'!FN:FN,"1")</f>
        <v>5</v>
      </c>
      <c r="E150" s="23">
        <f>COUNTIF('OBO_Cleaned Data'!FO:FO,"1")</f>
        <v>2</v>
      </c>
      <c r="F150" s="23">
        <f>COUNTIF('OBO_Cleaned Data'!FP:FP,"1")</f>
        <v>0</v>
      </c>
      <c r="G150" s="23">
        <f>COUNTIF('OBO_Cleaned Data'!FQ:FQ,"1")</f>
        <v>1</v>
      </c>
      <c r="H150" s="23">
        <f>COUNTIF('OBO_Cleaned Data'!FR:FR,"1")</f>
        <v>6</v>
      </c>
      <c r="I150" s="23">
        <f>COUNTIF('OBO_Cleaned Data'!FS:FS,"1")</f>
        <v>2</v>
      </c>
      <c r="J150" s="23">
        <f>COUNTIF('OBO_Cleaned Data'!FT:FT,"1")</f>
        <v>0</v>
      </c>
      <c r="K150" s="23">
        <f>COUNTIF('OBO_Cleaned Data'!FU:FU,"1")</f>
        <v>0</v>
      </c>
      <c r="L150" s="23">
        <f>COUNTIF('OBO_Cleaned Data'!FV:FV,"1")</f>
        <v>0</v>
      </c>
      <c r="M150" s="23">
        <f>COUNTIF('OBO_Cleaned Data'!FW:FW,"1")</f>
        <v>0</v>
      </c>
      <c r="N150" s="23">
        <f>COUNTIF('OBO_Cleaned Data'!FX:FX,"1")</f>
        <v>1</v>
      </c>
      <c r="O150" s="23">
        <f>COUNTIF('OBO_Cleaned Data'!FY:FY,"1")</f>
        <v>0</v>
      </c>
      <c r="P150" s="9"/>
      <c r="Q150" s="9"/>
      <c r="R150" s="9"/>
    </row>
    <row r="151" spans="1:26" ht="49" x14ac:dyDescent="0.3">
      <c r="A151" s="9"/>
      <c r="B151" s="52" t="s">
        <v>2004</v>
      </c>
      <c r="C151" s="6">
        <f>C150/$B$140</f>
        <v>7.1428571428571425E-2</v>
      </c>
      <c r="D151" s="6">
        <f t="shared" ref="D151:O151" si="15">D150/$B$140</f>
        <v>0.35714285714285715</v>
      </c>
      <c r="E151" s="6">
        <f t="shared" si="15"/>
        <v>0.14285714285714285</v>
      </c>
      <c r="F151" s="6">
        <f t="shared" si="15"/>
        <v>0</v>
      </c>
      <c r="G151" s="6">
        <f t="shared" si="15"/>
        <v>7.1428571428571425E-2</v>
      </c>
      <c r="H151" s="6">
        <f t="shared" si="15"/>
        <v>0.42857142857142855</v>
      </c>
      <c r="I151" s="6">
        <f t="shared" si="15"/>
        <v>0.14285714285714285</v>
      </c>
      <c r="J151" s="6">
        <f t="shared" si="15"/>
        <v>0</v>
      </c>
      <c r="K151" s="6">
        <f t="shared" si="15"/>
        <v>0</v>
      </c>
      <c r="L151" s="6">
        <f t="shared" si="15"/>
        <v>0</v>
      </c>
      <c r="M151" s="6">
        <f t="shared" si="15"/>
        <v>0</v>
      </c>
      <c r="N151" s="6">
        <f t="shared" si="15"/>
        <v>7.1428571428571425E-2</v>
      </c>
      <c r="O151" s="6">
        <f t="shared" si="15"/>
        <v>0</v>
      </c>
      <c r="P151" s="9"/>
      <c r="Q151" s="9"/>
      <c r="R151" s="9"/>
    </row>
    <row r="152" spans="1:26" s="9" customFormat="1" x14ac:dyDescent="0.3">
      <c r="B152" s="14"/>
      <c r="C152" s="14"/>
      <c r="D152" s="14"/>
      <c r="E152" s="14"/>
      <c r="F152" s="14"/>
      <c r="G152" s="14"/>
      <c r="H152" s="14"/>
    </row>
    <row r="153" spans="1:26" x14ac:dyDescent="0.3">
      <c r="A153" s="9"/>
      <c r="B153" s="17" t="s">
        <v>1393</v>
      </c>
      <c r="C153" s="9"/>
      <c r="D153" s="9"/>
      <c r="E153" s="9"/>
      <c r="F153" s="9"/>
      <c r="G153" s="9"/>
      <c r="H153" s="9"/>
      <c r="I153" s="9"/>
      <c r="J153" s="9"/>
      <c r="K153" s="9"/>
      <c r="L153" s="9"/>
      <c r="M153" s="9"/>
      <c r="N153" s="9"/>
      <c r="O153" s="9"/>
      <c r="P153" s="9"/>
      <c r="Q153" s="9"/>
      <c r="R153" s="9"/>
    </row>
    <row r="154" spans="1:26" x14ac:dyDescent="0.3">
      <c r="A154" s="9"/>
      <c r="B154" s="3"/>
      <c r="C154" s="10" t="s">
        <v>1201</v>
      </c>
      <c r="D154" s="10" t="s">
        <v>1200</v>
      </c>
      <c r="E154" s="102" t="s">
        <v>1197</v>
      </c>
      <c r="F154" s="9"/>
      <c r="G154" s="9"/>
      <c r="H154" s="9"/>
      <c r="I154" s="9"/>
      <c r="J154" s="9"/>
      <c r="K154" s="9"/>
      <c r="L154" s="9"/>
      <c r="M154" s="9"/>
      <c r="N154" s="9"/>
      <c r="O154" s="9"/>
      <c r="P154" s="9"/>
      <c r="Q154" s="9"/>
      <c r="R154" s="9"/>
    </row>
    <row r="155" spans="1:26" x14ac:dyDescent="0.3">
      <c r="A155" s="9"/>
      <c r="B155" s="3" t="s">
        <v>1198</v>
      </c>
      <c r="C155" s="23">
        <f>COUNTIF('OBO_Cleaned Data'!GA:GA,"OUI")</f>
        <v>10</v>
      </c>
      <c r="D155" s="23">
        <f>COUNTIF('OBO_Cleaned Data'!GA:GA,"non")</f>
        <v>4</v>
      </c>
      <c r="E155" s="103">
        <f>SUM(C155:D155)</f>
        <v>14</v>
      </c>
      <c r="F155" s="9"/>
      <c r="G155" s="9"/>
      <c r="H155" s="9"/>
      <c r="I155" s="9"/>
      <c r="J155" s="9"/>
      <c r="K155" s="9"/>
      <c r="L155" s="9"/>
      <c r="M155" s="9"/>
      <c r="N155" s="9"/>
      <c r="O155" s="9"/>
      <c r="P155" s="9"/>
      <c r="Q155" s="9"/>
      <c r="R155" s="9"/>
    </row>
    <row r="156" spans="1:26" ht="49" x14ac:dyDescent="0.3">
      <c r="A156" s="9"/>
      <c r="B156" s="52" t="s">
        <v>2004</v>
      </c>
      <c r="C156" s="6">
        <f>(C155/$B$140)</f>
        <v>0.7142857142857143</v>
      </c>
      <c r="D156" s="6">
        <f>(D155/$B$140)</f>
        <v>0.2857142857142857</v>
      </c>
      <c r="E156" s="92">
        <f>SUM(C156:D156)</f>
        <v>1</v>
      </c>
      <c r="F156" s="9"/>
      <c r="G156" s="9"/>
      <c r="H156" s="9"/>
      <c r="I156" s="9"/>
      <c r="J156" s="9"/>
      <c r="K156" s="9"/>
      <c r="L156" s="9"/>
      <c r="M156" s="9"/>
      <c r="N156" s="9"/>
      <c r="O156" s="9"/>
      <c r="P156" s="9"/>
      <c r="Q156" s="9"/>
      <c r="R156" s="9"/>
    </row>
    <row r="157" spans="1:26" x14ac:dyDescent="0.3">
      <c r="A157" s="9"/>
      <c r="B157" s="9"/>
      <c r="C157" s="9"/>
      <c r="D157" s="9"/>
      <c r="E157" s="9"/>
      <c r="F157" s="9"/>
      <c r="G157" s="9"/>
      <c r="H157" s="9"/>
      <c r="I157" s="9"/>
      <c r="J157" s="9"/>
      <c r="K157" s="9"/>
      <c r="L157" s="9"/>
      <c r="M157" s="9"/>
      <c r="N157" s="9"/>
      <c r="O157" s="9"/>
      <c r="P157" s="9"/>
      <c r="Q157" s="9"/>
      <c r="R157" s="9"/>
    </row>
    <row r="158" spans="1:26" x14ac:dyDescent="0.3">
      <c r="A158" s="9"/>
      <c r="B158" s="9"/>
      <c r="C158" s="17" t="s">
        <v>1260</v>
      </c>
      <c r="D158" s="9"/>
      <c r="E158" s="95" t="s">
        <v>1994</v>
      </c>
      <c r="F158" s="9"/>
      <c r="G158" s="9"/>
      <c r="H158" s="9"/>
      <c r="I158" s="9"/>
      <c r="J158" s="9"/>
      <c r="K158" s="9"/>
      <c r="L158" s="9"/>
      <c r="M158" s="9"/>
      <c r="N158" s="9"/>
      <c r="O158" s="9"/>
      <c r="P158" s="9"/>
      <c r="Q158" s="9"/>
      <c r="R158" s="9"/>
    </row>
    <row r="159" spans="1:26" x14ac:dyDescent="0.3">
      <c r="A159" s="9"/>
      <c r="B159" s="9"/>
      <c r="C159" s="3"/>
      <c r="D159" s="10" t="s">
        <v>1261</v>
      </c>
      <c r="E159" s="10" t="s">
        <v>1262</v>
      </c>
      <c r="F159" s="10" t="s">
        <v>1263</v>
      </c>
      <c r="G159" s="10" t="s">
        <v>1264</v>
      </c>
      <c r="H159" s="10" t="s">
        <v>1196</v>
      </c>
      <c r="I159" s="9"/>
      <c r="J159" s="9"/>
      <c r="K159" s="9"/>
      <c r="L159" s="9"/>
      <c r="M159" s="9"/>
      <c r="N159" s="9"/>
      <c r="O159" s="9"/>
      <c r="P159" s="9"/>
      <c r="Q159" s="9"/>
      <c r="R159" s="9"/>
    </row>
    <row r="160" spans="1:26" x14ac:dyDescent="0.3">
      <c r="A160" s="9"/>
      <c r="B160" s="9"/>
      <c r="C160" s="3" t="s">
        <v>1198</v>
      </c>
      <c r="D160" s="4">
        <f>COUNTIF('OBO_Cleaned Data'!GC:GC,"1")</f>
        <v>3</v>
      </c>
      <c r="E160" s="4">
        <f>COUNTIF('OBO_Cleaned Data'!GD:GD,"1")</f>
        <v>1</v>
      </c>
      <c r="F160" s="4">
        <f>COUNTIF('OBO_Cleaned Data'!GE:GE,"1")</f>
        <v>1</v>
      </c>
      <c r="G160" s="4">
        <f>COUNTIF('OBO_Cleaned Data'!GF:GF,"1")</f>
        <v>0</v>
      </c>
      <c r="H160" s="4">
        <f>COUNTIF('OBO_Cleaned Data'!GG:GG,"1")</f>
        <v>0</v>
      </c>
      <c r="I160" s="9"/>
      <c r="J160" s="9"/>
      <c r="K160" s="9"/>
      <c r="L160" s="9"/>
      <c r="M160" s="9"/>
      <c r="N160" s="9"/>
      <c r="O160" s="9"/>
      <c r="P160" s="9"/>
      <c r="Q160" s="9"/>
      <c r="R160" s="9"/>
    </row>
    <row r="161" spans="1:13" s="9" customFormat="1" ht="49" x14ac:dyDescent="0.3">
      <c r="C161" s="52" t="s">
        <v>2005</v>
      </c>
      <c r="D161" s="6">
        <f>D160/$D$155</f>
        <v>0.75</v>
      </c>
      <c r="E161" s="6">
        <f t="shared" ref="E161:H161" si="16">E160/$D$155</f>
        <v>0.25</v>
      </c>
      <c r="F161" s="6">
        <f t="shared" si="16"/>
        <v>0.25</v>
      </c>
      <c r="G161" s="6">
        <f t="shared" si="16"/>
        <v>0</v>
      </c>
      <c r="H161" s="6">
        <f t="shared" si="16"/>
        <v>0</v>
      </c>
    </row>
    <row r="162" spans="1:13" s="9" customFormat="1" x14ac:dyDescent="0.3"/>
    <row r="163" spans="1:13" s="9" customFormat="1" x14ac:dyDescent="0.3"/>
    <row r="164" spans="1:13" s="9" customFormat="1" ht="15.5" x14ac:dyDescent="0.35">
      <c r="A164" s="8" t="s">
        <v>1291</v>
      </c>
      <c r="C164" s="95" t="s">
        <v>1994</v>
      </c>
    </row>
    <row r="165" spans="1:13" s="9" customFormat="1" x14ac:dyDescent="0.3"/>
    <row r="166" spans="1:13" s="9" customFormat="1" ht="42" x14ac:dyDescent="0.3">
      <c r="A166" s="7" t="s">
        <v>1729</v>
      </c>
      <c r="B166" s="7" t="s">
        <v>1727</v>
      </c>
      <c r="C166" s="7" t="s">
        <v>1258</v>
      </c>
      <c r="D166" s="7" t="s">
        <v>1259</v>
      </c>
      <c r="E166" s="7" t="s">
        <v>1728</v>
      </c>
      <c r="F166" s="7" t="s">
        <v>1256</v>
      </c>
      <c r="G166" s="7" t="s">
        <v>1257</v>
      </c>
      <c r="H166" s="7" t="s">
        <v>1730</v>
      </c>
      <c r="I166" s="7" t="s">
        <v>1731</v>
      </c>
      <c r="J166" s="7" t="s">
        <v>1732</v>
      </c>
      <c r="K166" s="7" t="s">
        <v>1733</v>
      </c>
      <c r="L166" s="7" t="s">
        <v>1706</v>
      </c>
      <c r="M166" s="7" t="s">
        <v>1211</v>
      </c>
    </row>
    <row r="167" spans="1:13" s="9" customFormat="1" x14ac:dyDescent="0.3">
      <c r="A167" s="23">
        <f>COUNTIF('OBO_Cleaned Data'!GJ:GJ,"1")</f>
        <v>4</v>
      </c>
      <c r="B167" s="23">
        <f>COUNTIF('OBO_Cleaned Data'!GK:GK,"1")</f>
        <v>26</v>
      </c>
      <c r="C167" s="23">
        <f>COUNTIF('OBO_Cleaned Data'!GL:GL,"1")</f>
        <v>21</v>
      </c>
      <c r="D167" s="23">
        <f>COUNTIF('OBO_Cleaned Data'!GM:GM,"1")</f>
        <v>6</v>
      </c>
      <c r="E167" s="23">
        <f>COUNTIF('OBO_Cleaned Data'!GN:GN,"1")</f>
        <v>18</v>
      </c>
      <c r="F167" s="23">
        <f>COUNTIF('OBO_Cleaned Data'!GO:GO,"1")</f>
        <v>14</v>
      </c>
      <c r="G167" s="23">
        <f>COUNTIF('OBO_Cleaned Data'!GP:GP,"1")</f>
        <v>17</v>
      </c>
      <c r="H167" s="23">
        <f>COUNTIF('OBO_Cleaned Data'!GQ:GQ,"1")</f>
        <v>6</v>
      </c>
      <c r="I167" s="23">
        <f>COUNTIF('OBO_Cleaned Data'!GR:GR,"1")</f>
        <v>1</v>
      </c>
      <c r="J167" s="23">
        <f>COUNTIF('OBO_Cleaned Data'!GS:GS,"1")</f>
        <v>11</v>
      </c>
      <c r="K167" s="23">
        <f>COUNTIF('OBO_Cleaned Data'!GT:GT,"1")</f>
        <v>14</v>
      </c>
      <c r="L167" s="23">
        <f>COUNTIF('OBO_Cleaned Data'!GU:GU,"1")</f>
        <v>0</v>
      </c>
      <c r="M167" s="23">
        <f>COUNTIF('OBO_Cleaned Data'!GV:GV,"1")</f>
        <v>0</v>
      </c>
    </row>
    <row r="168" spans="1:13" s="9" customFormat="1" x14ac:dyDescent="0.3"/>
    <row r="169" spans="1:13" s="9" customFormat="1" x14ac:dyDescent="0.3"/>
    <row r="170" spans="1:13" s="9" customFormat="1" x14ac:dyDescent="0.3"/>
    <row r="171" spans="1:13" s="9" customFormat="1" x14ac:dyDescent="0.3"/>
    <row r="172" spans="1:13" s="9" customFormat="1" x14ac:dyDescent="0.3"/>
    <row r="173" spans="1:13" s="9" customFormat="1" x14ac:dyDescent="0.3"/>
    <row r="174" spans="1:13" s="9" customFormat="1" x14ac:dyDescent="0.3"/>
    <row r="175" spans="1:13" s="9" customFormat="1" x14ac:dyDescent="0.3"/>
    <row r="176" spans="1:13" s="9" customFormat="1" x14ac:dyDescent="0.3"/>
    <row r="177" s="9" customFormat="1" x14ac:dyDescent="0.3"/>
    <row r="178" s="9" customFormat="1" x14ac:dyDescent="0.3"/>
    <row r="179" s="9" customFormat="1" x14ac:dyDescent="0.3"/>
    <row r="180" s="9" customFormat="1" x14ac:dyDescent="0.3"/>
    <row r="181" s="9" customFormat="1" x14ac:dyDescent="0.3"/>
    <row r="182" s="9" customFormat="1" x14ac:dyDescent="0.3"/>
    <row r="183" s="9" customFormat="1" x14ac:dyDescent="0.3"/>
    <row r="184" s="9" customFormat="1" x14ac:dyDescent="0.3"/>
    <row r="185" s="9" customFormat="1" x14ac:dyDescent="0.3"/>
    <row r="186" s="9" customFormat="1" x14ac:dyDescent="0.3"/>
    <row r="187" s="9" customFormat="1" x14ac:dyDescent="0.3"/>
    <row r="188" s="9" customFormat="1" x14ac:dyDescent="0.3"/>
    <row r="189" s="9" customFormat="1" x14ac:dyDescent="0.3"/>
    <row r="190" s="9" customFormat="1" x14ac:dyDescent="0.3"/>
    <row r="191" s="9" customFormat="1" x14ac:dyDescent="0.3"/>
    <row r="192" s="9" customFormat="1" x14ac:dyDescent="0.3"/>
    <row r="193" s="9" customFormat="1" x14ac:dyDescent="0.3"/>
    <row r="194" s="9" customFormat="1" x14ac:dyDescent="0.3"/>
    <row r="195" s="9" customFormat="1" x14ac:dyDescent="0.3"/>
    <row r="196" s="9" customFormat="1" x14ac:dyDescent="0.3"/>
    <row r="197" s="9" customFormat="1" x14ac:dyDescent="0.3"/>
    <row r="198" s="9" customFormat="1" x14ac:dyDescent="0.3"/>
    <row r="199" s="9" customFormat="1" x14ac:dyDescent="0.3"/>
    <row r="200" s="9" customFormat="1" x14ac:dyDescent="0.3"/>
    <row r="201" s="9" customFormat="1" x14ac:dyDescent="0.3"/>
    <row r="202" s="9" customFormat="1" x14ac:dyDescent="0.3"/>
    <row r="203" s="9" customFormat="1" x14ac:dyDescent="0.3"/>
    <row r="204" s="9" customFormat="1" x14ac:dyDescent="0.3"/>
    <row r="205" s="9" customFormat="1" x14ac:dyDescent="0.3"/>
    <row r="206" s="9" customFormat="1" x14ac:dyDescent="0.3"/>
    <row r="207" s="9" customFormat="1" x14ac:dyDescent="0.3"/>
    <row r="208" s="9" customFormat="1" x14ac:dyDescent="0.3"/>
    <row r="209" spans="1:10" s="9" customFormat="1" x14ac:dyDescent="0.3"/>
    <row r="210" spans="1:10" s="9" customFormat="1" x14ac:dyDescent="0.3"/>
    <row r="211" spans="1:10" s="9" customFormat="1" x14ac:dyDescent="0.3"/>
    <row r="212" spans="1:10" s="9" customFormat="1" x14ac:dyDescent="0.3"/>
    <row r="213" spans="1:10" s="9" customFormat="1" x14ac:dyDescent="0.3"/>
    <row r="214" spans="1:10" s="9" customFormat="1" x14ac:dyDescent="0.3"/>
    <row r="215" spans="1:10" s="9" customFormat="1" x14ac:dyDescent="0.3"/>
    <row r="216" spans="1:10" s="9" customFormat="1" x14ac:dyDescent="0.3"/>
    <row r="217" spans="1:10" s="9" customFormat="1" x14ac:dyDescent="0.3"/>
    <row r="218" spans="1:10" s="9" customFormat="1" x14ac:dyDescent="0.3"/>
    <row r="219" spans="1:10" s="9" customFormat="1" x14ac:dyDescent="0.3"/>
    <row r="220" spans="1:10" s="9" customFormat="1" x14ac:dyDescent="0.3"/>
    <row r="221" spans="1:10" s="9" customFormat="1" x14ac:dyDescent="0.3"/>
    <row r="222" spans="1:10" s="9" customFormat="1" x14ac:dyDescent="0.3"/>
    <row r="223" spans="1:10" s="9" customFormat="1" x14ac:dyDescent="0.3">
      <c r="A223" s="1"/>
      <c r="B223" s="1"/>
      <c r="C223" s="1"/>
      <c r="D223" s="1"/>
      <c r="E223" s="1"/>
      <c r="F223" s="1"/>
      <c r="G223" s="1"/>
      <c r="H223" s="1"/>
      <c r="I223" s="1"/>
      <c r="J223" s="1"/>
    </row>
  </sheetData>
  <conditionalFormatting sqref="A132:L132">
    <cfRule type="colorScale" priority="39">
      <colorScale>
        <cfvo type="min"/>
        <cfvo type="max"/>
        <color theme="6" tint="0.79998168889431442"/>
        <color theme="5" tint="0.39997558519241921"/>
      </colorScale>
    </cfRule>
  </conditionalFormatting>
  <conditionalFormatting sqref="A136:L136">
    <cfRule type="colorScale" priority="38">
      <colorScale>
        <cfvo type="min"/>
        <cfvo type="max"/>
        <color theme="6" tint="0.79998168889431442"/>
        <color theme="5" tint="0.39997558519241921"/>
      </colorScale>
    </cfRule>
  </conditionalFormatting>
  <conditionalFormatting sqref="C150:O150">
    <cfRule type="colorScale" priority="37">
      <colorScale>
        <cfvo type="min"/>
        <cfvo type="max"/>
        <color theme="6" tint="0.79998168889431442"/>
        <color theme="5" tint="0.39997558519241921"/>
      </colorScale>
    </cfRule>
  </conditionalFormatting>
  <conditionalFormatting sqref="D160:H160">
    <cfRule type="colorScale" priority="36">
      <colorScale>
        <cfvo type="min"/>
        <cfvo type="max"/>
        <color theme="6" tint="0.79998168889431442"/>
        <color theme="5" tint="0.39997558519241921"/>
      </colorScale>
    </cfRule>
  </conditionalFormatting>
  <conditionalFormatting sqref="A167:M167">
    <cfRule type="colorScale" priority="35">
      <colorScale>
        <cfvo type="min"/>
        <cfvo type="max"/>
        <color theme="6" tint="0.79998168889431442"/>
        <color theme="5" tint="0.39997558519241921"/>
      </colorScale>
    </cfRule>
  </conditionalFormatting>
  <conditionalFormatting sqref="B53:H53 A60:F60 D61:F61">
    <cfRule type="colorScale" priority="34">
      <colorScale>
        <cfvo type="min"/>
        <cfvo type="max"/>
        <color theme="6" tint="0.79998168889431442"/>
        <color theme="5" tint="0.39997558519241921"/>
      </colorScale>
    </cfRule>
  </conditionalFormatting>
  <conditionalFormatting sqref="B68:C68">
    <cfRule type="colorScale" priority="33">
      <colorScale>
        <cfvo type="min"/>
        <cfvo type="max"/>
        <color theme="6" tint="0.79998168889431442"/>
        <color theme="5" tint="0.39997558519241921"/>
      </colorScale>
    </cfRule>
  </conditionalFormatting>
  <conditionalFormatting sqref="C78:J78">
    <cfRule type="colorScale" priority="32">
      <colorScale>
        <cfvo type="min"/>
        <cfvo type="max"/>
        <color theme="6" tint="0.79998168889431442"/>
        <color theme="5" tint="0.39997558519241921"/>
      </colorScale>
    </cfRule>
  </conditionalFormatting>
  <conditionalFormatting sqref="B38:L38">
    <cfRule type="colorScale" priority="31">
      <colorScale>
        <cfvo type="min"/>
        <cfvo type="max"/>
        <color theme="6" tint="0.79998168889431442"/>
        <color theme="5" tint="0.39997558519241921"/>
      </colorScale>
    </cfRule>
  </conditionalFormatting>
  <conditionalFormatting sqref="B7:G7">
    <cfRule type="colorScale" priority="29">
      <colorScale>
        <cfvo type="min"/>
        <cfvo type="max"/>
        <color theme="6" tint="0.79998168889431442"/>
        <color theme="5" tint="0.39997558519241921"/>
      </colorScale>
    </cfRule>
  </conditionalFormatting>
  <conditionalFormatting sqref="B90:D90">
    <cfRule type="colorScale" priority="28">
      <colorScale>
        <cfvo type="min"/>
        <cfvo type="max"/>
        <color theme="6" tint="0.79998168889431442"/>
        <color theme="5" tint="0.39997558519241921"/>
      </colorScale>
    </cfRule>
  </conditionalFormatting>
  <conditionalFormatting sqref="D18:F18">
    <cfRule type="colorScale" priority="26">
      <colorScale>
        <cfvo type="min"/>
        <cfvo type="max"/>
        <color theme="6" tint="0.79998168889431442"/>
        <color theme="5" tint="0.39997558519241921"/>
      </colorScale>
    </cfRule>
  </conditionalFormatting>
  <conditionalFormatting sqref="B58:F58">
    <cfRule type="colorScale" priority="25">
      <colorScale>
        <cfvo type="min"/>
        <cfvo type="max"/>
        <color theme="6" tint="0.79998168889431442"/>
        <color theme="5" tint="0.39997558519241921"/>
      </colorScale>
    </cfRule>
  </conditionalFormatting>
  <conditionalFormatting sqref="A44:A45">
    <cfRule type="duplicateValues" dxfId="2" priority="24"/>
  </conditionalFormatting>
  <conditionalFormatting sqref="A52:A53">
    <cfRule type="duplicateValues" dxfId="1" priority="23"/>
  </conditionalFormatting>
  <conditionalFormatting sqref="B45:E45">
    <cfRule type="colorScale" priority="22">
      <colorScale>
        <cfvo type="min"/>
        <cfvo type="max"/>
        <color theme="6" tint="0.79998168889431442"/>
        <color theme="5" tint="0.39997558519241921"/>
      </colorScale>
    </cfRule>
  </conditionalFormatting>
  <conditionalFormatting sqref="C83:I83">
    <cfRule type="colorScale" priority="21">
      <colorScale>
        <cfvo type="min"/>
        <cfvo type="max"/>
        <color theme="6" tint="0.79998168889431442"/>
        <color theme="5" tint="0.39997558519241921"/>
      </colorScale>
    </cfRule>
  </conditionalFormatting>
  <conditionalFormatting sqref="A37:A38">
    <cfRule type="duplicateValues" dxfId="0" priority="20"/>
  </conditionalFormatting>
  <conditionalFormatting sqref="B95:C95">
    <cfRule type="colorScale" priority="19">
      <colorScale>
        <cfvo type="min"/>
        <cfvo type="max"/>
        <color theme="6" tint="0.79998168889431442"/>
        <color theme="5" tint="0.39997558519241921"/>
      </colorScale>
    </cfRule>
  </conditionalFormatting>
  <conditionalFormatting sqref="C108:F108">
    <cfRule type="colorScale" priority="17">
      <colorScale>
        <cfvo type="min"/>
        <cfvo type="max"/>
        <color theme="6" tint="0.79998168889431442"/>
        <color theme="5" tint="0.39997558519241921"/>
      </colorScale>
    </cfRule>
  </conditionalFormatting>
  <conditionalFormatting sqref="B117:I117">
    <cfRule type="colorScale" priority="16">
      <colorScale>
        <cfvo type="min"/>
        <cfvo type="max"/>
        <color theme="6" tint="0.79998168889431442"/>
        <color theme="5" tint="0.39997558519241921"/>
      </colorScale>
    </cfRule>
  </conditionalFormatting>
  <conditionalFormatting sqref="B122:D122">
    <cfRule type="colorScale" priority="15">
      <colorScale>
        <cfvo type="min"/>
        <cfvo type="max"/>
        <color theme="6" tint="0.79998168889431442"/>
        <color theme="5" tint="0.39997558519241921"/>
      </colorScale>
    </cfRule>
  </conditionalFormatting>
  <conditionalFormatting sqref="B140:C140">
    <cfRule type="colorScale" priority="14">
      <colorScale>
        <cfvo type="min"/>
        <cfvo type="max"/>
        <color theme="6" tint="0.79998168889431442"/>
        <color theme="5" tint="0.39997558519241921"/>
      </colorScale>
    </cfRule>
  </conditionalFormatting>
  <conditionalFormatting sqref="C145:I145">
    <cfRule type="colorScale" priority="13">
      <colorScale>
        <cfvo type="min"/>
        <cfvo type="max"/>
        <color theme="6" tint="0.79998168889431442"/>
        <color theme="5" tint="0.39997558519241921"/>
      </colorScale>
    </cfRule>
  </conditionalFormatting>
  <conditionalFormatting sqref="C155:D155">
    <cfRule type="colorScale" priority="12">
      <colorScale>
        <cfvo type="min"/>
        <cfvo type="max"/>
        <color theme="6" tint="0.79998168889431442"/>
        <color theme="5" tint="0.39997558519241921"/>
      </colorScale>
    </cfRule>
  </conditionalFormatting>
  <conditionalFormatting sqref="D23:H23">
    <cfRule type="colorScale" priority="11">
      <colorScale>
        <cfvo type="min"/>
        <cfvo type="max"/>
        <color theme="6" tint="0.79998168889431442"/>
        <color theme="5" tint="0.39997558519241921"/>
      </colorScale>
    </cfRule>
  </conditionalFormatting>
  <conditionalFormatting sqref="D28:I28">
    <cfRule type="colorScale" priority="10">
      <colorScale>
        <cfvo type="min"/>
        <cfvo type="max"/>
        <color theme="6" tint="0.79998168889431442"/>
        <color theme="5" tint="0.39997558519241921"/>
      </colorScale>
    </cfRule>
  </conditionalFormatting>
  <conditionalFormatting sqref="C73:F73">
    <cfRule type="colorScale" priority="9">
      <colorScale>
        <cfvo type="min"/>
        <cfvo type="max"/>
        <color theme="6" tint="0.79998168889431442"/>
        <color theme="5" tint="0.39997558519241921"/>
      </colorScale>
    </cfRule>
  </conditionalFormatting>
  <conditionalFormatting sqref="D33:H33">
    <cfRule type="colorScale" priority="8">
      <colorScale>
        <cfvo type="min"/>
        <cfvo type="max"/>
        <color theme="6" tint="0.79998168889431442"/>
        <color theme="5" tint="0.39997558519241921"/>
      </colorScale>
    </cfRule>
  </conditionalFormatting>
  <conditionalFormatting sqref="H7">
    <cfRule type="colorScale" priority="7">
      <colorScale>
        <cfvo type="min"/>
        <cfvo type="max"/>
        <color theme="6" tint="0.79998168889431442"/>
        <color theme="5" tint="0.39997558519241921"/>
      </colorScale>
    </cfRule>
  </conditionalFormatting>
  <conditionalFormatting sqref="B63:H63">
    <cfRule type="colorScale" priority="6">
      <colorScale>
        <cfvo type="min"/>
        <cfvo type="max"/>
        <color theme="6" tint="0.79998168889431442"/>
        <color theme="5" tint="0.39997558519241921"/>
      </colorScale>
    </cfRule>
  </conditionalFormatting>
  <conditionalFormatting sqref="B127:F127">
    <cfRule type="colorScale" priority="5">
      <colorScale>
        <cfvo type="min"/>
        <cfvo type="max"/>
        <color theme="6" tint="0.79998168889431442"/>
        <color theme="5" tint="0.39997558519241921"/>
      </colorScale>
    </cfRule>
  </conditionalFormatting>
  <conditionalFormatting sqref="I7">
    <cfRule type="colorScale" priority="3">
      <colorScale>
        <cfvo type="min"/>
        <cfvo type="max"/>
        <color theme="6" tint="0.79998168889431442"/>
        <color theme="5" tint="0.39997558519241921"/>
      </colorScale>
    </cfRule>
  </conditionalFormatting>
  <conditionalFormatting sqref="B13:D13">
    <cfRule type="colorScale" priority="2">
      <colorScale>
        <cfvo type="min"/>
        <cfvo type="max"/>
        <color theme="6" tint="0.79998168889431442"/>
        <color theme="5" tint="0.39997558519241921"/>
      </colorScale>
    </cfRule>
  </conditionalFormatting>
  <conditionalFormatting sqref="C103:E103">
    <cfRule type="colorScale" priority="1">
      <colorScale>
        <cfvo type="min"/>
        <cfvo type="max"/>
        <color theme="6" tint="0.79998168889431442"/>
        <color theme="5" tint="0.39997558519241921"/>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Lisez-moi</vt:lpstr>
      <vt:lpstr>CleaningLog</vt:lpstr>
      <vt:lpstr>ZEMIO_Cleaned Data</vt:lpstr>
      <vt:lpstr>ZEMIO_EDUCATION</vt:lpstr>
      <vt:lpstr>ZEMIO_EAU</vt:lpstr>
      <vt:lpstr>ZEMIO_SANTE</vt:lpstr>
      <vt:lpstr>ZEMIO_MARCHES</vt:lpstr>
      <vt:lpstr>OBO_Cleaned Data</vt:lpstr>
      <vt:lpstr>OBO_EAU </vt:lpstr>
      <vt:lpstr>OBO_SANTE</vt:lpstr>
      <vt:lpstr>OBO_EDUCATION</vt:lpstr>
      <vt:lpstr>OBO_MARCHES</vt:lpstr>
      <vt:lpstr>OBO_EDUCATION!Print_Area</vt:lpstr>
      <vt:lpstr>ZEMIO_EDUCATION!Print_Area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Amelie Salmon</dc:creator>
  <cp:lastModifiedBy>Amelie Salmon</cp:lastModifiedBy>
  <cp:lastPrinted>2020-08-19T13:55:45Z</cp:lastPrinted>
  <dcterms:created xsi:type="dcterms:W3CDTF">2020-07-22T09:34:44Z</dcterms:created>
  <dcterms:modified xsi:type="dcterms:W3CDTF">2021-04-22T15:27:24Z</dcterms:modified>
</cp:coreProperties>
</file>